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781F42D-BB28-4FFE-B34B-E060209BE7C0}" xr6:coauthVersionLast="47" xr6:coauthVersionMax="47" xr10:uidLastSave="{00000000-0000-0000-0000-000000000000}"/>
  <bookViews>
    <workbookView xWindow="28680" yWindow="-120" windowWidth="20730" windowHeight="11040" xr2:uid="{A0028D27-B3C8-4D6B-A0A5-C3BCC0F81A2D}"/>
  </bookViews>
  <sheets>
    <sheet name="sdrascd7-IENOMKE1313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96" i="1" l="1"/>
  <c r="E1696" i="1"/>
  <c r="P1695" i="1"/>
  <c r="E1695" i="1"/>
  <c r="P1694" i="1"/>
  <c r="E1694" i="1"/>
  <c r="P1693" i="1"/>
  <c r="E1693" i="1"/>
  <c r="P1692" i="1"/>
  <c r="E1692" i="1"/>
  <c r="P1691" i="1"/>
  <c r="E1691" i="1"/>
  <c r="P1690" i="1"/>
  <c r="E1690" i="1"/>
  <c r="P1689" i="1"/>
  <c r="E1689" i="1"/>
  <c r="P1688" i="1"/>
  <c r="E1688" i="1"/>
  <c r="P1687" i="1"/>
  <c r="E1687" i="1"/>
  <c r="P1686" i="1"/>
  <c r="E1686" i="1"/>
  <c r="P1685" i="1"/>
  <c r="E1685" i="1"/>
  <c r="P1684" i="1"/>
  <c r="E1684" i="1"/>
  <c r="P1683" i="1"/>
  <c r="E1683" i="1"/>
  <c r="P1682" i="1"/>
  <c r="E1682" i="1"/>
  <c r="P1681" i="1"/>
  <c r="E1681" i="1"/>
  <c r="P1680" i="1"/>
  <c r="E1680" i="1"/>
  <c r="P1679" i="1"/>
  <c r="E1679" i="1"/>
  <c r="P1678" i="1"/>
  <c r="E1678" i="1"/>
  <c r="P1677" i="1"/>
  <c r="E1677" i="1"/>
  <c r="P1676" i="1"/>
  <c r="E1676" i="1"/>
  <c r="P1675" i="1"/>
  <c r="E1675" i="1"/>
  <c r="P1674" i="1"/>
  <c r="E1674" i="1"/>
  <c r="P1673" i="1"/>
  <c r="E1673" i="1"/>
  <c r="P1672" i="1"/>
  <c r="E1672" i="1"/>
  <c r="P1671" i="1"/>
  <c r="E1671" i="1"/>
  <c r="P1670" i="1"/>
  <c r="E1670" i="1"/>
  <c r="P1669" i="1"/>
  <c r="E1669" i="1"/>
  <c r="P1668" i="1"/>
  <c r="E1668" i="1"/>
  <c r="P1667" i="1"/>
  <c r="E1667" i="1"/>
  <c r="P1666" i="1"/>
  <c r="E1666" i="1"/>
  <c r="P1665" i="1"/>
  <c r="E1665" i="1"/>
  <c r="P1664" i="1"/>
  <c r="E1664" i="1"/>
  <c r="P1663" i="1"/>
  <c r="E1663" i="1"/>
  <c r="P1662" i="1"/>
  <c r="E1662" i="1"/>
  <c r="P1661" i="1"/>
  <c r="E1661" i="1"/>
  <c r="P1660" i="1"/>
  <c r="E1660" i="1"/>
  <c r="P1659" i="1"/>
  <c r="E1659" i="1"/>
  <c r="P1658" i="1"/>
  <c r="E1658" i="1"/>
  <c r="P1657" i="1"/>
  <c r="E1657" i="1"/>
  <c r="P1656" i="1"/>
  <c r="E1656" i="1"/>
  <c r="P1655" i="1"/>
  <c r="E1655" i="1"/>
  <c r="P1654" i="1"/>
  <c r="E1654" i="1"/>
  <c r="P1653" i="1"/>
  <c r="E1653" i="1"/>
  <c r="P1652" i="1"/>
  <c r="E1652" i="1"/>
  <c r="P1651" i="1"/>
  <c r="E1651" i="1"/>
  <c r="P1650" i="1"/>
  <c r="E1650" i="1"/>
  <c r="P1649" i="1"/>
  <c r="E1649" i="1"/>
  <c r="P1648" i="1"/>
  <c r="E1648" i="1"/>
  <c r="P1647" i="1"/>
  <c r="E1647" i="1"/>
  <c r="P1646" i="1"/>
  <c r="E1646" i="1"/>
  <c r="P1645" i="1"/>
  <c r="E1645" i="1"/>
  <c r="P1644" i="1"/>
  <c r="E1644" i="1"/>
  <c r="P1643" i="1"/>
  <c r="E1643" i="1"/>
  <c r="P1642" i="1"/>
  <c r="E1642" i="1"/>
  <c r="P1641" i="1"/>
  <c r="E1641" i="1"/>
  <c r="P1640" i="1"/>
  <c r="E1640" i="1"/>
  <c r="P1639" i="1"/>
  <c r="E1639" i="1"/>
  <c r="P1638" i="1"/>
  <c r="E1638" i="1"/>
  <c r="P1637" i="1"/>
  <c r="E1637" i="1"/>
  <c r="P1636" i="1"/>
  <c r="E1636" i="1"/>
  <c r="P1635" i="1"/>
  <c r="E1635" i="1"/>
  <c r="P1634" i="1"/>
  <c r="E1634" i="1"/>
  <c r="P1633" i="1"/>
  <c r="E1633" i="1"/>
  <c r="P1632" i="1"/>
  <c r="E1632" i="1"/>
  <c r="P1631" i="1"/>
  <c r="E1631" i="1"/>
  <c r="P1630" i="1"/>
  <c r="E1630" i="1"/>
  <c r="P1629" i="1"/>
  <c r="E1629" i="1"/>
  <c r="P1628" i="1"/>
  <c r="E1628" i="1"/>
  <c r="P1627" i="1"/>
  <c r="E1627" i="1"/>
  <c r="P1626" i="1"/>
  <c r="E1626" i="1"/>
  <c r="P1625" i="1"/>
  <c r="E1625" i="1"/>
  <c r="P1624" i="1"/>
  <c r="E1624" i="1"/>
  <c r="P1623" i="1"/>
  <c r="E1623" i="1"/>
  <c r="P1622" i="1"/>
  <c r="E1622" i="1"/>
  <c r="P1621" i="1"/>
  <c r="E1621" i="1"/>
  <c r="P1620" i="1"/>
  <c r="E1620" i="1"/>
  <c r="P1619" i="1"/>
  <c r="E1619" i="1"/>
  <c r="P1618" i="1"/>
  <c r="E1618" i="1"/>
  <c r="P1617" i="1"/>
  <c r="E1617" i="1"/>
  <c r="P1616" i="1"/>
  <c r="E1616" i="1"/>
  <c r="P1615" i="1"/>
  <c r="E1615" i="1"/>
  <c r="P1614" i="1"/>
  <c r="E1614" i="1"/>
  <c r="P1613" i="1"/>
  <c r="E1613" i="1"/>
  <c r="P1612" i="1"/>
  <c r="E1612" i="1"/>
  <c r="P1611" i="1"/>
  <c r="E1611" i="1"/>
  <c r="P1610" i="1"/>
  <c r="E1610" i="1"/>
  <c r="P1609" i="1"/>
  <c r="E1609" i="1"/>
  <c r="P1608" i="1"/>
  <c r="E1608" i="1"/>
  <c r="P1607" i="1"/>
  <c r="E1607" i="1"/>
  <c r="P1606" i="1"/>
  <c r="E1606" i="1"/>
  <c r="P1605" i="1"/>
  <c r="E1605" i="1"/>
  <c r="P1604" i="1"/>
  <c r="E1604" i="1"/>
  <c r="P1603" i="1"/>
  <c r="E1603" i="1"/>
  <c r="P1602" i="1"/>
  <c r="E1602" i="1"/>
  <c r="P1601" i="1"/>
  <c r="E1601" i="1"/>
  <c r="P1600" i="1"/>
  <c r="E1600" i="1"/>
  <c r="P1599" i="1"/>
  <c r="E1599" i="1"/>
  <c r="P1598" i="1"/>
  <c r="E1598" i="1"/>
  <c r="P1597" i="1"/>
  <c r="E1597" i="1"/>
  <c r="P1596" i="1"/>
  <c r="E1596" i="1"/>
  <c r="P1595" i="1"/>
  <c r="E1595" i="1"/>
  <c r="P1594" i="1"/>
  <c r="E1594" i="1"/>
  <c r="P1593" i="1"/>
  <c r="E1593" i="1"/>
  <c r="P1592" i="1"/>
  <c r="E1592" i="1"/>
  <c r="P1591" i="1"/>
  <c r="E1591" i="1"/>
  <c r="P1590" i="1"/>
  <c r="E1590" i="1"/>
  <c r="P1589" i="1"/>
  <c r="E1589" i="1"/>
  <c r="P1588" i="1"/>
  <c r="E1588" i="1"/>
  <c r="P1587" i="1"/>
  <c r="E1587" i="1"/>
  <c r="P1586" i="1"/>
  <c r="E1586" i="1"/>
  <c r="P1585" i="1"/>
  <c r="E1585" i="1"/>
  <c r="P1584" i="1"/>
  <c r="E1584" i="1"/>
  <c r="P1583" i="1"/>
  <c r="E1583" i="1"/>
  <c r="P1582" i="1"/>
  <c r="E1582" i="1"/>
  <c r="P1581" i="1"/>
  <c r="E1581" i="1"/>
  <c r="P1580" i="1"/>
  <c r="E1580" i="1"/>
  <c r="P1579" i="1"/>
  <c r="E1579" i="1"/>
  <c r="P1578" i="1"/>
  <c r="E1578" i="1"/>
  <c r="P1577" i="1"/>
  <c r="E1577" i="1"/>
  <c r="P1576" i="1"/>
  <c r="E1576" i="1"/>
  <c r="P1575" i="1"/>
  <c r="E1575" i="1"/>
  <c r="P1574" i="1"/>
  <c r="E1574" i="1"/>
  <c r="P1573" i="1"/>
  <c r="E1573" i="1"/>
  <c r="P1572" i="1"/>
  <c r="E1572" i="1"/>
  <c r="P1571" i="1"/>
  <c r="E1571" i="1"/>
  <c r="P1570" i="1"/>
  <c r="E1570" i="1"/>
  <c r="P1569" i="1"/>
  <c r="E1569" i="1"/>
  <c r="P1568" i="1"/>
  <c r="E1568" i="1"/>
  <c r="P1567" i="1"/>
  <c r="E1567" i="1"/>
  <c r="P1566" i="1"/>
  <c r="E1566" i="1"/>
  <c r="P1565" i="1"/>
  <c r="E1565" i="1"/>
  <c r="P1564" i="1"/>
  <c r="E1564" i="1"/>
  <c r="P1563" i="1"/>
  <c r="E1563" i="1"/>
  <c r="P1562" i="1"/>
  <c r="E1562" i="1"/>
  <c r="P1561" i="1"/>
  <c r="E1561" i="1"/>
  <c r="P1560" i="1"/>
  <c r="E1560" i="1"/>
  <c r="P1559" i="1"/>
  <c r="E1559" i="1"/>
  <c r="P1558" i="1"/>
  <c r="E1558" i="1"/>
  <c r="P1557" i="1"/>
  <c r="E1557" i="1"/>
  <c r="P1556" i="1"/>
  <c r="E1556" i="1"/>
  <c r="P1555" i="1"/>
  <c r="E1555" i="1"/>
  <c r="P1554" i="1"/>
  <c r="E1554" i="1"/>
  <c r="P1553" i="1"/>
  <c r="E1553" i="1"/>
  <c r="P1552" i="1"/>
  <c r="E1552" i="1"/>
  <c r="P1551" i="1"/>
  <c r="E1551" i="1"/>
  <c r="P1550" i="1"/>
  <c r="E1550" i="1"/>
  <c r="P1549" i="1"/>
  <c r="E1549" i="1"/>
  <c r="P1548" i="1"/>
  <c r="E1548" i="1"/>
  <c r="P1547" i="1"/>
  <c r="E1547" i="1"/>
  <c r="P1546" i="1"/>
  <c r="E1546" i="1"/>
  <c r="P1545" i="1"/>
  <c r="E1545" i="1"/>
  <c r="P1544" i="1"/>
  <c r="E1544" i="1"/>
  <c r="P1543" i="1"/>
  <c r="E1543" i="1"/>
  <c r="P1542" i="1"/>
  <c r="E1542" i="1"/>
  <c r="P1541" i="1"/>
  <c r="E1541" i="1"/>
  <c r="P1540" i="1"/>
  <c r="E1540" i="1"/>
  <c r="P1539" i="1"/>
  <c r="E1539" i="1"/>
  <c r="P1538" i="1"/>
  <c r="E1538" i="1"/>
  <c r="P1537" i="1"/>
  <c r="E1537" i="1"/>
  <c r="P1536" i="1"/>
  <c r="E1536" i="1"/>
  <c r="P1535" i="1"/>
  <c r="E1535" i="1"/>
  <c r="P1534" i="1"/>
  <c r="E1534" i="1"/>
  <c r="P1533" i="1"/>
  <c r="E1533" i="1"/>
  <c r="P1532" i="1"/>
  <c r="E1532" i="1"/>
  <c r="P1531" i="1"/>
  <c r="E1531" i="1"/>
  <c r="P1530" i="1"/>
  <c r="E1530" i="1"/>
  <c r="P1529" i="1"/>
  <c r="E1529" i="1"/>
  <c r="P1528" i="1"/>
  <c r="E1528" i="1"/>
  <c r="P1527" i="1"/>
  <c r="E1527" i="1"/>
  <c r="P1526" i="1"/>
  <c r="E1526" i="1"/>
  <c r="P1525" i="1"/>
  <c r="E1525" i="1"/>
  <c r="P1524" i="1"/>
  <c r="E1524" i="1"/>
  <c r="P1523" i="1"/>
  <c r="E1523" i="1"/>
  <c r="P1522" i="1"/>
  <c r="E1522" i="1"/>
  <c r="P1521" i="1"/>
  <c r="E1521" i="1"/>
  <c r="P1520" i="1"/>
  <c r="E1520" i="1"/>
  <c r="P1519" i="1"/>
  <c r="E1519" i="1"/>
  <c r="P1518" i="1"/>
  <c r="E1518" i="1"/>
  <c r="P1517" i="1"/>
  <c r="E1517" i="1"/>
  <c r="P1516" i="1"/>
  <c r="E1516" i="1"/>
  <c r="P1515" i="1"/>
  <c r="E1515" i="1"/>
  <c r="P1514" i="1"/>
  <c r="E1514" i="1"/>
  <c r="P1513" i="1"/>
  <c r="E1513" i="1"/>
  <c r="P1512" i="1"/>
  <c r="E1512" i="1"/>
  <c r="P1511" i="1"/>
  <c r="E1511" i="1"/>
  <c r="P1510" i="1"/>
  <c r="E1510" i="1"/>
  <c r="P1509" i="1"/>
  <c r="E1509" i="1"/>
  <c r="P1508" i="1"/>
  <c r="E1508" i="1"/>
  <c r="P1507" i="1"/>
  <c r="E1507" i="1"/>
  <c r="P1506" i="1"/>
  <c r="E1506" i="1"/>
  <c r="P1505" i="1"/>
  <c r="E1505" i="1"/>
  <c r="P1504" i="1"/>
  <c r="E1504" i="1"/>
  <c r="P1503" i="1"/>
  <c r="E1503" i="1"/>
  <c r="P1502" i="1"/>
  <c r="E1502" i="1"/>
  <c r="P1501" i="1"/>
  <c r="E1501" i="1"/>
  <c r="P1500" i="1"/>
  <c r="E1500" i="1"/>
  <c r="P1499" i="1"/>
  <c r="E1499" i="1"/>
  <c r="P1498" i="1"/>
  <c r="E1498" i="1"/>
  <c r="P1497" i="1"/>
  <c r="E1497" i="1"/>
  <c r="P1496" i="1"/>
  <c r="E1496" i="1"/>
  <c r="P1495" i="1"/>
  <c r="E1495" i="1"/>
  <c r="P1494" i="1"/>
  <c r="E1494" i="1"/>
  <c r="P1493" i="1"/>
  <c r="E1493" i="1"/>
  <c r="P1492" i="1"/>
  <c r="E1492" i="1"/>
  <c r="P1491" i="1"/>
  <c r="E1491" i="1"/>
  <c r="P1490" i="1"/>
  <c r="E1490" i="1"/>
  <c r="P1489" i="1"/>
  <c r="E1489" i="1"/>
  <c r="P1488" i="1"/>
  <c r="E1488" i="1"/>
  <c r="P1487" i="1"/>
  <c r="E1487" i="1"/>
  <c r="P1486" i="1"/>
  <c r="E1486" i="1"/>
  <c r="P1485" i="1"/>
  <c r="E1485" i="1"/>
  <c r="P1484" i="1"/>
  <c r="E1484" i="1"/>
  <c r="P1483" i="1"/>
  <c r="E1483" i="1"/>
  <c r="P1482" i="1"/>
  <c r="E1482" i="1"/>
  <c r="P1481" i="1"/>
  <c r="E1481" i="1"/>
  <c r="P1480" i="1"/>
  <c r="E1480" i="1"/>
  <c r="P1479" i="1"/>
  <c r="E1479" i="1"/>
  <c r="P1478" i="1"/>
  <c r="E1478" i="1"/>
  <c r="P1477" i="1"/>
  <c r="E1477" i="1"/>
  <c r="P1476" i="1"/>
  <c r="E1476" i="1"/>
  <c r="P1475" i="1"/>
  <c r="E1475" i="1"/>
  <c r="P1474" i="1"/>
  <c r="E1474" i="1"/>
  <c r="P1473" i="1"/>
  <c r="E1473" i="1"/>
  <c r="P1472" i="1"/>
  <c r="E1472" i="1"/>
  <c r="P1471" i="1"/>
  <c r="E1471" i="1"/>
  <c r="P1470" i="1"/>
  <c r="E1470" i="1"/>
  <c r="P1469" i="1"/>
  <c r="E1469" i="1"/>
  <c r="P1468" i="1"/>
  <c r="E1468" i="1"/>
  <c r="P1467" i="1"/>
  <c r="E1467" i="1"/>
  <c r="P1466" i="1"/>
  <c r="E1466" i="1"/>
  <c r="P1465" i="1"/>
  <c r="E1465" i="1"/>
  <c r="P1464" i="1"/>
  <c r="E1464" i="1"/>
  <c r="P1463" i="1"/>
  <c r="E1463" i="1"/>
  <c r="P1462" i="1"/>
  <c r="E1462" i="1"/>
  <c r="P1461" i="1"/>
  <c r="E1461" i="1"/>
  <c r="P1460" i="1"/>
  <c r="E1460" i="1"/>
  <c r="P1459" i="1"/>
  <c r="E1459" i="1"/>
  <c r="P1458" i="1"/>
  <c r="E1458" i="1"/>
  <c r="P1457" i="1"/>
  <c r="E1457" i="1"/>
  <c r="P1456" i="1"/>
  <c r="E1456" i="1"/>
  <c r="P1455" i="1"/>
  <c r="E1455" i="1"/>
  <c r="P1454" i="1"/>
  <c r="E1454" i="1"/>
  <c r="P1453" i="1"/>
  <c r="E1453" i="1"/>
  <c r="P1452" i="1"/>
  <c r="E1452" i="1"/>
  <c r="P1451" i="1"/>
  <c r="E1451" i="1"/>
  <c r="P1450" i="1"/>
  <c r="E1450" i="1"/>
  <c r="P1449" i="1"/>
  <c r="E1449" i="1"/>
  <c r="P1448" i="1"/>
  <c r="E1448" i="1"/>
  <c r="P1447" i="1"/>
  <c r="E1447" i="1"/>
  <c r="P1446" i="1"/>
  <c r="E1446" i="1"/>
  <c r="P1445" i="1"/>
  <c r="E1445" i="1"/>
  <c r="P1444" i="1"/>
  <c r="E1444" i="1"/>
  <c r="P1443" i="1"/>
  <c r="E1443" i="1"/>
  <c r="P1442" i="1"/>
  <c r="E1442" i="1"/>
  <c r="P1441" i="1"/>
  <c r="E1441" i="1"/>
  <c r="P1440" i="1"/>
  <c r="E1440" i="1"/>
  <c r="P1439" i="1"/>
  <c r="E1439" i="1"/>
  <c r="P1438" i="1"/>
  <c r="E1438" i="1"/>
  <c r="P1437" i="1"/>
  <c r="E1437" i="1"/>
  <c r="P1436" i="1"/>
  <c r="E1436" i="1"/>
  <c r="P1435" i="1"/>
  <c r="E1435" i="1"/>
  <c r="P1434" i="1"/>
  <c r="E1434" i="1"/>
  <c r="P1433" i="1"/>
  <c r="E1433" i="1"/>
  <c r="P1432" i="1"/>
  <c r="E1432" i="1"/>
  <c r="P1431" i="1"/>
  <c r="E1431" i="1"/>
  <c r="P1430" i="1"/>
  <c r="E1430" i="1"/>
  <c r="P1429" i="1"/>
  <c r="E1429" i="1"/>
  <c r="P1428" i="1"/>
  <c r="E1428" i="1"/>
  <c r="P1427" i="1"/>
  <c r="E1427" i="1"/>
  <c r="P1426" i="1"/>
  <c r="E1426" i="1"/>
  <c r="P1425" i="1"/>
  <c r="E1425" i="1"/>
  <c r="P1424" i="1"/>
  <c r="E1424" i="1"/>
  <c r="P1423" i="1"/>
  <c r="E1423" i="1"/>
  <c r="P1422" i="1"/>
  <c r="E1422" i="1"/>
  <c r="P1421" i="1"/>
  <c r="E1421" i="1"/>
  <c r="P1420" i="1"/>
  <c r="E1420" i="1"/>
  <c r="P1419" i="1"/>
  <c r="E1419" i="1"/>
  <c r="P1418" i="1"/>
  <c r="E1418" i="1"/>
  <c r="P1417" i="1"/>
  <c r="E1417" i="1"/>
  <c r="P1416" i="1"/>
  <c r="E1416" i="1"/>
  <c r="P1415" i="1"/>
  <c r="E1415" i="1"/>
  <c r="P1414" i="1"/>
  <c r="E1414" i="1"/>
  <c r="P1413" i="1"/>
  <c r="E1413" i="1"/>
  <c r="P1412" i="1"/>
  <c r="E1412" i="1"/>
  <c r="P1411" i="1"/>
  <c r="E1411" i="1"/>
  <c r="P1410" i="1"/>
  <c r="E1410" i="1"/>
  <c r="P1409" i="1"/>
  <c r="E1409" i="1"/>
  <c r="P1408" i="1"/>
  <c r="E1408" i="1"/>
  <c r="P1407" i="1"/>
  <c r="E1407" i="1"/>
  <c r="P1406" i="1"/>
  <c r="E1406" i="1"/>
  <c r="P1405" i="1"/>
  <c r="E1405" i="1"/>
  <c r="P1404" i="1"/>
  <c r="E1404" i="1"/>
  <c r="P1403" i="1"/>
  <c r="E1403" i="1"/>
  <c r="P1402" i="1"/>
  <c r="E1402" i="1"/>
  <c r="P1401" i="1"/>
  <c r="E1401" i="1"/>
  <c r="P1400" i="1"/>
  <c r="E1400" i="1"/>
  <c r="P1399" i="1"/>
  <c r="E1399" i="1"/>
  <c r="P1398" i="1"/>
  <c r="E1398" i="1"/>
  <c r="P1397" i="1"/>
  <c r="E1397" i="1"/>
  <c r="P1396" i="1"/>
  <c r="E1396" i="1"/>
  <c r="P1395" i="1"/>
  <c r="E1395" i="1"/>
  <c r="P1394" i="1"/>
  <c r="E1394" i="1"/>
  <c r="P1393" i="1"/>
  <c r="E1393" i="1"/>
  <c r="P1392" i="1"/>
  <c r="E1392" i="1"/>
  <c r="P1391" i="1"/>
  <c r="E1391" i="1"/>
  <c r="P1390" i="1"/>
  <c r="E1390" i="1"/>
  <c r="P1389" i="1"/>
  <c r="E1389" i="1"/>
  <c r="P1388" i="1"/>
  <c r="E1388" i="1"/>
  <c r="P1387" i="1"/>
  <c r="E1387" i="1"/>
  <c r="P1386" i="1"/>
  <c r="E1386" i="1"/>
  <c r="P1385" i="1"/>
  <c r="E1385" i="1"/>
  <c r="P1384" i="1"/>
  <c r="E1384" i="1"/>
  <c r="P1383" i="1"/>
  <c r="E1383" i="1"/>
  <c r="P1382" i="1"/>
  <c r="E1382" i="1"/>
  <c r="P1381" i="1"/>
  <c r="E1381" i="1"/>
  <c r="P1380" i="1"/>
  <c r="E1380" i="1"/>
  <c r="P1379" i="1"/>
  <c r="E1379" i="1"/>
  <c r="P1378" i="1"/>
  <c r="E1378" i="1"/>
  <c r="P1377" i="1"/>
  <c r="E1377" i="1"/>
  <c r="P1376" i="1"/>
  <c r="E1376" i="1"/>
  <c r="P1375" i="1"/>
  <c r="E1375" i="1"/>
  <c r="P1374" i="1"/>
  <c r="E1374" i="1"/>
  <c r="P1373" i="1"/>
  <c r="E1373" i="1"/>
  <c r="P1372" i="1"/>
  <c r="E1372" i="1"/>
  <c r="P1371" i="1"/>
  <c r="E1371" i="1"/>
  <c r="P1370" i="1"/>
  <c r="E1370" i="1"/>
  <c r="P1369" i="1"/>
  <c r="E1369" i="1"/>
  <c r="P1368" i="1"/>
  <c r="E1368" i="1"/>
  <c r="P1367" i="1"/>
  <c r="E1367" i="1"/>
  <c r="P1366" i="1"/>
  <c r="E1366" i="1"/>
  <c r="P1365" i="1"/>
  <c r="E1365" i="1"/>
  <c r="P1364" i="1"/>
  <c r="E1364" i="1"/>
  <c r="P1363" i="1"/>
  <c r="E1363" i="1"/>
  <c r="P1362" i="1"/>
  <c r="E1362" i="1"/>
  <c r="P1361" i="1"/>
  <c r="E1361" i="1"/>
  <c r="P1360" i="1"/>
  <c r="E1360" i="1"/>
  <c r="P1359" i="1"/>
  <c r="E1359" i="1"/>
  <c r="P1358" i="1"/>
  <c r="E1358" i="1"/>
  <c r="P1357" i="1"/>
  <c r="E1357" i="1"/>
  <c r="P1356" i="1"/>
  <c r="E1356" i="1"/>
  <c r="P1355" i="1"/>
  <c r="E1355" i="1"/>
  <c r="P1354" i="1"/>
  <c r="E1354" i="1"/>
  <c r="P1353" i="1"/>
  <c r="E1353" i="1"/>
  <c r="P1352" i="1"/>
  <c r="E1352" i="1"/>
  <c r="P1351" i="1"/>
  <c r="E1351" i="1"/>
  <c r="P1350" i="1"/>
  <c r="E1350" i="1"/>
  <c r="P1349" i="1"/>
  <c r="E1349" i="1"/>
  <c r="P1348" i="1"/>
  <c r="E1348" i="1"/>
  <c r="P1347" i="1"/>
  <c r="E1347" i="1"/>
  <c r="P1346" i="1"/>
  <c r="E1346" i="1"/>
  <c r="P1345" i="1"/>
  <c r="E1345" i="1"/>
  <c r="P1344" i="1"/>
  <c r="E1344" i="1"/>
  <c r="P1343" i="1"/>
  <c r="E1343" i="1"/>
  <c r="P1342" i="1"/>
  <c r="E1342" i="1"/>
  <c r="P1341" i="1"/>
  <c r="E1341" i="1"/>
  <c r="P1340" i="1"/>
  <c r="E1340" i="1"/>
  <c r="P1339" i="1"/>
  <c r="E1339" i="1"/>
  <c r="P1338" i="1"/>
  <c r="E1338" i="1"/>
  <c r="P1337" i="1"/>
  <c r="E1337" i="1"/>
  <c r="P1336" i="1"/>
  <c r="E1336" i="1"/>
  <c r="P1335" i="1"/>
  <c r="E1335" i="1"/>
  <c r="P1334" i="1"/>
  <c r="E1334" i="1"/>
  <c r="P1333" i="1"/>
  <c r="E1333" i="1"/>
  <c r="P1332" i="1"/>
  <c r="E1332" i="1"/>
  <c r="P1331" i="1"/>
  <c r="E1331" i="1"/>
  <c r="P1330" i="1"/>
  <c r="E1330" i="1"/>
  <c r="P1329" i="1"/>
  <c r="E1329" i="1"/>
  <c r="P1328" i="1"/>
  <c r="E1328" i="1"/>
  <c r="P1327" i="1"/>
  <c r="E1327" i="1"/>
  <c r="P1326" i="1"/>
  <c r="E1326" i="1"/>
  <c r="P1325" i="1"/>
  <c r="E1325" i="1"/>
  <c r="P1324" i="1"/>
  <c r="E1324" i="1"/>
  <c r="P1323" i="1"/>
  <c r="E1323" i="1"/>
  <c r="P1322" i="1"/>
  <c r="E1322" i="1"/>
  <c r="P1321" i="1"/>
  <c r="E1321" i="1"/>
  <c r="P1320" i="1"/>
  <c r="E1320" i="1"/>
  <c r="P1319" i="1"/>
  <c r="E1319" i="1"/>
  <c r="P1318" i="1"/>
  <c r="E1318" i="1"/>
  <c r="P1317" i="1"/>
  <c r="E1317" i="1"/>
  <c r="P1316" i="1"/>
  <c r="E1316" i="1"/>
  <c r="P1315" i="1"/>
  <c r="E1315" i="1"/>
  <c r="P1314" i="1"/>
  <c r="E1314" i="1"/>
  <c r="P1313" i="1"/>
  <c r="E1313" i="1"/>
  <c r="P1312" i="1"/>
  <c r="E1312" i="1"/>
  <c r="P1311" i="1"/>
  <c r="E1311" i="1"/>
  <c r="P1310" i="1"/>
  <c r="E1310" i="1"/>
  <c r="P1309" i="1"/>
  <c r="E1309" i="1"/>
  <c r="P1308" i="1"/>
  <c r="E1308" i="1"/>
  <c r="P1307" i="1"/>
  <c r="E1307" i="1"/>
  <c r="P1306" i="1"/>
  <c r="E1306" i="1"/>
  <c r="P1305" i="1"/>
  <c r="E1305" i="1"/>
  <c r="P1304" i="1"/>
  <c r="E1304" i="1"/>
  <c r="P1303" i="1"/>
  <c r="E1303" i="1"/>
  <c r="P1302" i="1"/>
  <c r="E1302" i="1"/>
  <c r="P1301" i="1"/>
  <c r="E1301" i="1"/>
  <c r="P1300" i="1"/>
  <c r="E1300" i="1"/>
  <c r="P1299" i="1"/>
  <c r="E1299" i="1"/>
  <c r="P1298" i="1"/>
  <c r="E1298" i="1"/>
  <c r="P1297" i="1"/>
  <c r="E1297" i="1"/>
  <c r="P1296" i="1"/>
  <c r="E1296" i="1"/>
  <c r="P1295" i="1"/>
  <c r="E1295" i="1"/>
  <c r="P1294" i="1"/>
  <c r="E1294" i="1"/>
  <c r="P1293" i="1"/>
  <c r="E1293" i="1"/>
  <c r="P1292" i="1"/>
  <c r="E1292" i="1"/>
  <c r="P1291" i="1"/>
  <c r="E1291" i="1"/>
  <c r="P1290" i="1"/>
  <c r="E1290" i="1"/>
  <c r="P1289" i="1"/>
  <c r="E1289" i="1"/>
  <c r="P1288" i="1"/>
  <c r="E1288" i="1"/>
  <c r="P1287" i="1"/>
  <c r="E1287" i="1"/>
  <c r="P1286" i="1"/>
  <c r="E1286" i="1"/>
  <c r="P1285" i="1"/>
  <c r="E1285" i="1"/>
  <c r="P1284" i="1"/>
  <c r="E1284" i="1"/>
  <c r="P1283" i="1"/>
  <c r="E1283" i="1"/>
  <c r="P1282" i="1"/>
  <c r="E1282" i="1"/>
  <c r="P1281" i="1"/>
  <c r="E1281" i="1"/>
  <c r="P1280" i="1"/>
  <c r="E1280" i="1"/>
  <c r="P1279" i="1"/>
  <c r="E1279" i="1"/>
  <c r="P1278" i="1"/>
  <c r="E1278" i="1"/>
  <c r="P1277" i="1"/>
  <c r="E1277" i="1"/>
  <c r="P1276" i="1"/>
  <c r="E1276" i="1"/>
  <c r="P1275" i="1"/>
  <c r="E1275" i="1"/>
  <c r="P1274" i="1"/>
  <c r="E1274" i="1"/>
  <c r="P1273" i="1"/>
  <c r="E1273" i="1"/>
  <c r="P1272" i="1"/>
  <c r="E1272" i="1"/>
  <c r="P1271" i="1"/>
  <c r="E1271" i="1"/>
  <c r="P1270" i="1"/>
  <c r="E1270" i="1"/>
  <c r="P1269" i="1"/>
  <c r="E1269" i="1"/>
  <c r="P1268" i="1"/>
  <c r="E1268" i="1"/>
  <c r="P1267" i="1"/>
  <c r="E1267" i="1"/>
  <c r="P1266" i="1"/>
  <c r="E1266" i="1"/>
  <c r="P1265" i="1"/>
  <c r="E1265" i="1"/>
  <c r="P1264" i="1"/>
  <c r="E1264" i="1"/>
  <c r="P1263" i="1"/>
  <c r="E1263" i="1"/>
  <c r="P1262" i="1"/>
  <c r="E1262" i="1"/>
  <c r="P1261" i="1"/>
  <c r="E1261" i="1"/>
  <c r="P1260" i="1"/>
  <c r="E1260" i="1"/>
  <c r="P1259" i="1"/>
  <c r="E1259" i="1"/>
  <c r="P1258" i="1"/>
  <c r="E1258" i="1"/>
  <c r="P1257" i="1"/>
  <c r="E1257" i="1"/>
  <c r="P1256" i="1"/>
  <c r="E1256" i="1"/>
  <c r="P1255" i="1"/>
  <c r="E1255" i="1"/>
  <c r="P1254" i="1"/>
  <c r="E1254" i="1"/>
  <c r="P1253" i="1"/>
  <c r="E1253" i="1"/>
  <c r="P1252" i="1"/>
  <c r="E1252" i="1"/>
  <c r="P1251" i="1"/>
  <c r="E1251" i="1"/>
  <c r="P1250" i="1"/>
  <c r="E1250" i="1"/>
  <c r="P1249" i="1"/>
  <c r="E1249" i="1"/>
  <c r="P1248" i="1"/>
  <c r="E1248" i="1"/>
  <c r="P1247" i="1"/>
  <c r="E1247" i="1"/>
  <c r="P1246" i="1"/>
  <c r="E1246" i="1"/>
  <c r="P1245" i="1"/>
  <c r="E1245" i="1"/>
  <c r="P1244" i="1"/>
  <c r="E1244" i="1"/>
  <c r="P1243" i="1"/>
  <c r="E1243" i="1"/>
  <c r="P1242" i="1"/>
  <c r="E1242" i="1"/>
  <c r="P1241" i="1"/>
  <c r="E1241" i="1"/>
  <c r="P1240" i="1"/>
  <c r="E1240" i="1"/>
  <c r="P1239" i="1"/>
  <c r="E1239" i="1"/>
  <c r="P1238" i="1"/>
  <c r="E1238" i="1"/>
  <c r="P1237" i="1"/>
  <c r="E1237" i="1"/>
  <c r="P1236" i="1"/>
  <c r="E1236" i="1"/>
  <c r="P1235" i="1"/>
  <c r="E1235" i="1"/>
  <c r="P1234" i="1"/>
  <c r="E1234" i="1"/>
  <c r="P1233" i="1"/>
  <c r="E1233" i="1"/>
  <c r="P1232" i="1"/>
  <c r="E1232" i="1"/>
  <c r="P1231" i="1"/>
  <c r="E1231" i="1"/>
  <c r="P1230" i="1"/>
  <c r="E1230" i="1"/>
  <c r="P1229" i="1"/>
  <c r="E1229" i="1"/>
  <c r="P1228" i="1"/>
  <c r="E1228" i="1"/>
  <c r="P1227" i="1"/>
  <c r="E1227" i="1"/>
  <c r="P1226" i="1"/>
  <c r="E1226" i="1"/>
  <c r="P1225" i="1"/>
  <c r="E1225" i="1"/>
  <c r="P1224" i="1"/>
  <c r="E1224" i="1"/>
  <c r="P1223" i="1"/>
  <c r="E1223" i="1"/>
  <c r="P1222" i="1"/>
  <c r="E1222" i="1"/>
  <c r="P1221" i="1"/>
  <c r="E1221" i="1"/>
  <c r="P1220" i="1"/>
  <c r="E1220" i="1"/>
  <c r="P1219" i="1"/>
  <c r="E1219" i="1"/>
  <c r="P1218" i="1"/>
  <c r="E1218" i="1"/>
  <c r="P1217" i="1"/>
  <c r="E1217" i="1"/>
  <c r="P1216" i="1"/>
  <c r="E1216" i="1"/>
  <c r="P1215" i="1"/>
  <c r="E1215" i="1"/>
  <c r="P1214" i="1"/>
  <c r="E1214" i="1"/>
  <c r="P1213" i="1"/>
  <c r="E1213" i="1"/>
  <c r="P1212" i="1"/>
  <c r="E1212" i="1"/>
  <c r="P1211" i="1"/>
  <c r="E1211" i="1"/>
  <c r="P1210" i="1"/>
  <c r="E1210" i="1"/>
  <c r="P1209" i="1"/>
  <c r="E1209" i="1"/>
  <c r="P1208" i="1"/>
  <c r="E1208" i="1"/>
  <c r="P1207" i="1"/>
  <c r="E1207" i="1"/>
  <c r="P1206" i="1"/>
  <c r="E1206" i="1"/>
  <c r="P1205" i="1"/>
  <c r="E1205" i="1"/>
  <c r="P1204" i="1"/>
  <c r="E1204" i="1"/>
  <c r="P1203" i="1"/>
  <c r="E1203" i="1"/>
  <c r="P1202" i="1"/>
  <c r="E1202" i="1"/>
  <c r="P1201" i="1"/>
  <c r="E1201" i="1"/>
  <c r="P1200" i="1"/>
  <c r="E1200" i="1"/>
  <c r="P1199" i="1"/>
  <c r="E1199" i="1"/>
  <c r="P1198" i="1"/>
  <c r="E1198" i="1"/>
  <c r="P1197" i="1"/>
  <c r="E1197" i="1"/>
  <c r="P1196" i="1"/>
  <c r="E1196" i="1"/>
  <c r="P1195" i="1"/>
  <c r="E1195" i="1"/>
  <c r="P1194" i="1"/>
  <c r="E1194" i="1"/>
  <c r="P1193" i="1"/>
  <c r="E1193" i="1"/>
  <c r="P1192" i="1"/>
  <c r="E1192" i="1"/>
  <c r="P1191" i="1"/>
  <c r="E1191" i="1"/>
  <c r="P1190" i="1"/>
  <c r="E1190" i="1"/>
  <c r="P1189" i="1"/>
  <c r="E1189" i="1"/>
  <c r="P1188" i="1"/>
  <c r="E1188" i="1"/>
  <c r="P1187" i="1"/>
  <c r="E1187" i="1"/>
  <c r="P1186" i="1"/>
  <c r="E1186" i="1"/>
  <c r="P1185" i="1"/>
  <c r="E1185" i="1"/>
  <c r="P1184" i="1"/>
  <c r="E1184" i="1"/>
  <c r="P1183" i="1"/>
  <c r="E1183" i="1"/>
  <c r="P1182" i="1"/>
  <c r="E1182" i="1"/>
  <c r="P1181" i="1"/>
  <c r="E1181" i="1"/>
  <c r="P1180" i="1"/>
  <c r="E1180" i="1"/>
  <c r="P1179" i="1"/>
  <c r="E1179" i="1"/>
  <c r="P1178" i="1"/>
  <c r="E1178" i="1"/>
  <c r="P1177" i="1"/>
  <c r="E1177" i="1"/>
  <c r="P1176" i="1"/>
  <c r="E1176" i="1"/>
  <c r="P1175" i="1"/>
  <c r="E1175" i="1"/>
  <c r="P1174" i="1"/>
  <c r="E1174" i="1"/>
  <c r="P1173" i="1"/>
  <c r="E1173" i="1"/>
  <c r="P1172" i="1"/>
  <c r="E1172" i="1"/>
  <c r="P1171" i="1"/>
  <c r="E1171" i="1"/>
  <c r="P1170" i="1"/>
  <c r="E1170" i="1"/>
  <c r="P1169" i="1"/>
  <c r="E1169" i="1"/>
  <c r="P1168" i="1"/>
  <c r="E1168" i="1"/>
  <c r="P1167" i="1"/>
  <c r="E1167" i="1"/>
  <c r="P1166" i="1"/>
  <c r="E1166" i="1"/>
  <c r="P1165" i="1"/>
  <c r="E1165" i="1"/>
  <c r="P1164" i="1"/>
  <c r="E1164" i="1"/>
  <c r="P1163" i="1"/>
  <c r="E1163" i="1"/>
  <c r="P1162" i="1"/>
  <c r="E1162" i="1"/>
  <c r="P1161" i="1"/>
  <c r="E1161" i="1"/>
  <c r="P1160" i="1"/>
  <c r="E1160" i="1"/>
  <c r="P1159" i="1"/>
  <c r="E1159" i="1"/>
  <c r="P1158" i="1"/>
  <c r="E1158" i="1"/>
  <c r="P1157" i="1"/>
  <c r="E1157" i="1"/>
  <c r="P1156" i="1"/>
  <c r="E1156" i="1"/>
  <c r="P1155" i="1"/>
  <c r="E1155" i="1"/>
  <c r="P1154" i="1"/>
  <c r="E1154" i="1"/>
  <c r="P1153" i="1"/>
  <c r="E1153" i="1"/>
  <c r="P1152" i="1"/>
  <c r="E1152" i="1"/>
  <c r="P1151" i="1"/>
  <c r="E1151" i="1"/>
  <c r="P1150" i="1"/>
  <c r="E1150" i="1"/>
  <c r="P1149" i="1"/>
  <c r="E1149" i="1"/>
  <c r="P1148" i="1"/>
  <c r="E1148" i="1"/>
  <c r="P1147" i="1"/>
  <c r="E1147" i="1"/>
  <c r="P1146" i="1"/>
  <c r="E1146" i="1"/>
  <c r="P1145" i="1"/>
  <c r="E1145" i="1"/>
  <c r="P1144" i="1"/>
  <c r="E1144" i="1"/>
  <c r="P1143" i="1"/>
  <c r="E1143" i="1"/>
  <c r="P1142" i="1"/>
  <c r="E1142" i="1"/>
  <c r="P1141" i="1"/>
  <c r="E1141" i="1"/>
  <c r="P1140" i="1"/>
  <c r="E1140" i="1"/>
  <c r="P1139" i="1"/>
  <c r="E1139" i="1"/>
  <c r="P1138" i="1"/>
  <c r="E1138" i="1"/>
  <c r="P1137" i="1"/>
  <c r="E1137" i="1"/>
  <c r="P1136" i="1"/>
  <c r="E1136" i="1"/>
  <c r="P1135" i="1"/>
  <c r="E1135" i="1"/>
  <c r="P1134" i="1"/>
  <c r="E1134" i="1"/>
  <c r="P1133" i="1"/>
  <c r="E1133" i="1"/>
  <c r="P1132" i="1"/>
  <c r="E1132" i="1"/>
  <c r="P1131" i="1"/>
  <c r="E1131" i="1"/>
  <c r="P1130" i="1"/>
  <c r="E1130" i="1"/>
  <c r="P1129" i="1"/>
  <c r="E1129" i="1"/>
  <c r="P1128" i="1"/>
  <c r="E1128" i="1"/>
  <c r="P1127" i="1"/>
  <c r="E1127" i="1"/>
  <c r="P1126" i="1"/>
  <c r="E1126" i="1"/>
  <c r="P1125" i="1"/>
  <c r="E1125" i="1"/>
  <c r="P1124" i="1"/>
  <c r="E1124" i="1"/>
  <c r="P1123" i="1"/>
  <c r="E1123" i="1"/>
  <c r="P1122" i="1"/>
  <c r="E1122" i="1"/>
  <c r="P1121" i="1"/>
  <c r="E1121" i="1"/>
  <c r="P1120" i="1"/>
  <c r="E1120" i="1"/>
  <c r="P1119" i="1"/>
  <c r="E1119" i="1"/>
  <c r="P1118" i="1"/>
  <c r="E1118" i="1"/>
  <c r="P1117" i="1"/>
  <c r="E1117" i="1"/>
  <c r="P1116" i="1"/>
  <c r="E1116" i="1"/>
  <c r="P1115" i="1"/>
  <c r="E1115" i="1"/>
  <c r="P1114" i="1"/>
  <c r="E1114" i="1"/>
  <c r="P1113" i="1"/>
  <c r="E1113" i="1"/>
  <c r="P1112" i="1"/>
  <c r="E1112" i="1"/>
  <c r="P1111" i="1"/>
  <c r="E1111" i="1"/>
  <c r="P1110" i="1"/>
  <c r="E1110" i="1"/>
  <c r="P1109" i="1"/>
  <c r="E1109" i="1"/>
  <c r="P1108" i="1"/>
  <c r="E1108" i="1"/>
  <c r="P1107" i="1"/>
  <c r="E1107" i="1"/>
  <c r="P1106" i="1"/>
  <c r="E1106" i="1"/>
  <c r="P1105" i="1"/>
  <c r="E1105" i="1"/>
  <c r="P1104" i="1"/>
  <c r="E1104" i="1"/>
  <c r="P1103" i="1"/>
  <c r="E1103" i="1"/>
  <c r="P1102" i="1"/>
  <c r="E1102" i="1"/>
  <c r="P1101" i="1"/>
  <c r="E1101" i="1"/>
  <c r="P1100" i="1"/>
  <c r="E1100" i="1"/>
  <c r="P1099" i="1"/>
  <c r="E1099" i="1"/>
  <c r="P1098" i="1"/>
  <c r="E1098" i="1"/>
  <c r="P1097" i="1"/>
  <c r="E1097" i="1"/>
  <c r="P1096" i="1"/>
  <c r="E1096" i="1"/>
  <c r="P1095" i="1"/>
  <c r="E1095" i="1"/>
  <c r="P1094" i="1"/>
  <c r="E1094" i="1"/>
  <c r="P1093" i="1"/>
  <c r="E1093" i="1"/>
  <c r="P1092" i="1"/>
  <c r="E1092" i="1"/>
  <c r="P1091" i="1"/>
  <c r="E1091" i="1"/>
  <c r="P1090" i="1"/>
  <c r="E1090" i="1"/>
  <c r="P1089" i="1"/>
  <c r="E1089" i="1"/>
  <c r="P1088" i="1"/>
  <c r="E1088" i="1"/>
  <c r="P1087" i="1"/>
  <c r="E1087" i="1"/>
  <c r="P1086" i="1"/>
  <c r="E1086" i="1"/>
  <c r="P1085" i="1"/>
  <c r="E1085" i="1"/>
  <c r="P1084" i="1"/>
  <c r="E1084" i="1"/>
  <c r="P1083" i="1"/>
  <c r="E1083" i="1"/>
  <c r="P1082" i="1"/>
  <c r="E1082" i="1"/>
  <c r="P1081" i="1"/>
  <c r="E1081" i="1"/>
  <c r="P1080" i="1"/>
  <c r="E1080" i="1"/>
  <c r="P1079" i="1"/>
  <c r="E1079" i="1"/>
  <c r="P1078" i="1"/>
  <c r="E1078" i="1"/>
  <c r="P1077" i="1"/>
  <c r="E1077" i="1"/>
  <c r="P1076" i="1"/>
  <c r="E1076" i="1"/>
  <c r="P1075" i="1"/>
  <c r="E1075" i="1"/>
  <c r="P1074" i="1"/>
  <c r="E1074" i="1"/>
  <c r="P1073" i="1"/>
  <c r="E1073" i="1"/>
  <c r="P1072" i="1"/>
  <c r="E1072" i="1"/>
  <c r="P1071" i="1"/>
  <c r="E1071" i="1"/>
  <c r="P1070" i="1"/>
  <c r="E1070" i="1"/>
  <c r="P1069" i="1"/>
  <c r="E1069" i="1"/>
  <c r="P1068" i="1"/>
  <c r="E1068" i="1"/>
  <c r="P1067" i="1"/>
  <c r="E1067" i="1"/>
  <c r="P1066" i="1"/>
  <c r="E1066" i="1"/>
  <c r="P1065" i="1"/>
  <c r="E1065" i="1"/>
  <c r="P1064" i="1"/>
  <c r="E1064" i="1"/>
  <c r="P1063" i="1"/>
  <c r="E1063" i="1"/>
  <c r="P1062" i="1"/>
  <c r="E1062" i="1"/>
  <c r="P1061" i="1"/>
  <c r="E1061" i="1"/>
  <c r="P1060" i="1"/>
  <c r="E1060" i="1"/>
  <c r="P1059" i="1"/>
  <c r="E1059" i="1"/>
  <c r="P1058" i="1"/>
  <c r="E1058" i="1"/>
  <c r="P1057" i="1"/>
  <c r="E1057" i="1"/>
  <c r="P1056" i="1"/>
  <c r="E1056" i="1"/>
  <c r="P1055" i="1"/>
  <c r="E1055" i="1"/>
  <c r="P1054" i="1"/>
  <c r="E1054" i="1"/>
  <c r="P1053" i="1"/>
  <c r="E1053" i="1"/>
  <c r="P1052" i="1"/>
  <c r="E1052" i="1"/>
  <c r="P1051" i="1"/>
  <c r="E1051" i="1"/>
  <c r="P1050" i="1"/>
  <c r="E1050" i="1"/>
  <c r="P1049" i="1"/>
  <c r="E1049" i="1"/>
  <c r="P1048" i="1"/>
  <c r="E1048" i="1"/>
  <c r="P1047" i="1"/>
  <c r="E1047" i="1"/>
  <c r="P1046" i="1"/>
  <c r="E1046" i="1"/>
  <c r="P1045" i="1"/>
  <c r="E1045" i="1"/>
  <c r="P1044" i="1"/>
  <c r="E1044" i="1"/>
  <c r="P1043" i="1"/>
  <c r="E1043" i="1"/>
  <c r="P1042" i="1"/>
  <c r="E1042" i="1"/>
  <c r="P1041" i="1"/>
  <c r="E1041" i="1"/>
  <c r="P1040" i="1"/>
  <c r="E1040" i="1"/>
  <c r="P1039" i="1"/>
  <c r="E1039" i="1"/>
  <c r="P1038" i="1"/>
  <c r="E1038" i="1"/>
  <c r="P1037" i="1"/>
  <c r="E1037" i="1"/>
  <c r="P1036" i="1"/>
  <c r="E1036" i="1"/>
  <c r="P1035" i="1"/>
  <c r="E1035" i="1"/>
  <c r="P1034" i="1"/>
  <c r="E1034" i="1"/>
  <c r="P1033" i="1"/>
  <c r="E1033" i="1"/>
  <c r="P1032" i="1"/>
  <c r="E1032" i="1"/>
  <c r="P1031" i="1"/>
  <c r="E1031" i="1"/>
  <c r="P1030" i="1"/>
  <c r="E1030" i="1"/>
  <c r="P1029" i="1"/>
  <c r="E1029" i="1"/>
  <c r="P1028" i="1"/>
  <c r="E1028" i="1"/>
  <c r="P1027" i="1"/>
  <c r="E1027" i="1"/>
  <c r="P1026" i="1"/>
  <c r="E1026" i="1"/>
  <c r="P1025" i="1"/>
  <c r="E1025" i="1"/>
  <c r="P1024" i="1"/>
  <c r="E1024" i="1"/>
  <c r="P1023" i="1"/>
  <c r="E1023" i="1"/>
  <c r="P1022" i="1"/>
  <c r="E1022" i="1"/>
  <c r="P1021" i="1"/>
  <c r="E1021" i="1"/>
  <c r="P1020" i="1"/>
  <c r="E1020" i="1"/>
  <c r="P1019" i="1"/>
  <c r="E1019" i="1"/>
  <c r="P1018" i="1"/>
  <c r="E1018" i="1"/>
  <c r="P1017" i="1"/>
  <c r="E1017" i="1"/>
  <c r="P1016" i="1"/>
  <c r="E1016" i="1"/>
  <c r="P1015" i="1"/>
  <c r="E1015" i="1"/>
  <c r="P1014" i="1"/>
  <c r="E1014" i="1"/>
  <c r="P1013" i="1"/>
  <c r="E1013" i="1"/>
  <c r="P1012" i="1"/>
  <c r="E1012" i="1"/>
  <c r="P1011" i="1"/>
  <c r="E1011" i="1"/>
  <c r="P1010" i="1"/>
  <c r="E1010" i="1"/>
  <c r="P1009" i="1"/>
  <c r="E1009" i="1"/>
  <c r="P1008" i="1"/>
  <c r="E1008" i="1"/>
  <c r="P1007" i="1"/>
  <c r="E1007" i="1"/>
  <c r="P1006" i="1"/>
  <c r="E1006" i="1"/>
  <c r="P1005" i="1"/>
  <c r="E1005" i="1"/>
  <c r="P1004" i="1"/>
  <c r="E1004" i="1"/>
  <c r="P1003" i="1"/>
  <c r="E1003" i="1"/>
  <c r="P1002" i="1"/>
  <c r="E1002" i="1"/>
  <c r="P1001" i="1"/>
  <c r="E1001" i="1"/>
  <c r="P1000" i="1"/>
  <c r="E1000" i="1"/>
  <c r="P999" i="1"/>
  <c r="E999" i="1"/>
  <c r="P998" i="1"/>
  <c r="E998" i="1"/>
  <c r="P997" i="1"/>
  <c r="E997" i="1"/>
  <c r="P996" i="1"/>
  <c r="E996" i="1"/>
  <c r="P995" i="1"/>
  <c r="E995" i="1"/>
  <c r="P994" i="1"/>
  <c r="E994" i="1"/>
  <c r="P993" i="1"/>
  <c r="E993" i="1"/>
  <c r="P992" i="1"/>
  <c r="E992" i="1"/>
  <c r="P991" i="1"/>
  <c r="E991" i="1"/>
  <c r="P990" i="1"/>
  <c r="E990" i="1"/>
  <c r="P989" i="1"/>
  <c r="E989" i="1"/>
  <c r="P988" i="1"/>
  <c r="E988" i="1"/>
  <c r="P987" i="1"/>
  <c r="E987" i="1"/>
  <c r="P986" i="1"/>
  <c r="E986" i="1"/>
  <c r="P985" i="1"/>
  <c r="E985" i="1"/>
  <c r="P984" i="1"/>
  <c r="E984" i="1"/>
  <c r="P983" i="1"/>
  <c r="E983" i="1"/>
  <c r="P982" i="1"/>
  <c r="E982" i="1"/>
  <c r="P981" i="1"/>
  <c r="E981" i="1"/>
  <c r="P980" i="1"/>
  <c r="E980" i="1"/>
  <c r="P979" i="1"/>
  <c r="E979" i="1"/>
  <c r="P978" i="1"/>
  <c r="E978" i="1"/>
  <c r="P977" i="1"/>
  <c r="E977" i="1"/>
  <c r="P976" i="1"/>
  <c r="E976" i="1"/>
  <c r="P975" i="1"/>
  <c r="E975" i="1"/>
  <c r="P974" i="1"/>
  <c r="E974" i="1"/>
  <c r="P973" i="1"/>
  <c r="E973" i="1"/>
  <c r="P972" i="1"/>
  <c r="E972" i="1"/>
  <c r="P971" i="1"/>
  <c r="E971" i="1"/>
  <c r="P970" i="1"/>
  <c r="E970" i="1"/>
  <c r="P969" i="1"/>
  <c r="E969" i="1"/>
  <c r="P968" i="1"/>
  <c r="E968" i="1"/>
  <c r="P967" i="1"/>
  <c r="E967" i="1"/>
  <c r="P966" i="1"/>
  <c r="E966" i="1"/>
  <c r="P965" i="1"/>
  <c r="E965" i="1"/>
  <c r="P964" i="1"/>
  <c r="E964" i="1"/>
  <c r="P963" i="1"/>
  <c r="E963" i="1"/>
  <c r="P962" i="1"/>
  <c r="E962" i="1"/>
  <c r="P961" i="1"/>
  <c r="E961" i="1"/>
  <c r="P960" i="1"/>
  <c r="E960" i="1"/>
  <c r="P959" i="1"/>
  <c r="E959" i="1"/>
  <c r="P958" i="1"/>
  <c r="E958" i="1"/>
  <c r="P957" i="1"/>
  <c r="E957" i="1"/>
  <c r="P956" i="1"/>
  <c r="E956" i="1"/>
  <c r="P955" i="1"/>
  <c r="E955" i="1"/>
  <c r="P954" i="1"/>
  <c r="E954" i="1"/>
  <c r="P953" i="1"/>
  <c r="E953" i="1"/>
  <c r="P952" i="1"/>
  <c r="E952" i="1"/>
  <c r="P951" i="1"/>
  <c r="E951" i="1"/>
  <c r="P950" i="1"/>
  <c r="E950" i="1"/>
  <c r="P949" i="1"/>
  <c r="E949" i="1"/>
  <c r="P948" i="1"/>
  <c r="E948" i="1"/>
  <c r="P947" i="1"/>
  <c r="E947" i="1"/>
  <c r="P946" i="1"/>
  <c r="E946" i="1"/>
  <c r="P945" i="1"/>
  <c r="E945" i="1"/>
  <c r="P944" i="1"/>
  <c r="E944" i="1"/>
  <c r="P943" i="1"/>
  <c r="E943" i="1"/>
  <c r="P942" i="1"/>
  <c r="E942" i="1"/>
  <c r="P941" i="1"/>
  <c r="E941" i="1"/>
  <c r="P940" i="1"/>
  <c r="E940" i="1"/>
  <c r="P939" i="1"/>
  <c r="E939" i="1"/>
  <c r="P938" i="1"/>
  <c r="E938" i="1"/>
  <c r="P937" i="1"/>
  <c r="E937" i="1"/>
  <c r="P936" i="1"/>
  <c r="E936" i="1"/>
  <c r="P935" i="1"/>
  <c r="E935" i="1"/>
  <c r="P934" i="1"/>
  <c r="E934" i="1"/>
  <c r="P933" i="1"/>
  <c r="E933" i="1"/>
  <c r="P932" i="1"/>
  <c r="E932" i="1"/>
  <c r="P931" i="1"/>
  <c r="E931" i="1"/>
  <c r="P930" i="1"/>
  <c r="E930" i="1"/>
  <c r="P929" i="1"/>
  <c r="E929" i="1"/>
  <c r="P928" i="1"/>
  <c r="E928" i="1"/>
  <c r="P927" i="1"/>
  <c r="E927" i="1"/>
  <c r="P926" i="1"/>
  <c r="E926" i="1"/>
  <c r="P925" i="1"/>
  <c r="E925" i="1"/>
  <c r="P924" i="1"/>
  <c r="E924" i="1"/>
  <c r="P923" i="1"/>
  <c r="E923" i="1"/>
  <c r="P922" i="1"/>
  <c r="E922" i="1"/>
  <c r="P921" i="1"/>
  <c r="E921" i="1"/>
  <c r="P920" i="1"/>
  <c r="E920" i="1"/>
  <c r="P919" i="1"/>
  <c r="E919" i="1"/>
  <c r="P918" i="1"/>
  <c r="E918" i="1"/>
  <c r="P917" i="1"/>
  <c r="E917" i="1"/>
  <c r="P916" i="1"/>
  <c r="E916" i="1"/>
  <c r="P915" i="1"/>
  <c r="E915" i="1"/>
  <c r="P914" i="1"/>
  <c r="E914" i="1"/>
  <c r="P913" i="1"/>
  <c r="E913" i="1"/>
  <c r="P912" i="1"/>
  <c r="E912" i="1"/>
  <c r="P911" i="1"/>
  <c r="E911" i="1"/>
  <c r="P910" i="1"/>
  <c r="E910" i="1"/>
  <c r="P909" i="1"/>
  <c r="E909" i="1"/>
  <c r="P908" i="1"/>
  <c r="E908" i="1"/>
  <c r="P907" i="1"/>
  <c r="E907" i="1"/>
  <c r="P906" i="1"/>
  <c r="E906" i="1"/>
  <c r="P905" i="1"/>
  <c r="E905" i="1"/>
  <c r="P904" i="1"/>
  <c r="E904" i="1"/>
  <c r="P903" i="1"/>
  <c r="E903" i="1"/>
  <c r="P902" i="1"/>
  <c r="E902" i="1"/>
  <c r="P901" i="1"/>
  <c r="E901" i="1"/>
  <c r="P900" i="1"/>
  <c r="E900" i="1"/>
  <c r="P899" i="1"/>
  <c r="E899" i="1"/>
  <c r="P898" i="1"/>
  <c r="E898" i="1"/>
  <c r="P897" i="1"/>
  <c r="E897" i="1"/>
  <c r="P896" i="1"/>
  <c r="E896" i="1"/>
  <c r="P895" i="1"/>
  <c r="E895" i="1"/>
  <c r="P894" i="1"/>
  <c r="E894" i="1"/>
  <c r="P893" i="1"/>
  <c r="E893" i="1"/>
  <c r="P892" i="1"/>
  <c r="E892" i="1"/>
  <c r="P891" i="1"/>
  <c r="E891" i="1"/>
  <c r="P890" i="1"/>
  <c r="E890" i="1"/>
  <c r="P889" i="1"/>
  <c r="E889" i="1"/>
  <c r="P888" i="1"/>
  <c r="E888" i="1"/>
  <c r="P887" i="1"/>
  <c r="E887" i="1"/>
  <c r="P886" i="1"/>
  <c r="E886" i="1"/>
  <c r="P885" i="1"/>
  <c r="E885" i="1"/>
  <c r="P884" i="1"/>
  <c r="E884" i="1"/>
  <c r="P883" i="1"/>
  <c r="E883" i="1"/>
  <c r="P882" i="1"/>
  <c r="E882" i="1"/>
  <c r="P881" i="1"/>
  <c r="E881" i="1"/>
  <c r="P880" i="1"/>
  <c r="E880" i="1"/>
  <c r="P879" i="1"/>
  <c r="E879" i="1"/>
  <c r="P878" i="1"/>
  <c r="E878" i="1"/>
  <c r="P877" i="1"/>
  <c r="E877" i="1"/>
  <c r="P876" i="1"/>
  <c r="E876" i="1"/>
  <c r="P875" i="1"/>
  <c r="E875" i="1"/>
  <c r="P874" i="1"/>
  <c r="E874" i="1"/>
  <c r="P873" i="1"/>
  <c r="E873" i="1"/>
  <c r="P872" i="1"/>
  <c r="E872" i="1"/>
  <c r="P871" i="1"/>
  <c r="E871" i="1"/>
  <c r="P870" i="1"/>
  <c r="E870" i="1"/>
  <c r="P869" i="1"/>
  <c r="E869" i="1"/>
  <c r="P868" i="1"/>
  <c r="E868" i="1"/>
  <c r="P867" i="1"/>
  <c r="E867" i="1"/>
  <c r="P866" i="1"/>
  <c r="E866" i="1"/>
  <c r="P865" i="1"/>
  <c r="E865" i="1"/>
  <c r="P864" i="1"/>
  <c r="E864" i="1"/>
  <c r="P863" i="1"/>
  <c r="E863" i="1"/>
  <c r="P862" i="1"/>
  <c r="E862" i="1"/>
  <c r="P861" i="1"/>
  <c r="E861" i="1"/>
  <c r="P860" i="1"/>
  <c r="E860" i="1"/>
  <c r="P859" i="1"/>
  <c r="E859" i="1"/>
  <c r="P858" i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82" i="1"/>
  <c r="E782" i="1"/>
  <c r="P781" i="1"/>
  <c r="E781" i="1"/>
  <c r="P780" i="1"/>
  <c r="E780" i="1"/>
  <c r="P779" i="1"/>
  <c r="E779" i="1"/>
  <c r="P778" i="1"/>
  <c r="E778" i="1"/>
  <c r="P777" i="1"/>
  <c r="E777" i="1"/>
  <c r="P776" i="1"/>
  <c r="E776" i="1"/>
  <c r="P775" i="1"/>
  <c r="E775" i="1"/>
  <c r="P774" i="1"/>
  <c r="E774" i="1"/>
  <c r="P773" i="1"/>
  <c r="E773" i="1"/>
  <c r="P772" i="1"/>
  <c r="E772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<sst xmlns="http://schemas.openxmlformats.org/spreadsheetml/2006/main" count="33327" uniqueCount="2180">
  <si>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</si>
  <si>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</si>
  <si>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</si>
  <si>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</si>
  <si>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</si>
  <si>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</si>
  <si>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</si>
  <si>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</si>
  <si>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</si>
  <si>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</si>
  <si>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</si>
  <si>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</si>
  <si>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</si>
  <si>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</si>
  <si>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</si>
  <si>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</si>
  <si>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</si>
  <si>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</si>
  <si>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</si>
  <si>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</si>
  <si>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</si>
  <si>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</si>
  <si>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</si>
  <si>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</si>
  <si>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</si>
  <si>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</si>
  <si>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</si>
  <si>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</si>
  <si>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</si>
  <si>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</si>
  <si>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</si>
  <si>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</si>
  <si>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</si>
  <si>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</si>
  <si>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</si>
  <si>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</si>
  <si>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</si>
  <si>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</si>
  <si>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</si>
  <si>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</si>
  <si>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</si>
  <si>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</si>
  <si>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</si>
  <si>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</si>
  <si>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</si>
  <si>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</si>
  <si>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</si>
  <si>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</si>
  <si>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</si>
  <si>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</si>
  <si>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</si>
  <si>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</si>
  <si>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</si>
  <si>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</si>
  <si>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</si>
  <si>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</si>
  <si>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</si>
  <si>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</si>
  <si>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</si>
  <si>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</si>
  <si>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</si>
  <si>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</si>
  <si>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</si>
  <si>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</si>
  <si>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</si>
  <si>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</si>
  <si>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</si>
  <si>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</si>
  <si>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</si>
  <si>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</si>
  <si>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</si>
  <si>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</si>
  <si>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C17924</t>
  </si>
  <si>
    <t>MOVE ANALYTICS CC (FESTO DIRECT DEL</t>
  </si>
  <si>
    <t>WAY</t>
  </si>
  <si>
    <t>KEMPT</t>
  </si>
  <si>
    <t>KEMPTON PARK</t>
  </si>
  <si>
    <t xml:space="preserve">FESTO (Move Analytics)             </t>
  </si>
  <si>
    <t xml:space="preserve">                                   </t>
  </si>
  <si>
    <t>KRUGE</t>
  </si>
  <si>
    <t>KRUGERSDORP</t>
  </si>
  <si>
    <t xml:space="preserve">RFG FOODS (PTY) LTD                </t>
  </si>
  <si>
    <t>ON1</t>
  </si>
  <si>
    <t>RFG FOODS  PTY  LTD  ATTN  RIV</t>
  </si>
  <si>
    <t>Gift Masinga</t>
  </si>
  <si>
    <t>Palesa</t>
  </si>
  <si>
    <t>yes</t>
  </si>
  <si>
    <t>FUE / DOC</t>
  </si>
  <si>
    <t>POD received from cell 0715414711 M</t>
  </si>
  <si>
    <t>FLYER</t>
  </si>
  <si>
    <t>no</t>
  </si>
  <si>
    <t>CAPET</t>
  </si>
  <si>
    <t>CAPE TOWN</t>
  </si>
  <si>
    <t xml:space="preserve">CIM AUTOMATION PTY LTD MONTAGU     </t>
  </si>
  <si>
    <t>DBC</t>
  </si>
  <si>
    <t>CIM AUTOMATION PTY LTD MONTAGU</t>
  </si>
  <si>
    <t>emilg</t>
  </si>
  <si>
    <t>FUE / doc</t>
  </si>
  <si>
    <t>POD received from cell 0719539417 M</t>
  </si>
  <si>
    <t>BOX</t>
  </si>
  <si>
    <t>PORT3</t>
  </si>
  <si>
    <t>PORT ELIZABETH</t>
  </si>
  <si>
    <t xml:space="preserve">EXCEL TOOLING                      </t>
  </si>
  <si>
    <t>EXCEL TOOLING</t>
  </si>
  <si>
    <t>monique</t>
  </si>
  <si>
    <t>POD received from cell 0793098518 M</t>
  </si>
  <si>
    <t>PRETO</t>
  </si>
  <si>
    <t>PRETORIA</t>
  </si>
  <si>
    <t xml:space="preserve">S.C JOHNSON   SON SA PTY LTD       </t>
  </si>
  <si>
    <t>S.C JOHNSON   SON SA PTY LTD</t>
  </si>
  <si>
    <t>dimakatso</t>
  </si>
  <si>
    <t>POD received from cell 0674000125 M</t>
  </si>
  <si>
    <t xml:space="preserve">BMG ISANDO 0165                    </t>
  </si>
  <si>
    <t>BMG ISANDO</t>
  </si>
  <si>
    <t>Gert</t>
  </si>
  <si>
    <t>POD received from cell 0837323487 M</t>
  </si>
  <si>
    <t>PIET1</t>
  </si>
  <si>
    <t>PIETERMARITZBURG</t>
  </si>
  <si>
    <t xml:space="preserve">HULAMIN OPERATIONS (PTY) LTD       </t>
  </si>
  <si>
    <t>HULAMIN OPERATIONS  PTY  LTD</t>
  </si>
  <si>
    <t>Nondumiso</t>
  </si>
  <si>
    <t>POD received from cell 0625489709 M</t>
  </si>
  <si>
    <t xml:space="preserve">CYLINDER                      </t>
  </si>
  <si>
    <t xml:space="preserve">JENDAMARK AUTOMATION PTY LTD P     </t>
  </si>
  <si>
    <t>JENDAMARK AUTOMATION PTY LTD P</t>
  </si>
  <si>
    <t>reece</t>
  </si>
  <si>
    <t xml:space="preserve">PPC CEMENT SA PTY LTD HERCULES     </t>
  </si>
  <si>
    <t>PPC CEMENT SA PTY LTD HERCULES</t>
  </si>
  <si>
    <t>portia</t>
  </si>
  <si>
    <t>POD received from cell 0768079810 M</t>
  </si>
  <si>
    <t>BOKSB</t>
  </si>
  <si>
    <t>BOKSBURG</t>
  </si>
  <si>
    <t xml:space="preserve">BRANDLINE PACKAGING (PTY) LTD      </t>
  </si>
  <si>
    <t>BRANDLINE PACKAGING  PTY  LTD</t>
  </si>
  <si>
    <t xml:space="preserve">charity                       </t>
  </si>
  <si>
    <t xml:space="preserve">POD received from cell 0837842726 M     </t>
  </si>
  <si>
    <t>EAST</t>
  </si>
  <si>
    <t>EAST LONDON</t>
  </si>
  <si>
    <t xml:space="preserve">TI GROUP AUTOMOTIVE SYSTEMS (P     </t>
  </si>
  <si>
    <t>TI GROUP AUTOMOTIVE SYSTEMS  P</t>
  </si>
  <si>
    <t>PHILLIP</t>
  </si>
  <si>
    <t xml:space="preserve">DANONE SOUTHERN AFRICA PTY LTD     </t>
  </si>
  <si>
    <t>DANONE SOUTHERN AFRICA PTY LTD</t>
  </si>
  <si>
    <t xml:space="preserve">Phillipine                    </t>
  </si>
  <si>
    <t>Consignee not available)</t>
  </si>
  <si>
    <t>mmd</t>
  </si>
  <si>
    <t xml:space="preserve">POD received from cell 0680067827 M     </t>
  </si>
  <si>
    <t xml:space="preserve">AUTO INDUSTRIAL MACHINING A DI     </t>
  </si>
  <si>
    <t>AUTO INDUSTRIAL MACHINING A DI</t>
  </si>
  <si>
    <t>Tshegofatso</t>
  </si>
  <si>
    <t xml:space="preserve">ASTRATEK PROJECTS (PTY) LTD MA     </t>
  </si>
  <si>
    <t>ASTRATEK PROJECTS  PTY  LTD MA</t>
  </si>
  <si>
    <t>Jason</t>
  </si>
  <si>
    <t>POD received from cell 0720194745 M</t>
  </si>
  <si>
    <t>PAARL</t>
  </si>
  <si>
    <t xml:space="preserve">FILMATIC PACKAGING SYSTEMS PTY     </t>
  </si>
  <si>
    <t>FILMATIC PACKAGING SYSTEMS</t>
  </si>
  <si>
    <t>Gary</t>
  </si>
  <si>
    <t>POD received from cell 0671392487 M</t>
  </si>
  <si>
    <t>JOHAN</t>
  </si>
  <si>
    <t>JOHANNESBURG</t>
  </si>
  <si>
    <t xml:space="preserve">TM ENGINEERING                     </t>
  </si>
  <si>
    <t>TM ENGINEERING</t>
  </si>
  <si>
    <t>Tazryn</t>
  </si>
  <si>
    <t>ATH</t>
  </si>
  <si>
    <t>POD received from cell 0767510913 M</t>
  </si>
  <si>
    <t xml:space="preserve">PARCEL                        </t>
  </si>
  <si>
    <t xml:space="preserve">J MEYER ENGINEERING CC             </t>
  </si>
  <si>
    <t>J MEYER ENGINEERING CC</t>
  </si>
  <si>
    <t>j goosen</t>
  </si>
  <si>
    <t xml:space="preserve">BEARINGS ON CC                     </t>
  </si>
  <si>
    <t>BEARINGS ON CC</t>
  </si>
  <si>
    <t>joyce</t>
  </si>
  <si>
    <t>POD received from cell 0825419099 M</t>
  </si>
  <si>
    <t>PINET</t>
  </si>
  <si>
    <t>PINETOWN</t>
  </si>
  <si>
    <t xml:space="preserve">SHIFT-ID (PTY) LTD FALCON PARK     </t>
  </si>
  <si>
    <t>SHIFT-ID  PTY  LTD FALCON PARK</t>
  </si>
  <si>
    <t>penny</t>
  </si>
  <si>
    <t>POD received from cell 0832797874 M</t>
  </si>
  <si>
    <t>SML BOX</t>
  </si>
  <si>
    <t>EMILY</t>
  </si>
  <si>
    <t>BOXES</t>
  </si>
  <si>
    <t xml:space="preserve">EGLI PRECISION ENGINEERING PTY     </t>
  </si>
  <si>
    <t>EGLI PRECISION ENGINEERING PTY</t>
  </si>
  <si>
    <t>Kameshan</t>
  </si>
  <si>
    <t>POD received from cell 0848417301 M</t>
  </si>
  <si>
    <t xml:space="preserve">Devcotech                          </t>
  </si>
  <si>
    <t xml:space="preserve">FESTO                              </t>
  </si>
  <si>
    <t>?</t>
  </si>
  <si>
    <t>GIFT</t>
  </si>
  <si>
    <t>Willie van Niekerk</t>
  </si>
  <si>
    <t>Robby</t>
  </si>
  <si>
    <t>POD received from cell 0774119086 M</t>
  </si>
  <si>
    <t>Box</t>
  </si>
  <si>
    <t xml:space="preserve">FACTORY AUTOMATION AND ENGINEE     </t>
  </si>
  <si>
    <t>FACTORY AUTOMATION AND ENGINEE</t>
  </si>
  <si>
    <t>Redirect waybill on waybill nu</t>
  </si>
  <si>
    <t>Incorrect route allocation</t>
  </si>
  <si>
    <t>SYSTEM</t>
  </si>
  <si>
    <t>Redirect waybill on waybill number R0800</t>
  </si>
  <si>
    <t>GONUB</t>
  </si>
  <si>
    <t>GONUBIE</t>
  </si>
  <si>
    <t xml:space="preserve">TITUS CONSULTING CC                </t>
  </si>
  <si>
    <t>TITUS CONSULTING CC</t>
  </si>
  <si>
    <t>Schreiber</t>
  </si>
  <si>
    <t>POD received from cell 0664755228 M</t>
  </si>
  <si>
    <t>UMKOM</t>
  </si>
  <si>
    <t>UMKOMAAS</t>
  </si>
  <si>
    <t xml:space="preserve">SAPPI GLOBAL BUSINESS SERVICES     </t>
  </si>
  <si>
    <t>SAPPI GLOBAL BUSINESS SERVICES</t>
  </si>
  <si>
    <t>JAMES</t>
  </si>
  <si>
    <t>Late linehaul</t>
  </si>
  <si>
    <t>lev</t>
  </si>
  <si>
    <t>NDC / FUE / doc</t>
  </si>
  <si>
    <t xml:space="preserve">FLYER                         </t>
  </si>
  <si>
    <t xml:space="preserve">ACDC DYNAMICS CC                   </t>
  </si>
  <si>
    <t>ACDC DYNAMICS CC</t>
  </si>
  <si>
    <t xml:space="preserve">innocent                      </t>
  </si>
  <si>
    <t xml:space="preserve">POD received from cell 0766412100 M     </t>
  </si>
  <si>
    <t xml:space="preserve">TENNECO EMISSION CONTROL (PTY)     </t>
  </si>
  <si>
    <t>TENNECO EMISSION CONTROL  PTY</t>
  </si>
  <si>
    <t>nosicelo</t>
  </si>
  <si>
    <t>POD received from cell 0711146140 M</t>
  </si>
  <si>
    <t>HUMAN</t>
  </si>
  <si>
    <t>HUMANSDORP</t>
  </si>
  <si>
    <t xml:space="preserve">WOODLANDS DAIRY PTY LTD            </t>
  </si>
  <si>
    <t>WOODLANDS DAIRY</t>
  </si>
  <si>
    <t>Alwano</t>
  </si>
  <si>
    <t>POD received from cell 0694933966 M</t>
  </si>
  <si>
    <t xml:space="preserve">BEARING MAN GROUP PTY LTD          </t>
  </si>
  <si>
    <t>BEARING MAN GROUP</t>
  </si>
  <si>
    <t>Lucky</t>
  </si>
  <si>
    <t>POD received from cell 0767738416 M</t>
  </si>
  <si>
    <t>shaakir</t>
  </si>
  <si>
    <t>POD received from cell 0608702785 M</t>
  </si>
  <si>
    <t xml:space="preserve">THE SOUTH AFRICAN BREWERIES LT     </t>
  </si>
  <si>
    <t>THE SOUTH AFRICAN BREWERIES LT</t>
  </si>
  <si>
    <t>pfarelo</t>
  </si>
  <si>
    <t>POTCH</t>
  </si>
  <si>
    <t>POTCHEFSTROOM</t>
  </si>
  <si>
    <t xml:space="preserve">VESCOTECH                          </t>
  </si>
  <si>
    <t>VESCOTECH</t>
  </si>
  <si>
    <t>Tshepo</t>
  </si>
  <si>
    <t>POD received from cell 0733833839 M</t>
  </si>
  <si>
    <t>BETHL</t>
  </si>
  <si>
    <t>BETHLEHEM</t>
  </si>
  <si>
    <t xml:space="preserve">BUILD IT                           </t>
  </si>
  <si>
    <t>BUILD IT</t>
  </si>
  <si>
    <t>David</t>
  </si>
  <si>
    <t>POD received from cell 0633539650 M</t>
  </si>
  <si>
    <t>UMHLA</t>
  </si>
  <si>
    <t>UMHLANGA ROCKS</t>
  </si>
  <si>
    <t xml:space="preserve">THOROUGHTEC SIMULATION (PTY) L     </t>
  </si>
  <si>
    <t>THOROUGHTEC SIMULATION  PTY  L</t>
  </si>
  <si>
    <t>leon</t>
  </si>
  <si>
    <t>POD received from cell 0810203149 M</t>
  </si>
  <si>
    <t>RICHA</t>
  </si>
  <si>
    <t>RICHARDS BAY</t>
  </si>
  <si>
    <t xml:space="preserve">PHILCO SYSTEMS (PTY) LTD ALTON     </t>
  </si>
  <si>
    <t>PHILCO SYSTEMS  PTY  LTD ALTON</t>
  </si>
  <si>
    <t>ROBERT</t>
  </si>
  <si>
    <t>POD received from cell 0714373844 M</t>
  </si>
  <si>
    <t xml:space="preserve">AUTOMOULD PTY LTD                  </t>
  </si>
  <si>
    <t>AUTOMOULD PTY LTD</t>
  </si>
  <si>
    <t>selby</t>
  </si>
  <si>
    <t>UITEN</t>
  </si>
  <si>
    <t>UITENHAGE</t>
  </si>
  <si>
    <t xml:space="preserve">GOODYEAR SOUTH AFRICA              </t>
  </si>
  <si>
    <t>GOODYEAR SOUTH AFRICA</t>
  </si>
  <si>
    <t>karen</t>
  </si>
  <si>
    <t>POD received from cell 0793062989 M</t>
  </si>
  <si>
    <t xml:space="preserve">BOWLER PLASTICS PTY LTD            </t>
  </si>
  <si>
    <t>BOWLER PLASTICS PTY LTD</t>
  </si>
  <si>
    <t>Cindy</t>
  </si>
  <si>
    <t xml:space="preserve">ILLOVO SUGAR                       </t>
  </si>
  <si>
    <t>ON2</t>
  </si>
  <si>
    <t>ILLOVO SUGAR</t>
  </si>
  <si>
    <t>Nelson</t>
  </si>
  <si>
    <t>POD received from cell 0767760303 M</t>
  </si>
  <si>
    <t xml:space="preserve">AE MANUFACTURING DEAL PARTY PO     </t>
  </si>
  <si>
    <t>AE MANUFACTURING DEAL PARTY PO</t>
  </si>
  <si>
    <t>Enrico</t>
  </si>
  <si>
    <t>POD received from cell 0644881838 M</t>
  </si>
  <si>
    <t>SPRI3</t>
  </si>
  <si>
    <t>SPRINGS</t>
  </si>
  <si>
    <t xml:space="preserve">NAMPAK PRODUCTS LTD T A BEVCAN     </t>
  </si>
  <si>
    <t>NAMPAK PRODUCTS</t>
  </si>
  <si>
    <t xml:space="preserve">katlego                       </t>
  </si>
  <si>
    <t xml:space="preserve">POD received from cell 0715155602 M     </t>
  </si>
  <si>
    <t>Emily</t>
  </si>
  <si>
    <t>POD received from cell 0738058187 M</t>
  </si>
  <si>
    <t xml:space="preserve">SML BOX                       </t>
  </si>
  <si>
    <t>VANDE</t>
  </si>
  <si>
    <t>VANDERBIJLPARK</t>
  </si>
  <si>
    <t xml:space="preserve">PREMIER FMCG (PTY) LTD             </t>
  </si>
  <si>
    <t>PREMIER FMCG  PTY  LTD</t>
  </si>
  <si>
    <t>Tobutsi</t>
  </si>
  <si>
    <t>POD received from cell 0658000098 M</t>
  </si>
  <si>
    <t xml:space="preserve">POLYOAK PACKAGING (PTY) LTD KZ     </t>
  </si>
  <si>
    <t>POLYOAK PACKAGING  PTY  LTD KZ</t>
  </si>
  <si>
    <t>Nosipho</t>
  </si>
  <si>
    <t>RUSTE</t>
  </si>
  <si>
    <t>RUSTENBURG</t>
  </si>
  <si>
    <t xml:space="preserve">RCL FOODS CONSUMER (PTY) LTD       </t>
  </si>
  <si>
    <t>RCL FOODS CONSUMER  PTY  LTD</t>
  </si>
  <si>
    <t>david</t>
  </si>
  <si>
    <t xml:space="preserve">CONRO PRECISION                    </t>
  </si>
  <si>
    <t>CONRO PRECISION</t>
  </si>
  <si>
    <t>Kevin</t>
  </si>
  <si>
    <t>POD received from cell 0659386993 M</t>
  </si>
  <si>
    <t>BRONK</t>
  </si>
  <si>
    <t>BRONKHORSTSPRUIT</t>
  </si>
  <si>
    <t xml:space="preserve">SASOL DYNO NOBEL (PTY) LTD         </t>
  </si>
  <si>
    <t>SASOL DYNO NOBEL  PTY  LTD</t>
  </si>
  <si>
    <t>Leacky</t>
  </si>
  <si>
    <t>POD received from cell 0635405678 M</t>
  </si>
  <si>
    <t xml:space="preserve">BMG EAST LONDON                    </t>
  </si>
  <si>
    <t>BMG EAST LONDON</t>
  </si>
  <si>
    <t>sipho</t>
  </si>
  <si>
    <t>POD received from cell 0780568122 M</t>
  </si>
  <si>
    <t>HEID2</t>
  </si>
  <si>
    <t>HEIDELBERG (TVL)</t>
  </si>
  <si>
    <t xml:space="preserve">BRITISH AMERICAN TOBACCO SA        </t>
  </si>
  <si>
    <t>BRITISH AMERICAN TOBACCO SA</t>
  </si>
  <si>
    <t>kedibone</t>
  </si>
  <si>
    <t>POD received from cell 0794504670 M</t>
  </si>
  <si>
    <t xml:space="preserve">BMG BELLVILLE (PTY) LTD 0120       </t>
  </si>
  <si>
    <t>BMG BELLVILLE  PTY  LTD 0120</t>
  </si>
  <si>
    <t>Arthur</t>
  </si>
  <si>
    <t>POD received from cell 0746644640 M</t>
  </si>
  <si>
    <t>DURBA</t>
  </si>
  <si>
    <t>DURBAN</t>
  </si>
  <si>
    <t xml:space="preserve">COMPRESSED AIR EQUIPMENT           </t>
  </si>
  <si>
    <t>COMPRESSED AIR EQUIPMENT</t>
  </si>
  <si>
    <t>noma</t>
  </si>
  <si>
    <t>POD received from cell 0658550146 M</t>
  </si>
  <si>
    <t xml:space="preserve">NATIONAL PACKAGING SYSTEMS         </t>
  </si>
  <si>
    <t>NATIONAL PACKAGING SYSTEMS</t>
  </si>
  <si>
    <t xml:space="preserve">Athembile                     </t>
  </si>
  <si>
    <t xml:space="preserve">POD received from cell 0671865619 M     </t>
  </si>
  <si>
    <t xml:space="preserve">PRO PROJECT MACHINERY PTY LTD      </t>
  </si>
  <si>
    <t>PRO PROJECT MACHINERY PTY LTD</t>
  </si>
  <si>
    <t>CRAIG</t>
  </si>
  <si>
    <t>JUH</t>
  </si>
  <si>
    <t xml:space="preserve">FRESENIUS KABI MANUFACTURING       </t>
  </si>
  <si>
    <t>FRESENIUS KABI MANUFACTURING</t>
  </si>
  <si>
    <t>Merlin</t>
  </si>
  <si>
    <t>POD received from cell 0658421544 M</t>
  </si>
  <si>
    <t xml:space="preserve">sherilene                     </t>
  </si>
  <si>
    <t>VERWO</t>
  </si>
  <si>
    <t>CENTURION</t>
  </si>
  <si>
    <t xml:space="preserve">CSM ENGINEERING CC                 </t>
  </si>
  <si>
    <t>CSM ENGINEERING CC</t>
  </si>
  <si>
    <t>Andre</t>
  </si>
  <si>
    <t>POD received from cell 0826975382 M</t>
  </si>
  <si>
    <t xml:space="preserve">WINTERTIDE TRADING 69 T A P AN     </t>
  </si>
  <si>
    <t>WINTERTIDE TRADING 69 T A P AN</t>
  </si>
  <si>
    <t>jamie</t>
  </si>
  <si>
    <t>POD received from cell 0767994841 M</t>
  </si>
  <si>
    <t>SML BOX:</t>
  </si>
  <si>
    <t xml:space="preserve">INNOVATIVE WATER CARE SA HOLDI     </t>
  </si>
  <si>
    <t>INNOVATIVE WATER CARE SA HOLDI</t>
  </si>
  <si>
    <t>Portia</t>
  </si>
  <si>
    <t xml:space="preserve">ADIENT SOUTH AFRICA (PTY) LTD      </t>
  </si>
  <si>
    <t>ADIENT SOUTH AFRICA  PTY  LTD</t>
  </si>
  <si>
    <t>nonhlanhla</t>
  </si>
  <si>
    <t>PPM</t>
  </si>
  <si>
    <t>POD received from cell 0628022017 M</t>
  </si>
  <si>
    <t>SOME2</t>
  </si>
  <si>
    <t>SOMERSET WEST</t>
  </si>
  <si>
    <t xml:space="preserve">GOSSAMER STRUCTURES LTD            </t>
  </si>
  <si>
    <t>GOSSAMER STRUCTURES LTD</t>
  </si>
  <si>
    <t>Cameron</t>
  </si>
  <si>
    <t>POD received from cell 0622930487 M</t>
  </si>
  <si>
    <t>GERMI</t>
  </si>
  <si>
    <t>GERMISTON</t>
  </si>
  <si>
    <t xml:space="preserve">TIGER BRANDS SNACKS  TREAT   B     </t>
  </si>
  <si>
    <t>TIGER BRANDS SNACKS  TREAT   B</t>
  </si>
  <si>
    <t>onakesa</t>
  </si>
  <si>
    <t>POD received from cell 0767196058 M</t>
  </si>
  <si>
    <t xml:space="preserve">SUMATRA TRADING (PTY) LTD          </t>
  </si>
  <si>
    <t>SUMATRA TRADING  PTY  LTD</t>
  </si>
  <si>
    <t>Returned to sender on waybill</t>
  </si>
  <si>
    <t>Company Closed</t>
  </si>
  <si>
    <t>Returned to sender on waybill number R08</t>
  </si>
  <si>
    <t xml:space="preserve">SUPREME PROCESSING PTY LTD         </t>
  </si>
  <si>
    <t>SUPREME PROCESSING PTY LTD</t>
  </si>
  <si>
    <t>NTOMBI</t>
  </si>
  <si>
    <t>NCH</t>
  </si>
  <si>
    <t>POD received from cell 0736687669 M</t>
  </si>
  <si>
    <t xml:space="preserve">BMG PORT ELIZABETH                 </t>
  </si>
  <si>
    <t>BMG PORT ELIZABETH</t>
  </si>
  <si>
    <t>Frans</t>
  </si>
  <si>
    <t>POD received from cell 0814739791 M</t>
  </si>
  <si>
    <t xml:space="preserve">TRUDA FOODS (PTY) LTD              </t>
  </si>
  <si>
    <t>TRUDA FOODS  PTY  LTD</t>
  </si>
  <si>
    <t>Chledza</t>
  </si>
  <si>
    <t xml:space="preserve">ISUZU MOTORS S.A                   </t>
  </si>
  <si>
    <t>ISUZU MOTORS S.A</t>
  </si>
  <si>
    <t>A klopper</t>
  </si>
  <si>
    <t xml:space="preserve">PNEUSTREAM                         </t>
  </si>
  <si>
    <t>PNEUSTREAM</t>
  </si>
  <si>
    <t>gulto</t>
  </si>
  <si>
    <t>POD received from cell 0661618209 M</t>
  </si>
  <si>
    <t xml:space="preserve">DALEIN AGRI PLAN (PTY) LTD         </t>
  </si>
  <si>
    <t>DALEIN AGRI PLAN  PTY  LTD</t>
  </si>
  <si>
    <t>nicco</t>
  </si>
  <si>
    <t>Trymore</t>
  </si>
  <si>
    <t xml:space="preserve">DE BEERS GROUP SERVICES (PTY)      </t>
  </si>
  <si>
    <t>DE BEERS GROUP SERVICES  PTY</t>
  </si>
  <si>
    <t xml:space="preserve">CHANTAL                       </t>
  </si>
  <si>
    <t xml:space="preserve">POD received from cell 0763378994 M     </t>
  </si>
  <si>
    <t>ISIPI</t>
  </si>
  <si>
    <t>ISIPINGO</t>
  </si>
  <si>
    <t>themba</t>
  </si>
  <si>
    <t>Late Linehaul Delayed Beyond Skynet Control</t>
  </si>
  <si>
    <t>ntm</t>
  </si>
  <si>
    <t>POD received from cell 0627047424 M</t>
  </si>
  <si>
    <t xml:space="preserve">KIMBERLY-CLARK S.A VENDOR: 100     </t>
  </si>
  <si>
    <t>KIMBERLY-CLARK S.A VENDOR  100</t>
  </si>
  <si>
    <t>Noluvo Mapipa</t>
  </si>
  <si>
    <t xml:space="preserve">RAPID INDUSTRIAL SUPPLIES PTY      </t>
  </si>
  <si>
    <t>RAPID INDUSTRIAL</t>
  </si>
  <si>
    <t>Mahlatse</t>
  </si>
  <si>
    <t>POD received from cell 0839573774 M</t>
  </si>
  <si>
    <t>RANDF</t>
  </si>
  <si>
    <t>RANDFONTEIN</t>
  </si>
  <si>
    <t xml:space="preserve">GKD AFRICA (PTY) LTD RANDFONTE     </t>
  </si>
  <si>
    <t>GKD AFRICA  PTY  LTD RANDFONTE</t>
  </si>
  <si>
    <t>thabang</t>
  </si>
  <si>
    <t>HND / FUE / DOC</t>
  </si>
  <si>
    <t>POD received from cell 0679017498 M</t>
  </si>
  <si>
    <t>Mbona</t>
  </si>
  <si>
    <t>Mulalo</t>
  </si>
  <si>
    <t>POD received from cell 0732989477 M</t>
  </si>
  <si>
    <t>BENON</t>
  </si>
  <si>
    <t>BENONI</t>
  </si>
  <si>
    <t xml:space="preserve">FOODCORP (PTY) LTD BENONI          </t>
  </si>
  <si>
    <t>FOODCORP  PTY  LTD BENONI</t>
  </si>
  <si>
    <t>Ashford</t>
  </si>
  <si>
    <t>POD received from cell 0817257646 M</t>
  </si>
  <si>
    <t>Gwen</t>
  </si>
  <si>
    <t>Sita</t>
  </si>
  <si>
    <t>POD received from cell 0834177790 M</t>
  </si>
  <si>
    <t>AMANZ</t>
  </si>
  <si>
    <t>AMANZIMTOTI</t>
  </si>
  <si>
    <t xml:space="preserve">DES GROUP PTY LTD                  </t>
  </si>
  <si>
    <t>DESGROUP PTY LTD</t>
  </si>
  <si>
    <t>Michael</t>
  </si>
  <si>
    <t>POD received from cell 0671711975 M</t>
  </si>
  <si>
    <t xml:space="preserve">REEF CONSTRUCTION MACHINERY (P     </t>
  </si>
  <si>
    <t>REEF CONSTRUCTION MACHINERY  P</t>
  </si>
  <si>
    <t>Andre  chase</t>
  </si>
  <si>
    <t>POD received from cell 0837842726 M</t>
  </si>
  <si>
    <t>PORT4</t>
  </si>
  <si>
    <t>PORT SHEPSTONE</t>
  </si>
  <si>
    <t xml:space="preserve">IDWALA INDUSTRIAL HOLDINGS         </t>
  </si>
  <si>
    <t>IDWALA INDUSTRIAL HOLDINGS</t>
  </si>
  <si>
    <t>TRISHA</t>
  </si>
  <si>
    <t>zol</t>
  </si>
  <si>
    <t>MIDRA</t>
  </si>
  <si>
    <t>MIDRAND</t>
  </si>
  <si>
    <t xml:space="preserve">FAMOUS BRANDS MANAGEMENT           </t>
  </si>
  <si>
    <t>FAMOUS BRANDS MANAGEMENT</t>
  </si>
  <si>
    <t>gift</t>
  </si>
  <si>
    <t>POD received from cell  27 84 825 6515 M</t>
  </si>
  <si>
    <t xml:space="preserve">FESTO PORT ELIZABETH               </t>
  </si>
  <si>
    <t>FESTO P.E JANSE VAN RENSBURG</t>
  </si>
  <si>
    <t>J Steyn</t>
  </si>
  <si>
    <t xml:space="preserve">COCA-COLA BEVERAGES SOUTH AFRI     </t>
  </si>
  <si>
    <t>COCA-COLA BEVERAGES SOUTH AFRI</t>
  </si>
  <si>
    <t>kwazo</t>
  </si>
  <si>
    <t>POD received from cell 0744435413 M</t>
  </si>
  <si>
    <t>ASHTO</t>
  </si>
  <si>
    <t>ASHTON</t>
  </si>
  <si>
    <t xml:space="preserve">CSM BEARINGS   PNEUMATICS ASHT     </t>
  </si>
  <si>
    <t>CSM BEARINGS   PNEUMATICS ASHT</t>
  </si>
  <si>
    <t>A Steffans</t>
  </si>
  <si>
    <t>POD received from cell 0608104719 M</t>
  </si>
  <si>
    <t xml:space="preserve">UNILEVER SOUTH AFRICA PTY NLTD     </t>
  </si>
  <si>
    <t>UNILEVER SOUTH AFRICA PTY NLTD</t>
  </si>
  <si>
    <t>siphelele</t>
  </si>
  <si>
    <t>POD received from cell 0747980518 M</t>
  </si>
  <si>
    <t xml:space="preserve">AMSN INDUSTRIAL SUPPLIES (PTY)     </t>
  </si>
  <si>
    <t>AMSN INDUSTRIAL SUPPLIES  PTY</t>
  </si>
  <si>
    <t>LOLLITA</t>
  </si>
  <si>
    <t>POD received from cell 0661437222 M</t>
  </si>
  <si>
    <t xml:space="preserve">PRESSURE DIE CASTINGS (PTY) LT     </t>
  </si>
  <si>
    <t>PRESSURE DIE CASTINGS  PTY  LT</t>
  </si>
  <si>
    <t>thobile</t>
  </si>
  <si>
    <t>POD received from cell 0685390657 M</t>
  </si>
  <si>
    <t xml:space="preserve">CLURE PROJECTS CC                  </t>
  </si>
  <si>
    <t>CLURE PROJECTS CC</t>
  </si>
  <si>
    <t>Nathan</t>
  </si>
  <si>
    <t xml:space="preserve">LAMBDA AUTOMATION (PTY) LTD        </t>
  </si>
  <si>
    <t>LAMBDA AUTOMATION  PTY  LTD</t>
  </si>
  <si>
    <t>Sammy</t>
  </si>
  <si>
    <t xml:space="preserve">HEINEKEN BEVERAGES SA (PTY) LT     </t>
  </si>
  <si>
    <t>HEINEKEN BEVERAGES SA  PTY  LT</t>
  </si>
  <si>
    <t>nthabeleng</t>
  </si>
  <si>
    <t>POD received from cell 0606746779 M</t>
  </si>
  <si>
    <t>sime</t>
  </si>
  <si>
    <t>POD received from cell 0660630212 M</t>
  </si>
  <si>
    <t>LICHT</t>
  </si>
  <si>
    <t>LICHTENBURG</t>
  </si>
  <si>
    <t xml:space="preserve">JAPIE GODFREY    VESCOTECH         </t>
  </si>
  <si>
    <t>JAPIE GODFREY    VESCOTECH</t>
  </si>
  <si>
    <t>JAPIE</t>
  </si>
  <si>
    <t xml:space="preserve">CSM BEARING   PNEUMATIC SUP (P     </t>
  </si>
  <si>
    <t>CSM BEARING   PNEUMATIC SUP  P</t>
  </si>
  <si>
    <t>Mia</t>
  </si>
  <si>
    <t xml:space="preserve">PRODUCTIVE SYSTEMS CC              </t>
  </si>
  <si>
    <t>PRODUCTIVE SYSTEMS CC</t>
  </si>
  <si>
    <t>BenBen</t>
  </si>
  <si>
    <t>POD received from cell 0698970078 M</t>
  </si>
  <si>
    <t xml:space="preserve">CONTINENTAL TYRE SA                </t>
  </si>
  <si>
    <t>CONTINENTAL TYRE</t>
  </si>
  <si>
    <t>richard</t>
  </si>
  <si>
    <t xml:space="preserve">UNILEVER SOUTH AFRICA PTY LTD      </t>
  </si>
  <si>
    <t>UNILEVER SOUTH AFRICA PTY LTD</t>
  </si>
  <si>
    <t>Kanyane</t>
  </si>
  <si>
    <t xml:space="preserve">BELSIZE PRINTING WORKS (PTY) A     </t>
  </si>
  <si>
    <t>BELSIZE PRINTING WORKS  PTY  A</t>
  </si>
  <si>
    <t>Lerato</t>
  </si>
  <si>
    <t xml:space="preserve">AECI MINING LTD                    </t>
  </si>
  <si>
    <t>AECI MINING LTD    STEFANIE GR</t>
  </si>
  <si>
    <t xml:space="preserve">chali                         </t>
  </si>
  <si>
    <t xml:space="preserve">POD received from cell 0719533928 M     </t>
  </si>
  <si>
    <t>CYLINDER</t>
  </si>
  <si>
    <t xml:space="preserve">FILMATIC PACKAGING SYSTEMS (PT     </t>
  </si>
  <si>
    <t>FILMATIC PACKAGING SYSTEMS  PT</t>
  </si>
  <si>
    <t>Patrick</t>
  </si>
  <si>
    <t xml:space="preserve">KARAN BEEF FARMING PTY LTD         </t>
  </si>
  <si>
    <t>KARAN BEEF FARMING PTY LTD</t>
  </si>
  <si>
    <t>rebecca</t>
  </si>
  <si>
    <t xml:space="preserve">chala                         </t>
  </si>
  <si>
    <t xml:space="preserve">UNILEVER S.A. (PTY) LTD LORDS      </t>
  </si>
  <si>
    <t>UNILEVER S.A.  PTY  LTD LORDS</t>
  </si>
  <si>
    <t>jafta</t>
  </si>
  <si>
    <t xml:space="preserve">VICTORY ELECTRICAL CC              </t>
  </si>
  <si>
    <t>VICTORY ELECTRICAL CC</t>
  </si>
  <si>
    <t xml:space="preserve">sibusio                       </t>
  </si>
  <si>
    <t xml:space="preserve">POD received from cell 0738058187 M     </t>
  </si>
  <si>
    <t xml:space="preserve">MEXAN PRODUCTS (PTY) LTD           </t>
  </si>
  <si>
    <t>MEXAN PRODUCTS  PTY  LTD</t>
  </si>
  <si>
    <t xml:space="preserve">owen                          </t>
  </si>
  <si>
    <t xml:space="preserve">sello                         </t>
  </si>
  <si>
    <t>VERUL</t>
  </si>
  <si>
    <t>VERULAM</t>
  </si>
  <si>
    <t xml:space="preserve">HP HOSE   FITTING SPECIALIST C     </t>
  </si>
  <si>
    <t>HP HOSE   FITTING SPECIALIST C</t>
  </si>
  <si>
    <t>kimona</t>
  </si>
  <si>
    <t>POD received from cell 0847863055 M</t>
  </si>
  <si>
    <t>nico</t>
  </si>
  <si>
    <t>BRIT1</t>
  </si>
  <si>
    <t>BRITS</t>
  </si>
  <si>
    <t xml:space="preserve">BRIDGESTONE FIRESTONE              </t>
  </si>
  <si>
    <t>BRIDGESTONE FIRESTONE</t>
  </si>
  <si>
    <t>Esther</t>
  </si>
  <si>
    <t>POD received from cell 0790934153 M</t>
  </si>
  <si>
    <t xml:space="preserve">BENTELER SOUTH AFRICA              </t>
  </si>
  <si>
    <t>BENTELER SOUTH AFRICA</t>
  </si>
  <si>
    <t>kurt</t>
  </si>
  <si>
    <t xml:space="preserve">FORD MOTOR CO. SA MANUFACTURIN     </t>
  </si>
  <si>
    <t>FORD MOTOR CO. SA MANUFACTURIN</t>
  </si>
  <si>
    <t>sindiswa</t>
  </si>
  <si>
    <t xml:space="preserve">FILTEC AUTOMATION CC               </t>
  </si>
  <si>
    <t>FILTEC AUTOMATION CC</t>
  </si>
  <si>
    <t>phayal</t>
  </si>
  <si>
    <t>POD received from cell 0843672221 M</t>
  </si>
  <si>
    <t xml:space="preserve">POLYOAK PACKAGING PTY LTD AERO     </t>
  </si>
  <si>
    <t>POLYOAK PACKAGING PTY LTD AERO</t>
  </si>
  <si>
    <t>Bytel</t>
  </si>
  <si>
    <t>Myron</t>
  </si>
  <si>
    <t>VEREE</t>
  </si>
  <si>
    <t>VEREENIGING</t>
  </si>
  <si>
    <t xml:space="preserve">HEINEKEN SOUTH AFRICA (PTY) LT     </t>
  </si>
  <si>
    <t>HEINEKEN SOUTH AFRICA  PTY  LT</t>
  </si>
  <si>
    <t>GOODMAN</t>
  </si>
  <si>
    <t xml:space="preserve">Emily                         </t>
  </si>
  <si>
    <t xml:space="preserve">APEX AUTOMATION (PTY) LTD BRAS     </t>
  </si>
  <si>
    <t>APEX AUTOMATION  PTY  LTD BRAS</t>
  </si>
  <si>
    <t>astone</t>
  </si>
  <si>
    <t>Africa</t>
  </si>
  <si>
    <t xml:space="preserve">S4 INTEGRATION PTY LTD             </t>
  </si>
  <si>
    <t>S4 INTEGRATION PTY LTD</t>
  </si>
  <si>
    <t>Rico</t>
  </si>
  <si>
    <t>uat</t>
  </si>
  <si>
    <t>POD received from cell 0684745132 M</t>
  </si>
  <si>
    <t xml:space="preserve">COMPRESSED AIR EQUIPMENT  JHB      </t>
  </si>
  <si>
    <t>Maylee</t>
  </si>
  <si>
    <t xml:space="preserve">OVER AFRICA INDUSTRIAL SUPPLIE     </t>
  </si>
  <si>
    <t>OVER AFRICA INDUSTRIAL SUPPLIE</t>
  </si>
  <si>
    <t>Keduil</t>
  </si>
  <si>
    <t>NTM</t>
  </si>
  <si>
    <t>POD received from cell 0671865619 M</t>
  </si>
  <si>
    <t xml:space="preserve">SAR ELECTRONIC SA (PTY) LTD        </t>
  </si>
  <si>
    <t>SAR ELECTRONIC SA  PTY  LTD</t>
  </si>
  <si>
    <t>francois Pretorius</t>
  </si>
  <si>
    <t>POD received from cell 0823615061 M</t>
  </si>
  <si>
    <t xml:space="preserve">TENNECO RIDE CONTROL SA (PTY)      </t>
  </si>
  <si>
    <t>TENNECO RIDE CONTROL</t>
  </si>
  <si>
    <t>pumla</t>
  </si>
  <si>
    <t>MIDD2</t>
  </si>
  <si>
    <t>MIDDELBURG (Mpumalanga)</t>
  </si>
  <si>
    <t xml:space="preserve">ELECTRO FIELD SERVICES             </t>
  </si>
  <si>
    <t>ELECTRO FIELD SERVICES</t>
  </si>
  <si>
    <t>June</t>
  </si>
  <si>
    <t>POD received from cell 0722601650 M</t>
  </si>
  <si>
    <t xml:space="preserve">FUEL INDUSTRY SERVICES (PTY) L     </t>
  </si>
  <si>
    <t>FUEL INDUSTRY SERVICES  PTY  L</t>
  </si>
  <si>
    <t>Kaylem</t>
  </si>
  <si>
    <t>POD received from cell 0736418208 M</t>
  </si>
  <si>
    <t>UAT</t>
  </si>
  <si>
    <t>WORCE</t>
  </si>
  <si>
    <t>WORCESTER</t>
  </si>
  <si>
    <t xml:space="preserve">GRW ENGINEERING (PTY) LTD          </t>
  </si>
  <si>
    <t>GRW ENGINEERING  PTY  LTD</t>
  </si>
  <si>
    <t>wendy</t>
  </si>
  <si>
    <t>POD received from cell 0813352451 M</t>
  </si>
  <si>
    <t xml:space="preserve">NESTLE SOUTH AFRICA PTY LTD        </t>
  </si>
  <si>
    <t>NESTLE SOUTH AFRICA PTY LTD</t>
  </si>
  <si>
    <t>yanga</t>
  </si>
  <si>
    <t xml:space="preserve">CATER CHAIN FOOD SERVICES          </t>
  </si>
  <si>
    <t>CATER CHAIN FOOD SERVICES</t>
  </si>
  <si>
    <t>Sydwell</t>
  </si>
  <si>
    <t>chris</t>
  </si>
  <si>
    <t>DESPA</t>
  </si>
  <si>
    <t>DESPATCH</t>
  </si>
  <si>
    <t xml:space="preserve">DKT   PARTNERS PTY LTD             </t>
  </si>
  <si>
    <t>DKT   PARTNERS PTY LTD</t>
  </si>
  <si>
    <t>Priest</t>
  </si>
  <si>
    <t xml:space="preserve">ACEPAK PACKAGING SYSTEMS           </t>
  </si>
  <si>
    <t>ACEPAK PACKAGING SYSTEMS</t>
  </si>
  <si>
    <t>Warrick</t>
  </si>
  <si>
    <t>vusi</t>
  </si>
  <si>
    <t xml:space="preserve">ROCBOLT TECHNOLOGIES PTY LTD       </t>
  </si>
  <si>
    <t>ROCBOLT TECHNOLOGIES</t>
  </si>
  <si>
    <t>dorola</t>
  </si>
  <si>
    <t xml:space="preserve">AUTO X PTY LTD                     </t>
  </si>
  <si>
    <t>AUTO X PTY LTD</t>
  </si>
  <si>
    <t>Godfrey</t>
  </si>
  <si>
    <t>nandipha</t>
  </si>
  <si>
    <t xml:space="preserve">AEROSUD AVIATION (PTY) LTD PIE     </t>
  </si>
  <si>
    <t>AEROSUD AVIATION  PTY  LTD PIE</t>
  </si>
  <si>
    <t>byron</t>
  </si>
  <si>
    <t>POD received from cell 0767548818 M</t>
  </si>
  <si>
    <t>PALLET</t>
  </si>
  <si>
    <t xml:space="preserve">ENAEX AFRICA (PTY) LTD             </t>
  </si>
  <si>
    <t>ENAEX AFRICA  PETER MODUPO 076</t>
  </si>
  <si>
    <t>L ALBERTS</t>
  </si>
  <si>
    <t>ora</t>
  </si>
  <si>
    <t xml:space="preserve">GRW COMMERCIALS (PTY) LTD T A      </t>
  </si>
  <si>
    <t>GRW COMMERCIALS  PTY  LTD T A</t>
  </si>
  <si>
    <t>musa</t>
  </si>
  <si>
    <t xml:space="preserve">ANG INDUSTRIAL SOLUTIONS PTY       </t>
  </si>
  <si>
    <t>ANG INDUSTRIAL SOLUTIONS</t>
  </si>
  <si>
    <t xml:space="preserve">Lucky                         </t>
  </si>
  <si>
    <t xml:space="preserve">POD received from cell 0791069864 M     </t>
  </si>
  <si>
    <t xml:space="preserve">ERNEST LOWE A DIVISION OF HUDA     </t>
  </si>
  <si>
    <t>ERNEST LOWE A DIVISION OF HUDA</t>
  </si>
  <si>
    <t>mirna</t>
  </si>
  <si>
    <t>SASOL</t>
  </si>
  <si>
    <t>SASOLBURG</t>
  </si>
  <si>
    <t xml:space="preserve">SASOL CHEMICALS A DIVISION OF      </t>
  </si>
  <si>
    <t>SASOL CHEMICALS A DIVISION OF</t>
  </si>
  <si>
    <t>Johnny</t>
  </si>
  <si>
    <t>POD received from cell 0781810800 M</t>
  </si>
  <si>
    <t xml:space="preserve">PUREM PORT ELIZABETH               </t>
  </si>
  <si>
    <t>PUREM PORT ELIZABETH</t>
  </si>
  <si>
    <t>bukelwa</t>
  </si>
  <si>
    <t xml:space="preserve">PETER MILLER AND DAD               </t>
  </si>
  <si>
    <t>PETER MILLER AND DAD</t>
  </si>
  <si>
    <t>PETER MILLER</t>
  </si>
  <si>
    <t>POD received from cell 0682118246 M</t>
  </si>
  <si>
    <t xml:space="preserve">FOXOLUTION SYSTEMS ENGINEERING     </t>
  </si>
  <si>
    <t>FOXOLUTION SYSTEMS ENGINEERING</t>
  </si>
  <si>
    <t>Arno</t>
  </si>
  <si>
    <t>POD received from cell 0735647467 M</t>
  </si>
  <si>
    <t xml:space="preserve">GENERAL  PNEUMATICS KZN            </t>
  </si>
  <si>
    <t>GENERAL PNEUMATICS</t>
  </si>
  <si>
    <t>PATEN</t>
  </si>
  <si>
    <t>PATENSIE</t>
  </si>
  <si>
    <t xml:space="preserve">GN PUMPS AND MOTORS (PTY) LTD      </t>
  </si>
  <si>
    <t>GN PUMPS AND MOTORS  PTY  LTD</t>
  </si>
  <si>
    <t>Thomas</t>
  </si>
  <si>
    <t xml:space="preserve">BOX                           </t>
  </si>
  <si>
    <t>kezley</t>
  </si>
  <si>
    <t xml:space="preserve">MONDELEZ INTERNATIONAL INC 533     </t>
  </si>
  <si>
    <t>MONDELEZ INTERNATIONAL INC 533</t>
  </si>
  <si>
    <t>Samantha</t>
  </si>
  <si>
    <t xml:space="preserve">NATIONAL BRANDS BIS SNK DIV BI     </t>
  </si>
  <si>
    <t>NATIONAL BRANDS BIS SNK DIV</t>
  </si>
  <si>
    <t>Silas</t>
  </si>
  <si>
    <t>PHALA</t>
  </si>
  <si>
    <t>PHALABORWA</t>
  </si>
  <si>
    <t xml:space="preserve">PALABORA COPPER (PTY) TD           </t>
  </si>
  <si>
    <t>PALABORA COPPER  PTY  TD</t>
  </si>
  <si>
    <t>nkosinathi</t>
  </si>
  <si>
    <t>POD received from cell 0714955146 M</t>
  </si>
  <si>
    <t>SECUN</t>
  </si>
  <si>
    <t>SECUNDA</t>
  </si>
  <si>
    <t xml:space="preserve">SASOL SHARED SERVICES SECUNDA      </t>
  </si>
  <si>
    <t>SASOL SHARED SERVICES SECUNDA</t>
  </si>
  <si>
    <t>jackie</t>
  </si>
  <si>
    <t>POD received from cell 0603223659 M</t>
  </si>
  <si>
    <t xml:space="preserve">Diya Valves                        </t>
  </si>
  <si>
    <t>Noelin Naidoo</t>
  </si>
  <si>
    <t>gwen</t>
  </si>
  <si>
    <t>STEL2</t>
  </si>
  <si>
    <t>STELLENBOSCH</t>
  </si>
  <si>
    <t xml:space="preserve">HEINEKEN BEVERAGES SA PTY LTD      </t>
  </si>
  <si>
    <t>HEINEKEN BEVERAGES SA PTY LTD</t>
  </si>
  <si>
    <t>clifton</t>
  </si>
  <si>
    <t>POD received from cell 0678518887 M</t>
  </si>
  <si>
    <t>deez</t>
  </si>
  <si>
    <t xml:space="preserve">AUTOLIV S.A                        </t>
  </si>
  <si>
    <t>AUTOLIV S.A</t>
  </si>
  <si>
    <t>veon</t>
  </si>
  <si>
    <t>POD received from cell 0683975754 M</t>
  </si>
  <si>
    <t>njoso</t>
  </si>
  <si>
    <t>POD received from cell 0616566496 M</t>
  </si>
  <si>
    <t xml:space="preserve">COREL INSTRUMENTATION   CONTRO     </t>
  </si>
  <si>
    <t>COREL INSTRUMENTATION   CONTRO</t>
  </si>
  <si>
    <t>BENITA</t>
  </si>
  <si>
    <t xml:space="preserve">SHATTERPRUFE TRADING AS A DIV      </t>
  </si>
  <si>
    <t>SHATTERPRUFE TRADING AS A DIV</t>
  </si>
  <si>
    <t>lonwabo</t>
  </si>
  <si>
    <t xml:space="preserve">PG BISON (PTY) LTD  ORDER NUMB     </t>
  </si>
  <si>
    <t>PG BISON  PTY  LTD  ORDER NUMB</t>
  </si>
  <si>
    <t xml:space="preserve">Thapello                      </t>
  </si>
  <si>
    <t xml:space="preserve">POD received from cell 0839573774 M     </t>
  </si>
  <si>
    <t>kobus</t>
  </si>
  <si>
    <t xml:space="preserve">FLSMIDTH SOUTH AFRICA PTY LTD      </t>
  </si>
  <si>
    <t>FLSMIDTH SOUTH AFRICA PTY LTD</t>
  </si>
  <si>
    <t xml:space="preserve">Benjamin                      </t>
  </si>
  <si>
    <t>Vuyo</t>
  </si>
  <si>
    <t>BOX:CONT</t>
  </si>
  <si>
    <t>jomo</t>
  </si>
  <si>
    <t xml:space="preserve">BIC SA (PTY) LTD                   </t>
  </si>
  <si>
    <t>BIC SA PTY LTD</t>
  </si>
  <si>
    <t>simphiwe</t>
  </si>
  <si>
    <t>POD received from cell 0817753249 M</t>
  </si>
  <si>
    <t xml:space="preserve">1310 MAIN STREET PYT LTD T A T     </t>
  </si>
  <si>
    <t>1310 MAIN STREET PYT LTD T A T</t>
  </si>
  <si>
    <t>Robert</t>
  </si>
  <si>
    <t>POD received from cell 0817092867 M</t>
  </si>
  <si>
    <t>Asanda</t>
  </si>
  <si>
    <t>POD received from cell 0739570238 M</t>
  </si>
  <si>
    <t xml:space="preserve">EFAMATIC MACHINE TOOLS             </t>
  </si>
  <si>
    <t>EFAMATIC MACHINE TOOLS</t>
  </si>
  <si>
    <t>pat</t>
  </si>
  <si>
    <t>HOWIC</t>
  </si>
  <si>
    <t>HOWICK</t>
  </si>
  <si>
    <t xml:space="preserve">FAIRFIELD DAIRY PTY LTD            </t>
  </si>
  <si>
    <t>FAIRFIELD DAIRY PTY LTD</t>
  </si>
  <si>
    <t>Bandile</t>
  </si>
  <si>
    <t>POD received from cell 0633530723 M</t>
  </si>
  <si>
    <t xml:space="preserve">RCL GROUP SERVICES PTY LTD         </t>
  </si>
  <si>
    <t>RCL GROUP SERVICES PTY LTD</t>
  </si>
  <si>
    <t>Edith</t>
  </si>
  <si>
    <t>bandile</t>
  </si>
  <si>
    <t xml:space="preserve">CHW DESIGN CC DURBANVILLE          </t>
  </si>
  <si>
    <t>CHW DESIGN CC DURBANVILLE</t>
  </si>
  <si>
    <t>shida</t>
  </si>
  <si>
    <t>JON</t>
  </si>
  <si>
    <t>POD received from cell 0842084217 M</t>
  </si>
  <si>
    <t>PIET2</t>
  </si>
  <si>
    <t>PIETERSBURG</t>
  </si>
  <si>
    <t>Samuel</t>
  </si>
  <si>
    <t>POD received from cell 0813693772 M</t>
  </si>
  <si>
    <t xml:space="preserve">HYDRABERG HYDRAULICS CC            </t>
  </si>
  <si>
    <t>HYDRABERG HYDRAULICS CC</t>
  </si>
  <si>
    <t>Quinique</t>
  </si>
  <si>
    <t>Reggie</t>
  </si>
  <si>
    <t>recgan</t>
  </si>
  <si>
    <t>POD received from cell 0788915943 M</t>
  </si>
  <si>
    <t xml:space="preserve">BOWLER PLASTICS (PTY) LTD          </t>
  </si>
  <si>
    <t>BOWLER PLASTICS  PTY  LTD</t>
  </si>
  <si>
    <t>POD received from cell 0782833197 M</t>
  </si>
  <si>
    <t xml:space="preserve">SCHAEFFLER SOUTH AFRICA (PTY)      </t>
  </si>
  <si>
    <t>SCHAEFFLER SOUTH AFRICA  PTY</t>
  </si>
  <si>
    <t>ayanda</t>
  </si>
  <si>
    <t xml:space="preserve">BBF SAFETY FROUP (PTY) LTD         </t>
  </si>
  <si>
    <t>BBF SAFETY FROUP  PTY  LTD</t>
  </si>
  <si>
    <t>signed</t>
  </si>
  <si>
    <t>sadha</t>
  </si>
  <si>
    <t>PELISA</t>
  </si>
  <si>
    <t>Thami</t>
  </si>
  <si>
    <t>liyema</t>
  </si>
  <si>
    <t>sahna</t>
  </si>
  <si>
    <t>johan</t>
  </si>
  <si>
    <t xml:space="preserve">QUALITEC ENGINEERING CC            </t>
  </si>
  <si>
    <t>QUALITEC ENGINEERING CC</t>
  </si>
  <si>
    <t>gilbert</t>
  </si>
  <si>
    <t>RCL GROUP SERVICES</t>
  </si>
  <si>
    <t>goodman</t>
  </si>
  <si>
    <t>POD received from cell 0606520943 M</t>
  </si>
  <si>
    <t xml:space="preserve">PICOLA FOODS BRITS                 </t>
  </si>
  <si>
    <t>PICOLA FOODS BRITS</t>
  </si>
  <si>
    <t xml:space="preserve">Ezekiel                       </t>
  </si>
  <si>
    <t xml:space="preserve">POD received from cell 0790934153 M     </t>
  </si>
  <si>
    <t xml:space="preserve">UNIQUE HYDRA (PTY) LTD             </t>
  </si>
  <si>
    <t>UNIQUE HYDRA  PTY  LTD</t>
  </si>
  <si>
    <t>Donovan</t>
  </si>
  <si>
    <t xml:space="preserve">HACKMACK ENTERPRISES T A TECHN     </t>
  </si>
  <si>
    <t>HACKMACK ENTERPRISES</t>
  </si>
  <si>
    <t>Jonathan</t>
  </si>
  <si>
    <t xml:space="preserve">IMPALA PLATINUM MINES (TEBOGO      </t>
  </si>
  <si>
    <t>IMPALA PLATINUM MINES  TEBOGO</t>
  </si>
  <si>
    <t>POD received from cell 0676671788 M</t>
  </si>
  <si>
    <t>ENAEX AFRICA  PTY  LTD</t>
  </si>
  <si>
    <t>steven</t>
  </si>
  <si>
    <t>Driver late</t>
  </si>
  <si>
    <t xml:space="preserve">J.J PRECISION PLASTICS (PTY) L     </t>
  </si>
  <si>
    <t>J.J PRECISION PLASTICS  PTY  L</t>
  </si>
  <si>
    <t>Sthandiwe</t>
  </si>
  <si>
    <t xml:space="preserve">MONDI SOUTH AFRICA PROPRIETARY     </t>
  </si>
  <si>
    <t>MONDI SOUTH AFRICA PROPRIETARY</t>
  </si>
  <si>
    <t>Alvin</t>
  </si>
  <si>
    <t>BOTRI</t>
  </si>
  <si>
    <t>BOTRIVIER</t>
  </si>
  <si>
    <t xml:space="preserve">NLO INFORMATION SYSTEMS (PTY)      </t>
  </si>
  <si>
    <t>NLO INFORMATION SYSTEMS  PTY</t>
  </si>
  <si>
    <t xml:space="preserve">ulrike                        </t>
  </si>
  <si>
    <t xml:space="preserve">POD received from cell 0797182636 M     </t>
  </si>
  <si>
    <t xml:space="preserve">BRIDGE PROCUREMENT A DIV OF C.     </t>
  </si>
  <si>
    <t>BRIDGE PROCUREMENT A DIV OF C.</t>
  </si>
  <si>
    <t>coster</t>
  </si>
  <si>
    <t xml:space="preserve">MONDI SOUTH AFRICA PTY LTD         </t>
  </si>
  <si>
    <t>MONDI SOUTH AFRICA PTY LTD</t>
  </si>
  <si>
    <t>SHIFT MANAGER</t>
  </si>
  <si>
    <t>FES CUST 20250603 51 - BACK TO CUSTOMER</t>
  </si>
  <si>
    <t xml:space="preserve">MR CARRIERS                        </t>
  </si>
  <si>
    <t>MR CARRIERS</t>
  </si>
  <si>
    <t>devi</t>
  </si>
  <si>
    <t>LEV</t>
  </si>
  <si>
    <t>POD received from cell 0738745632 M</t>
  </si>
  <si>
    <t xml:space="preserve">Compressed Air Equipment           </t>
  </si>
  <si>
    <t>Avinash Maharaj</t>
  </si>
  <si>
    <t xml:space="preserve">FESTO CAPE TOWN OFFICE             </t>
  </si>
  <si>
    <t>FESTO CAPE TOWN OFFICE</t>
  </si>
  <si>
    <t>Peter</t>
  </si>
  <si>
    <t>POD received from cell 0761265903 M</t>
  </si>
  <si>
    <t xml:space="preserve">CONSUPAQ (PTY) LTD BRIARDENE I     </t>
  </si>
  <si>
    <t>CONSUPAQ  PTY  LTD BRIARDENE I</t>
  </si>
  <si>
    <t>lungi</t>
  </si>
  <si>
    <t>shirley</t>
  </si>
  <si>
    <t>rubin</t>
  </si>
  <si>
    <t>POD received from cell 0723083847 M</t>
  </si>
  <si>
    <t xml:space="preserve">HYGIENIC TISSUE MILL               </t>
  </si>
  <si>
    <t>HYGIENIC TISSUE MILL</t>
  </si>
  <si>
    <t>kisara</t>
  </si>
  <si>
    <t>lwazi</t>
  </si>
  <si>
    <t>j van Der nest</t>
  </si>
  <si>
    <t xml:space="preserve">ADCOCK INGRAM CRITICAL CARE PT     </t>
  </si>
  <si>
    <t>ADCOCK INGRAM CRITICAL CARE PT</t>
  </si>
  <si>
    <t>Lona</t>
  </si>
  <si>
    <t>N Mapipa</t>
  </si>
  <si>
    <t xml:space="preserve">HMF TECHNOLOGIES (PTY) LTD         </t>
  </si>
  <si>
    <t>HMF TECHNOLOGIES  PTY  LTD</t>
  </si>
  <si>
    <t>LETISIA</t>
  </si>
  <si>
    <t xml:space="preserve">RCL FOODS CONSUMER (PTY) LTD M     </t>
  </si>
  <si>
    <t>RCL FOODS CONSUMER  PTY  LTD M</t>
  </si>
  <si>
    <t>Medwin</t>
  </si>
  <si>
    <t>POD received from cell 0786786237 M</t>
  </si>
  <si>
    <t xml:space="preserve">ASPEN SA OPERATIONS ( PTY ) LT     </t>
  </si>
  <si>
    <t>ASPEN SA OPERATIONS   PTY   LT</t>
  </si>
  <si>
    <t>Clement</t>
  </si>
  <si>
    <t>MALME</t>
  </si>
  <si>
    <t>MALMESBURY</t>
  </si>
  <si>
    <t xml:space="preserve">HYDROMATIC T A HEADLINE TRADIN     </t>
  </si>
  <si>
    <t>HYDROMATIC</t>
  </si>
  <si>
    <t>MARY</t>
  </si>
  <si>
    <t>Missed cutoff</t>
  </si>
  <si>
    <t>NGF</t>
  </si>
  <si>
    <t>POD received from cell 0714250117 M</t>
  </si>
  <si>
    <t>LETESIA</t>
  </si>
  <si>
    <t>fanie</t>
  </si>
  <si>
    <t>Cecilia</t>
  </si>
  <si>
    <t xml:space="preserve">TRUDA FOODS (PTY) LTD EPPING I     </t>
  </si>
  <si>
    <t>TRUDA FOODS  PTY  LTD EPPING I</t>
  </si>
  <si>
    <t>Gaynor</t>
  </si>
  <si>
    <t xml:space="preserve">S.A. MINT (PTY) LTD                </t>
  </si>
  <si>
    <t>S.A. MINT  PTY  LTD</t>
  </si>
  <si>
    <t>keletso</t>
  </si>
  <si>
    <t>POD received from cell 0790678352 M</t>
  </si>
  <si>
    <t>lwan</t>
  </si>
  <si>
    <t xml:space="preserve">BADER SA (PTY) LTD                 </t>
  </si>
  <si>
    <t>BADER SA  PTY  LTD</t>
  </si>
  <si>
    <t xml:space="preserve">s Fourie                      </t>
  </si>
  <si>
    <t xml:space="preserve">POD received from cell 0674000125 M     </t>
  </si>
  <si>
    <t xml:space="preserve">KRONES SOUTH AFRICA PTY LTD LA     </t>
  </si>
  <si>
    <t>KRONES SOUTH AFRICA PTY LTD LA</t>
  </si>
  <si>
    <t>colen</t>
  </si>
  <si>
    <t>POD received from cell 0644108519 M</t>
  </si>
  <si>
    <t xml:space="preserve">CAXTON WORKS                       </t>
  </si>
  <si>
    <t>CAXTON WORKS</t>
  </si>
  <si>
    <t>cathy</t>
  </si>
  <si>
    <t>JACO1</t>
  </si>
  <si>
    <t>JACOBS</t>
  </si>
  <si>
    <t xml:space="preserve">TROPIC PLASTIC   PACKAGING LTD     </t>
  </si>
  <si>
    <t>TROPIC PLASTIC   PACKAGING LTD</t>
  </si>
  <si>
    <t>abbas</t>
  </si>
  <si>
    <t xml:space="preserve">VOPAK TERMINAL DURBAN (PTY) LT     </t>
  </si>
  <si>
    <t>VOPAK TERMINAL DURBAN  PTY  LT</t>
  </si>
  <si>
    <t>LISA</t>
  </si>
  <si>
    <t xml:space="preserve">KIMBERLY-CLARK VENDOR NUMBER:      </t>
  </si>
  <si>
    <t>KIMBERLY-CLARK VENDOR NUMBER</t>
  </si>
  <si>
    <t xml:space="preserve">simphiwe                      </t>
  </si>
  <si>
    <t xml:space="preserve">POD received from cell 0840403522 M     </t>
  </si>
  <si>
    <t>PLASTIC</t>
  </si>
  <si>
    <t xml:space="preserve">TRIDENT STEEL PROSPECTON           </t>
  </si>
  <si>
    <t>TRIDENT STEEL PROSPECTON</t>
  </si>
  <si>
    <t>nonala</t>
  </si>
  <si>
    <t xml:space="preserve">ADP MARINE   MODULAR (PTY) LTD     </t>
  </si>
  <si>
    <t>ADP MARINE   MODULAR  PTY  LTD</t>
  </si>
  <si>
    <t>tshepo</t>
  </si>
  <si>
    <t xml:space="preserve">HANON SYSTEMS SOUTH AFRICA         </t>
  </si>
  <si>
    <t>HANON SYSTEMS SOUTH AFRICA</t>
  </si>
  <si>
    <t>Penny</t>
  </si>
  <si>
    <t>andrew</t>
  </si>
  <si>
    <t xml:space="preserve">TURNCO ENGINEERING CC              </t>
  </si>
  <si>
    <t>TURNCO ENGINEERING CC</t>
  </si>
  <si>
    <t>deon</t>
  </si>
  <si>
    <t xml:space="preserve">BAGTECH INTERNATIONAL PTY LTD      </t>
  </si>
  <si>
    <t>BAGTECH INTERNATIONAL</t>
  </si>
  <si>
    <t xml:space="preserve">KYNE                          </t>
  </si>
  <si>
    <t xml:space="preserve">                                        </t>
  </si>
  <si>
    <t>MINI PAL</t>
  </si>
  <si>
    <t>TUBING R</t>
  </si>
  <si>
    <t>Disnay</t>
  </si>
  <si>
    <t xml:space="preserve">MAVTECH TECHNOLOGIES (PTY) LTD     </t>
  </si>
  <si>
    <t>MAVTECH TECHNOLOGIES  PTY  LTD</t>
  </si>
  <si>
    <t>Suwellen</t>
  </si>
  <si>
    <t xml:space="preserve">DIYA VALVES INTERNATIONAL CC       </t>
  </si>
  <si>
    <t>DIYA VALVES INTERNATIONAL CC</t>
  </si>
  <si>
    <t>Tim</t>
  </si>
  <si>
    <t>POD received from cell 0782274968 M</t>
  </si>
  <si>
    <t xml:space="preserve">MDW PNEUMATIC TRADING PTY LTD      </t>
  </si>
  <si>
    <t>MDW PNEUMATIC TRADING PTY LTD</t>
  </si>
  <si>
    <t xml:space="preserve">CAPE GATE (PTY) LTD                </t>
  </si>
  <si>
    <t>CAPE GATE  PTY  LTD</t>
  </si>
  <si>
    <t>E Mpholo</t>
  </si>
  <si>
    <t>POD received from cell 0729061309 M</t>
  </si>
  <si>
    <t xml:space="preserve">FAURECIA INTERIOR SYSTEMS SA P     </t>
  </si>
  <si>
    <t>FAURECIA INTERIOR SYSTEMS SA P</t>
  </si>
  <si>
    <t>amon</t>
  </si>
  <si>
    <t xml:space="preserve">H.G MOLENAAR (PTY) LTD             </t>
  </si>
  <si>
    <t>H.G MOLENAAR  PTY  LTD</t>
  </si>
  <si>
    <t>Gavin</t>
  </si>
  <si>
    <t xml:space="preserve">FAURECIA EMISIONS CONTROL TECH     </t>
  </si>
  <si>
    <t>FAURECIA EMISIONS CONTROL TECH</t>
  </si>
  <si>
    <t>e damseon</t>
  </si>
  <si>
    <t>POD received from cell 0727759089 M</t>
  </si>
  <si>
    <t>alipho</t>
  </si>
  <si>
    <t xml:space="preserve">KRUGER DUXBURY SOLUTION            </t>
  </si>
  <si>
    <t>KRUGER DUXBURY SOLUTION    T A</t>
  </si>
  <si>
    <t>talita</t>
  </si>
  <si>
    <t>POD received from cell 0699631211 M</t>
  </si>
  <si>
    <t>moses</t>
  </si>
  <si>
    <t>Kurt</t>
  </si>
  <si>
    <t xml:space="preserve">MZUKULU TECHNOLOGIES (PTY) LTD     </t>
  </si>
  <si>
    <t>MZUKULU TECHNOLOGIES  PTY  LTD</t>
  </si>
  <si>
    <t>MANDY</t>
  </si>
  <si>
    <t>POD received from cell 0628764486 M</t>
  </si>
  <si>
    <t>Siya</t>
  </si>
  <si>
    <t xml:space="preserve">KELLOGGS CO OF SA PTY LTD VEND     </t>
  </si>
  <si>
    <t>KELLOGGS CO OF SA PTY LTD VEND</t>
  </si>
  <si>
    <t>THABISO</t>
  </si>
  <si>
    <t>POD received from cell 0715155602 M</t>
  </si>
  <si>
    <t xml:space="preserve">TRUDA FOODS                        </t>
  </si>
  <si>
    <t>TRUDA FOODS</t>
  </si>
  <si>
    <t xml:space="preserve">kelebogile                    </t>
  </si>
  <si>
    <t>MOSSE</t>
  </si>
  <si>
    <t>MOSSEL BAY</t>
  </si>
  <si>
    <t xml:space="preserve">CSM BEARINGS   PNEUMATICS MOSS     </t>
  </si>
  <si>
    <t>CSM BEARINGS   PNEUMATICS MOSS</t>
  </si>
  <si>
    <t>santie</t>
  </si>
  <si>
    <t>POD received from cell 0781804576 M</t>
  </si>
  <si>
    <t>Chris</t>
  </si>
  <si>
    <t xml:space="preserve">MAHLE BEHR SOUTH AFRICA PTY LT     </t>
  </si>
  <si>
    <t>MAHLE BEHR S.A</t>
  </si>
  <si>
    <t>Nokuthula</t>
  </si>
  <si>
    <t xml:space="preserve">PAARL PNEUMATICS CC                </t>
  </si>
  <si>
    <t>PAARL PNEUMATICS CC</t>
  </si>
  <si>
    <t>wilson</t>
  </si>
  <si>
    <t>POD received from cell 0601378449 M</t>
  </si>
  <si>
    <t xml:space="preserve">SML BOX:                      </t>
  </si>
  <si>
    <t>TZANE</t>
  </si>
  <si>
    <t>TZANEEN</t>
  </si>
  <si>
    <t xml:space="preserve">MERENSKY TIMBER PTY LTD T A NO     </t>
  </si>
  <si>
    <t>MERENSKY</t>
  </si>
  <si>
    <t xml:space="preserve">Annie                         </t>
  </si>
  <si>
    <t xml:space="preserve">POD received from cell 0721205889 M     </t>
  </si>
  <si>
    <t>ESTCO</t>
  </si>
  <si>
    <t>ESTCOURT</t>
  </si>
  <si>
    <t xml:space="preserve">NESTLE SOUTH AFRICA                </t>
  </si>
  <si>
    <t>NESTLE SOUTH AFRICA</t>
  </si>
  <si>
    <t>nosibulelo</t>
  </si>
  <si>
    <t>POD received from cell 0624348011 M</t>
  </si>
  <si>
    <t xml:space="preserve">ARDAGH GLASS PACKAGING SOUTH A     </t>
  </si>
  <si>
    <t>ARDAGH GLASS PACKAGING SOUTH A</t>
  </si>
  <si>
    <t>ROBBY</t>
  </si>
  <si>
    <t>jonathan</t>
  </si>
  <si>
    <t xml:space="preserve">BLACK SHEEP INDUSTRIES PTY LTD     </t>
  </si>
  <si>
    <t>BLACK SHEEP INDUSTRIES</t>
  </si>
  <si>
    <t>Will</t>
  </si>
  <si>
    <t>WOODEN C</t>
  </si>
  <si>
    <t xml:space="preserve">VOITH TURBO (PTY) LTD WITFIELD     </t>
  </si>
  <si>
    <t>VOITH TURBO  PTY  LTD WITFIELD</t>
  </si>
  <si>
    <t>akan</t>
  </si>
  <si>
    <t xml:space="preserve">GRANROTH (PTY) LTD                 </t>
  </si>
  <si>
    <t>GRANROTH  PTY  LTD</t>
  </si>
  <si>
    <t>Bradley</t>
  </si>
  <si>
    <t xml:space="preserve">CLIFFORD MACHINES   TECHNOLOGY     </t>
  </si>
  <si>
    <t>CLIFFORD MACHINES   TECHNOLOGY</t>
  </si>
  <si>
    <t>Spha</t>
  </si>
  <si>
    <t xml:space="preserve">japie                         </t>
  </si>
  <si>
    <t xml:space="preserve">POD received from cell 0637178198 M     </t>
  </si>
  <si>
    <t>innocent</t>
  </si>
  <si>
    <t>POD received from cell 0766412100 M</t>
  </si>
  <si>
    <t xml:space="preserve">SEALED AIR AFRICA (PTY) LTD        </t>
  </si>
  <si>
    <t>SEALED AIR AFRICA  PTY  LTD</t>
  </si>
  <si>
    <t>Thoko</t>
  </si>
  <si>
    <t xml:space="preserve">ANG INDUSTRIAL SOLUTION            </t>
  </si>
  <si>
    <t>NA</t>
  </si>
  <si>
    <t>LUCKY</t>
  </si>
  <si>
    <t>PARCEL</t>
  </si>
  <si>
    <t xml:space="preserve">Hackmack                           </t>
  </si>
  <si>
    <t>Jeff Beneke</t>
  </si>
  <si>
    <t>Kavenesh</t>
  </si>
  <si>
    <t xml:space="preserve">Micromath Trading                  </t>
  </si>
  <si>
    <t>Leonore</t>
  </si>
  <si>
    <t>Mark</t>
  </si>
  <si>
    <t>1FLYER</t>
  </si>
  <si>
    <t xml:space="preserve">SPICER AXLE PTY LTD                </t>
  </si>
  <si>
    <t>SPICER AXLE PTY LTD</t>
  </si>
  <si>
    <t>marelize</t>
  </si>
  <si>
    <t xml:space="preserve">PAMODZI UNIQUE ENGINEERING (PT     </t>
  </si>
  <si>
    <t>PAMODZI UNIQUE ENGINEERING  PT</t>
  </si>
  <si>
    <t>Roderick</t>
  </si>
  <si>
    <t>POD received from cell 0738022932 M</t>
  </si>
  <si>
    <t>CHARL</t>
  </si>
  <si>
    <t xml:space="preserve">SIQALO FOODS PTY LTD               </t>
  </si>
  <si>
    <t>SIQALO FOODS PTY LTD</t>
  </si>
  <si>
    <t>NANDIPHA</t>
  </si>
  <si>
    <t>Marcus</t>
  </si>
  <si>
    <t>Morena</t>
  </si>
  <si>
    <t>Ethel</t>
  </si>
  <si>
    <t>Elijah</t>
  </si>
  <si>
    <t>POD received from cell 0814028850 M</t>
  </si>
  <si>
    <t xml:space="preserve">SMITHS MANUFACTURING               </t>
  </si>
  <si>
    <t>SMITHS MANUFACTURING</t>
  </si>
  <si>
    <t>slindile</t>
  </si>
  <si>
    <t xml:space="preserve">NJC MANUFACTURING (PTY) LTD        </t>
  </si>
  <si>
    <t>NJC MANUFACTURING  PTY  LTD</t>
  </si>
  <si>
    <t>Andrea</t>
  </si>
  <si>
    <t>nosipho</t>
  </si>
  <si>
    <t xml:space="preserve">deez                          </t>
  </si>
  <si>
    <t xml:space="preserve">POD received from cell 0658550146 M     </t>
  </si>
  <si>
    <t>japie</t>
  </si>
  <si>
    <t>POD received from cell 0827630425 M</t>
  </si>
  <si>
    <t xml:space="preserve">ELECTROSALES ELECTRICAL            </t>
  </si>
  <si>
    <t>ELECTROSALES ELECTRICAL</t>
  </si>
  <si>
    <t xml:space="preserve">Florence                      </t>
  </si>
  <si>
    <t>marry</t>
  </si>
  <si>
    <t>barte</t>
  </si>
  <si>
    <t xml:space="preserve">ALBANY BAKERIES A DIVISION OF      </t>
  </si>
  <si>
    <t>ALBANY BAKERIES A DIVISION OF</t>
  </si>
  <si>
    <t>Gloria</t>
  </si>
  <si>
    <t>POD received from cell 0844936893 M</t>
  </si>
  <si>
    <t>HAMMA</t>
  </si>
  <si>
    <t>HAMMANSKRAAL</t>
  </si>
  <si>
    <t xml:space="preserve">VISTA 24 (PTY) LTD HAMMANSKRAA     </t>
  </si>
  <si>
    <t>VISTA 24  PTY  LTD HAMMANSKRAA</t>
  </si>
  <si>
    <t>vusumuzi</t>
  </si>
  <si>
    <t xml:space="preserve">DURR AFRICA PTY LTD CORPORATE      </t>
  </si>
  <si>
    <t>DURR AFRICA</t>
  </si>
  <si>
    <t>Zenonzi</t>
  </si>
  <si>
    <t xml:space="preserve">KHP HYDRAULICS   PNEUMATICS (P     </t>
  </si>
  <si>
    <t>KHP HYDRAULICS   PNEUMATICS  P</t>
  </si>
  <si>
    <t>Josephine</t>
  </si>
  <si>
    <t xml:space="preserve">BMG PINETOWN                       </t>
  </si>
  <si>
    <t>BMG PINETOWN</t>
  </si>
  <si>
    <t>randel</t>
  </si>
  <si>
    <t>POD received from cell 0791069864 M</t>
  </si>
  <si>
    <t xml:space="preserve">ESKORT MEAT HEIDELBERG             </t>
  </si>
  <si>
    <t>ESKORT MEAT HEIDELBERG</t>
  </si>
  <si>
    <t>zach</t>
  </si>
  <si>
    <t>MICHELLE</t>
  </si>
  <si>
    <t>kinn</t>
  </si>
  <si>
    <t xml:space="preserve">PRODUCTIVE ENGINEERING CC          </t>
  </si>
  <si>
    <t>PRODUCTIVE ENGINEERING CC</t>
  </si>
  <si>
    <t>s low</t>
  </si>
  <si>
    <t>Fanie</t>
  </si>
  <si>
    <t>ALBE2</t>
  </si>
  <si>
    <t>ALBERTON</t>
  </si>
  <si>
    <t xml:space="preserve">MAXION WHEELS SOUTH AFRICA PTY     </t>
  </si>
  <si>
    <t>MAXION WHEELS SOUTH AFRICA PTY</t>
  </si>
  <si>
    <t>mbongeni</t>
  </si>
  <si>
    <t>POD received from cell 0647581272 M</t>
  </si>
  <si>
    <t xml:space="preserve">GENERAL  PNEUMATICS                </t>
  </si>
  <si>
    <t>GENERAL  PNEUMATICS</t>
  </si>
  <si>
    <t>Jonson</t>
  </si>
  <si>
    <t>sibusio</t>
  </si>
  <si>
    <t>remile</t>
  </si>
  <si>
    <t>Noelin</t>
  </si>
  <si>
    <t xml:space="preserve">PATERSON HUGHES ENGINEERING        </t>
  </si>
  <si>
    <t>PATERSON HUGHES ENGINEERING</t>
  </si>
  <si>
    <t>hans</t>
  </si>
  <si>
    <t xml:space="preserve">MARLEY SA PTY LTD                  </t>
  </si>
  <si>
    <t>MARLEY SA PTY LTD</t>
  </si>
  <si>
    <t>Simon</t>
  </si>
  <si>
    <t>STORE MANAGA</t>
  </si>
  <si>
    <t xml:space="preserve">musa                          </t>
  </si>
  <si>
    <t>Udo</t>
  </si>
  <si>
    <t xml:space="preserve">MERCEDES BENZ SOUTH AFRICA         </t>
  </si>
  <si>
    <t>MERCEDES BENZ S.A</t>
  </si>
  <si>
    <t>Malubekho</t>
  </si>
  <si>
    <t>POD received from cell 0740914769 M</t>
  </si>
  <si>
    <t>Randall</t>
  </si>
  <si>
    <t>POD received from cell 0737996477 M</t>
  </si>
  <si>
    <t>STANG</t>
  </si>
  <si>
    <t>STANGER</t>
  </si>
  <si>
    <t xml:space="preserve">SAPPI SOUTHERN AFRICA LIMITED      </t>
  </si>
  <si>
    <t>SAPPI SOUTHERN AFRICA</t>
  </si>
  <si>
    <t>d pillay</t>
  </si>
  <si>
    <t>POD received from cell 0820534942 M</t>
  </si>
  <si>
    <t xml:space="preserve">PLASTIC OMNIUM AUTO INERGY SA      </t>
  </si>
  <si>
    <t>PLASTIC OMNIUM AUTO INERGY SA</t>
  </si>
  <si>
    <t>Nolan</t>
  </si>
  <si>
    <t>Sivu</t>
  </si>
  <si>
    <t xml:space="preserve">MOVE ANALYTICS CC (FESTO DIREC     </t>
  </si>
  <si>
    <t>Compressed Air Equipment</t>
  </si>
  <si>
    <t xml:space="preserve">noma                          </t>
  </si>
  <si>
    <t xml:space="preserve">PROMAX SIVEX DISTRUBUTORS CC T     </t>
  </si>
  <si>
    <t>PROMAX SIVEX DISTRUBUTORS CC T</t>
  </si>
  <si>
    <t>Danie</t>
  </si>
  <si>
    <t>POD received from cell 0727824353 M</t>
  </si>
  <si>
    <t xml:space="preserve">FORD MOTORING CO OF S A            </t>
  </si>
  <si>
    <t>FORD MOTORING</t>
  </si>
  <si>
    <t>k  a  moloto</t>
  </si>
  <si>
    <t xml:space="preserve">nosibulelo                    </t>
  </si>
  <si>
    <t xml:space="preserve">POD received from cell 0624348011 M     </t>
  </si>
  <si>
    <t xml:space="preserve">BMW SOUTH AFRICA                   </t>
  </si>
  <si>
    <t>BMW</t>
  </si>
  <si>
    <t>Zakaria</t>
  </si>
  <si>
    <t xml:space="preserve">CAVALETTO 98 (PTY) LTD T A PRO     </t>
  </si>
  <si>
    <t>CAVALETTO 98  PTY  LTD T A PRO</t>
  </si>
  <si>
    <t>saloshni</t>
  </si>
  <si>
    <t xml:space="preserve">CULINARY  A DIVISION OF TIGER      </t>
  </si>
  <si>
    <t>CULINARY  A DIVISION OF TIGER</t>
  </si>
  <si>
    <t>Dakalo</t>
  </si>
  <si>
    <t xml:space="preserve">Andre                         </t>
  </si>
  <si>
    <t>noluthando</t>
  </si>
  <si>
    <t>POD received from cell 0736924422 M</t>
  </si>
  <si>
    <t xml:space="preserve">ACK SOLUTIONS PTY LTD              </t>
  </si>
  <si>
    <t>ACK SOLUTIONS PTY LTD</t>
  </si>
  <si>
    <t>R Lodewyk</t>
  </si>
  <si>
    <t>Aliston</t>
  </si>
  <si>
    <t xml:space="preserve">PREMIER FMCG PTY LTD               </t>
  </si>
  <si>
    <t>PREMIER FMCG</t>
  </si>
  <si>
    <t>AYANDA</t>
  </si>
  <si>
    <t>POD received from cell 0764958693 M</t>
  </si>
  <si>
    <t>Dean</t>
  </si>
  <si>
    <t xml:space="preserve">G.U.D. HOLDINGS                    </t>
  </si>
  <si>
    <t>G.U.D. HOLDINGS</t>
  </si>
  <si>
    <t>hlengiwe</t>
  </si>
  <si>
    <t>kian</t>
  </si>
  <si>
    <t>Wiseman</t>
  </si>
  <si>
    <t xml:space="preserve">PE HYDRAULICS   PNEUMATICS         </t>
  </si>
  <si>
    <t>PE HYDRAULICS   PNEUMATICS</t>
  </si>
  <si>
    <t>Tony</t>
  </si>
  <si>
    <t xml:space="preserve">ANDRITZ DELKOR (PTY) LTD           </t>
  </si>
  <si>
    <t>ANDRITZ DELKOR  PTY  LTD</t>
  </si>
  <si>
    <t>JABULANI</t>
  </si>
  <si>
    <t>nch</t>
  </si>
  <si>
    <t>athembile</t>
  </si>
  <si>
    <t>shaun</t>
  </si>
  <si>
    <t xml:space="preserve">WOOL TESTING BUREAU S.A            </t>
  </si>
  <si>
    <t>WOOL TESTING BUREAU S.A</t>
  </si>
  <si>
    <t>j francis</t>
  </si>
  <si>
    <t>Shida</t>
  </si>
  <si>
    <t>lerato</t>
  </si>
  <si>
    <t>POD received from cell 0647909777 M</t>
  </si>
  <si>
    <t xml:space="preserve">RUMI ENTERPRISES (PTY) LTD PIN     </t>
  </si>
  <si>
    <t>RUMI ENTERPRISES  PTY  LTD PIN</t>
  </si>
  <si>
    <t>Anus</t>
  </si>
  <si>
    <t>m  van der nest</t>
  </si>
  <si>
    <t xml:space="preserve">DIVFOOD A DIV OF NAMPAK PRODUC     </t>
  </si>
  <si>
    <t>DIVFOOD A DIV OF NAMPAK PRODUC</t>
  </si>
  <si>
    <t>Pancho</t>
  </si>
  <si>
    <t>kathya</t>
  </si>
  <si>
    <t>zakia</t>
  </si>
  <si>
    <t>UMBOG</t>
  </si>
  <si>
    <t>UMBOGINTWINI</t>
  </si>
  <si>
    <t xml:space="preserve">RYMCO PTY LTD T A ANCHOR YEAST     </t>
  </si>
  <si>
    <t>RYMCO</t>
  </si>
  <si>
    <t>kuben</t>
  </si>
  <si>
    <t xml:space="preserve">HESTO HARNESSES PTY LYD STANGE     </t>
  </si>
  <si>
    <t>HESTO HARNESSES PTY LYD STANGE</t>
  </si>
  <si>
    <t>NADEEN</t>
  </si>
  <si>
    <t>Yolanda</t>
  </si>
  <si>
    <t>lollitha</t>
  </si>
  <si>
    <t xml:space="preserve">NATIONAL BRANDS LTD- BECKETTS      </t>
  </si>
  <si>
    <t>NATIONAL BRANDS LTD- BECKETTS</t>
  </si>
  <si>
    <t>Donald</t>
  </si>
  <si>
    <t>Outlying delivery location</t>
  </si>
  <si>
    <t xml:space="preserve">UMGUNGUNDLOVU TVET COLLEGE 078     </t>
  </si>
  <si>
    <t>UMGUNGUNDLOVU TVET COLLEGE 078</t>
  </si>
  <si>
    <t>mbonani</t>
  </si>
  <si>
    <t>Lathan</t>
  </si>
  <si>
    <t xml:space="preserve">Heineken Sedibeng Brewery          </t>
  </si>
  <si>
    <t>Goodman Rammego</t>
  </si>
  <si>
    <t xml:space="preserve">Schullpak                          </t>
  </si>
  <si>
    <t>Peter Coffey</t>
  </si>
  <si>
    <t>Evans</t>
  </si>
  <si>
    <t>keven</t>
  </si>
  <si>
    <t>David Raboude</t>
  </si>
  <si>
    <t>UNILEVER SOUTH AFRICA</t>
  </si>
  <si>
    <t>NEROSHA</t>
  </si>
  <si>
    <t>POD received from cell 0714692887 M</t>
  </si>
  <si>
    <t>Christo</t>
  </si>
  <si>
    <t xml:space="preserve">DAVID                         </t>
  </si>
  <si>
    <t xml:space="preserve">HUHTAMAKI DIV FLEXIBLE             </t>
  </si>
  <si>
    <t>HUHTAMAKI DIV FLEXIBLE</t>
  </si>
  <si>
    <t>Thulani</t>
  </si>
  <si>
    <t>Emmanuel</t>
  </si>
  <si>
    <t>HARRI</t>
  </si>
  <si>
    <t>HARRISMITH</t>
  </si>
  <si>
    <t xml:space="preserve">NESTLE SOUTH AFRICA (PTY) LTD      </t>
  </si>
  <si>
    <t>NESTLE SOUTH AFRICA  PTY  LTD</t>
  </si>
  <si>
    <t xml:space="preserve">Thobile                       </t>
  </si>
  <si>
    <t xml:space="preserve">POD received from cell 0638379238 M     </t>
  </si>
  <si>
    <t>Collen</t>
  </si>
  <si>
    <t>POD received from cell 0608652455 M</t>
  </si>
  <si>
    <t xml:space="preserve">LEONARD DINGLER ( PTY) LTD PRO     </t>
  </si>
  <si>
    <t>LEONARD DINGLER   PTY  LTD PRO</t>
  </si>
  <si>
    <t>Dlamini</t>
  </si>
  <si>
    <t xml:space="preserve">LÓREAL MANUFACTURING PTY LTD       </t>
  </si>
  <si>
    <t>LÓREAL MANUFACTURING</t>
  </si>
  <si>
    <t>Nthabiseng</t>
  </si>
  <si>
    <t>POD received from cell 0658308170 M</t>
  </si>
  <si>
    <t xml:space="preserve">WASSERTEC OZONE SYSTEMS            </t>
  </si>
  <si>
    <t>WASSERTEC OZONE SYSTEMS</t>
  </si>
  <si>
    <t>marlin</t>
  </si>
  <si>
    <t xml:space="preserve">PARROT PRODUCTS CLEVELAND          </t>
  </si>
  <si>
    <t>PARROT PRODUCTS CLEVELAND</t>
  </si>
  <si>
    <t>ntokozo</t>
  </si>
  <si>
    <t>POD received from cell 0836935442 M</t>
  </si>
  <si>
    <t xml:space="preserve">POLYOAK PACKAGING (PTY) LTD DI     </t>
  </si>
  <si>
    <t>POLYOAK PACKAGING  PTY  LTD DI</t>
  </si>
  <si>
    <t>Tamaryn</t>
  </si>
  <si>
    <t>POD received from cell 0792230061 M</t>
  </si>
  <si>
    <t>Rudi</t>
  </si>
  <si>
    <t xml:space="preserve">EMENEM INDUSTRIAL CC               </t>
  </si>
  <si>
    <t>EMENEM INDUSTRIAL CC</t>
  </si>
  <si>
    <t>Leroy</t>
  </si>
  <si>
    <t xml:space="preserve">Myron                         </t>
  </si>
  <si>
    <t xml:space="preserve">POD received from cell 0733833839 M     </t>
  </si>
  <si>
    <t>Rudolph</t>
  </si>
  <si>
    <t xml:space="preserve">FIRST NATIONAL BATTERY             </t>
  </si>
  <si>
    <t>FIRST NATIONAL BATTERY</t>
  </si>
  <si>
    <t>BAX</t>
  </si>
  <si>
    <t>JOEL</t>
  </si>
  <si>
    <t xml:space="preserve">REHAU POLYMER PTY LTD              </t>
  </si>
  <si>
    <t>REHAU POLYMER</t>
  </si>
  <si>
    <t>lubabalo</t>
  </si>
  <si>
    <t xml:space="preserve">THE SOUTH AFRICA BREWERIES LTD     </t>
  </si>
  <si>
    <t>THE SOUTH AFRICA BREWERIES LTD</t>
  </si>
  <si>
    <t>nadine</t>
  </si>
  <si>
    <t>NDONDO</t>
  </si>
  <si>
    <t>jexdan</t>
  </si>
  <si>
    <t>yca</t>
  </si>
  <si>
    <t xml:space="preserve">POD received from cell 0826975382 M     </t>
  </si>
  <si>
    <t>gedbooi</t>
  </si>
  <si>
    <t>Mchaela</t>
  </si>
  <si>
    <t xml:space="preserve">ARDAGH GLASS PACKAGING  SA PTY     </t>
  </si>
  <si>
    <t>ARDAGH GLASS PACKAGING  SA PTY</t>
  </si>
  <si>
    <t>sinenhlanhla</t>
  </si>
  <si>
    <t>cameron</t>
  </si>
  <si>
    <t>SML BIOX</t>
  </si>
  <si>
    <t xml:space="preserve">Gavin                         </t>
  </si>
  <si>
    <t xml:space="preserve">POD received from cell 0671392487 M     </t>
  </si>
  <si>
    <t>bongani</t>
  </si>
  <si>
    <t>SIYA</t>
  </si>
  <si>
    <t xml:space="preserve">PHARMAPAC (PTY) LTD                </t>
  </si>
  <si>
    <t>PHARMAPAC  PTY  LTD</t>
  </si>
  <si>
    <t>londeka</t>
  </si>
  <si>
    <t>francina</t>
  </si>
  <si>
    <t>Wilham</t>
  </si>
  <si>
    <t xml:space="preserve">COMPTECH ELECTRONICS KEQ CC        </t>
  </si>
  <si>
    <t>COMPTECH ELECTRONICS KEQ CC</t>
  </si>
  <si>
    <t>Jestine</t>
  </si>
  <si>
    <t xml:space="preserve">HIGH TECH PROCESSING PTY LTD       </t>
  </si>
  <si>
    <t>HIGH TECH PROCESSING PTY LTD</t>
  </si>
  <si>
    <t>Adri</t>
  </si>
  <si>
    <t>Keenan</t>
  </si>
  <si>
    <t>samuel</t>
  </si>
  <si>
    <t>POD received from cell 0718195095 M</t>
  </si>
  <si>
    <t xml:space="preserve">UNIVERSAL AUTOMATED SYSTEMS (P     </t>
  </si>
  <si>
    <t>UNIVERSAL AUTOMATED SYSTEMS  P</t>
  </si>
  <si>
    <t>Joquos</t>
  </si>
  <si>
    <t>POD received from cell 0655428752 M</t>
  </si>
  <si>
    <t>BNOX</t>
  </si>
  <si>
    <t>ELIGIBLED</t>
  </si>
  <si>
    <t xml:space="preserve">ADCOCK INGRAM HEALTHCARE (PTY)     </t>
  </si>
  <si>
    <t>ADCOCK INGRAM HEALTHCARE  PTY</t>
  </si>
  <si>
    <t>mdm</t>
  </si>
  <si>
    <t xml:space="preserve">PAILPAC (PTY) LTD                  </t>
  </si>
  <si>
    <t>PAILPAC  PTY  LTD</t>
  </si>
  <si>
    <t>lamu</t>
  </si>
  <si>
    <t>theo</t>
  </si>
  <si>
    <t xml:space="preserve">RCL FOODS CONSUMER (PTY) LTD S     </t>
  </si>
  <si>
    <t>RCL FOODS CONSUMER  PTY  LTD S</t>
  </si>
  <si>
    <t>Werner</t>
  </si>
  <si>
    <t xml:space="preserve">DNH MANUFACTURING (PTY) LTD        </t>
  </si>
  <si>
    <t>DNH MANUFACTURING  PTY  LTD</t>
  </si>
  <si>
    <t>j  killian</t>
  </si>
  <si>
    <t xml:space="preserve">G.U.D HOLDINGS (PTY) LTD PROSP     </t>
  </si>
  <si>
    <t>G.U.D HOLDINGS  PTY  LTD PROSP</t>
  </si>
  <si>
    <t>michael</t>
  </si>
  <si>
    <t>lolitha</t>
  </si>
  <si>
    <t>enrico</t>
  </si>
  <si>
    <t>cerwin</t>
  </si>
  <si>
    <t xml:space="preserve">Mia                           </t>
  </si>
  <si>
    <t xml:space="preserve">JLINC T A TASAMA TRADING 213C      </t>
  </si>
  <si>
    <t>JLINC T A TASAMA TRADING 213C</t>
  </si>
  <si>
    <t xml:space="preserve">C Geldenhuys                  </t>
  </si>
  <si>
    <t xml:space="preserve">Patrick                       </t>
  </si>
  <si>
    <t>janine</t>
  </si>
  <si>
    <t xml:space="preserve">AMROD COPORATE SOLUTION (PTY)      </t>
  </si>
  <si>
    <t>AMROD COPORATE SOLUTION  PTY</t>
  </si>
  <si>
    <t>isaac</t>
  </si>
  <si>
    <t xml:space="preserve">GREIF S.A PTY LTD                  </t>
  </si>
  <si>
    <t>GREIF S.A PTY LTD</t>
  </si>
  <si>
    <t>Maria</t>
  </si>
  <si>
    <t xml:space="preserve">UNILEVER SOUTH AFRICA              </t>
  </si>
  <si>
    <t xml:space="preserve">LEVINO CONSULTING AND CONSTRUC     </t>
  </si>
  <si>
    <t>LEVINO CONSULTING AND CONSTRUC</t>
  </si>
  <si>
    <t>Charles</t>
  </si>
  <si>
    <t>POD received from cell 0606555504 M</t>
  </si>
  <si>
    <t>Chaz</t>
  </si>
  <si>
    <t xml:space="preserve">LINDE AND WIEMANN (PTY) LTD        </t>
  </si>
  <si>
    <t>LINDE AND WIEMANN  PTY  LTD</t>
  </si>
  <si>
    <t>REBECCA</t>
  </si>
  <si>
    <t xml:space="preserve">ARDAGH GLASS PACKAGING             </t>
  </si>
  <si>
    <t>ARDAGH GLASS PACKAGING</t>
  </si>
  <si>
    <t>POD received from cell 0612301350 M</t>
  </si>
  <si>
    <t xml:space="preserve">REBUS INDUSTRIAL CONTROLS          </t>
  </si>
  <si>
    <t>REBUS INDUSTRIAL CONTROLS</t>
  </si>
  <si>
    <t>Jaco</t>
  </si>
  <si>
    <t>jacqi</t>
  </si>
  <si>
    <t>LADYS</t>
  </si>
  <si>
    <t>LADYSMITH (NTL)</t>
  </si>
  <si>
    <t xml:space="preserve">LADYSMITH TRADING CC               </t>
  </si>
  <si>
    <t>LADYSMITH TRADING CC</t>
  </si>
  <si>
    <t>thulani</t>
  </si>
  <si>
    <t>POD received from cell 0662487527 M</t>
  </si>
  <si>
    <t xml:space="preserve">Africa                        </t>
  </si>
  <si>
    <t xml:space="preserve">R Lodewyk                     </t>
  </si>
  <si>
    <t>juan</t>
  </si>
  <si>
    <t>Vehicle breakdown</t>
  </si>
  <si>
    <t>jam</t>
  </si>
  <si>
    <t>POD received from cell 062 522 7944 M</t>
  </si>
  <si>
    <t xml:space="preserve">annie                         </t>
  </si>
  <si>
    <t>liv</t>
  </si>
  <si>
    <t xml:space="preserve">POD received from cell 0765765633 M     </t>
  </si>
  <si>
    <t xml:space="preserve">ENGINEERING   HYDRAULIC            </t>
  </si>
  <si>
    <t>ENGINEERING   HYDRAULIC</t>
  </si>
  <si>
    <t>Nrole</t>
  </si>
  <si>
    <t xml:space="preserve">S4 INTEGRATION PTYLTD              </t>
  </si>
  <si>
    <t>S4 INTEGRATION PTYLTD</t>
  </si>
  <si>
    <t>schalk</t>
  </si>
  <si>
    <t>POD received from cell 0751320604 M</t>
  </si>
  <si>
    <t>emig</t>
  </si>
  <si>
    <t xml:space="preserve">SYNC SYSTEMS                       </t>
  </si>
  <si>
    <t>SYNC SYSTEMS</t>
  </si>
  <si>
    <t>blam</t>
  </si>
  <si>
    <t>POD received from cell 0794524703 M</t>
  </si>
  <si>
    <t>wernick</t>
  </si>
  <si>
    <t>sibusiso</t>
  </si>
  <si>
    <t>sammy</t>
  </si>
  <si>
    <t>Zawazi</t>
  </si>
  <si>
    <t xml:space="preserve">BANDINI CHEESE    IMPACT DISTR     </t>
  </si>
  <si>
    <t>BANDINI CHEESE   IMPACT DISTRI</t>
  </si>
  <si>
    <t>pinky</t>
  </si>
  <si>
    <t>shane</t>
  </si>
  <si>
    <t>Ayanda</t>
  </si>
  <si>
    <t xml:space="preserve">sphiwe                        </t>
  </si>
  <si>
    <t xml:space="preserve">POD received from cell 0740123084 M     </t>
  </si>
  <si>
    <t xml:space="preserve">ROBOTIC INNOVATIONS (PTY) LTD      </t>
  </si>
  <si>
    <t>ROBOTIC INNOVATIONS  PTY  LTD</t>
  </si>
  <si>
    <t>Johnavon</t>
  </si>
  <si>
    <t>POD received from cell 0723623160 M</t>
  </si>
  <si>
    <t xml:space="preserve">MED-ENGINEERING (PTY) LTD          </t>
  </si>
  <si>
    <t>MED-ENGINEERING  PTY  LTD</t>
  </si>
  <si>
    <t>Randal</t>
  </si>
  <si>
    <t xml:space="preserve">LACTALIS SOUTH AFRICA              </t>
  </si>
  <si>
    <t>LACTALIS SOUTH AFRICA</t>
  </si>
  <si>
    <t xml:space="preserve">IMARA AUTOMATION CC                </t>
  </si>
  <si>
    <t>IMARA AUTOMATION CC</t>
  </si>
  <si>
    <t>Judica</t>
  </si>
  <si>
    <t>FLLYER</t>
  </si>
  <si>
    <t>Louis</t>
  </si>
  <si>
    <t xml:space="preserve">JESSOP   ASSOCIATES (PTY) LTD      </t>
  </si>
  <si>
    <t>JESSOP   ASSOCIATES  PTY  LTD</t>
  </si>
  <si>
    <t>Riaan</t>
  </si>
  <si>
    <t>xola</t>
  </si>
  <si>
    <t>stiaan</t>
  </si>
  <si>
    <t xml:space="preserve">RCL FOODS CONSUMER                 </t>
  </si>
  <si>
    <t>RCL FOODS CONSUMER</t>
  </si>
  <si>
    <t>sithe</t>
  </si>
  <si>
    <t>POD received from cell 0814478692 M</t>
  </si>
  <si>
    <t>ROODE</t>
  </si>
  <si>
    <t>ROODEPOORT</t>
  </si>
  <si>
    <t xml:space="preserve">UNIVERSAL CLIPS PTY LTD            </t>
  </si>
  <si>
    <t>UNIVERSAL CLIPS PTY LTD</t>
  </si>
  <si>
    <t>Lindiwe</t>
  </si>
  <si>
    <t>POD received from cell 0749910746 M</t>
  </si>
  <si>
    <t>Stanley</t>
  </si>
  <si>
    <t xml:space="preserve">GRIPPER   CO PTY LTD               </t>
  </si>
  <si>
    <t>GRIPPER   CO</t>
  </si>
  <si>
    <t>CARMEN</t>
  </si>
  <si>
    <t xml:space="preserve">FESTO CAPE TOWN                    </t>
  </si>
  <si>
    <t>ATT:WAYNE DROM PM.U</t>
  </si>
  <si>
    <t>MEV STEENKAMP</t>
  </si>
  <si>
    <t>phsteaukaws</t>
  </si>
  <si>
    <t>POD received from cell 0677913598 M</t>
  </si>
  <si>
    <t>ATT:ELIAS MAFEMO-FROM CT-ADVU</t>
  </si>
  <si>
    <t>ROBBY ELIAS</t>
  </si>
  <si>
    <t xml:space="preserve">GN Pumps   Motors                  </t>
  </si>
  <si>
    <t xml:space="preserve">General Pneumatics                 </t>
  </si>
  <si>
    <t>Daniel Moonsamy</t>
  </si>
  <si>
    <t>Lizaan</t>
  </si>
  <si>
    <t>Flyer</t>
  </si>
  <si>
    <t xml:space="preserve">HERMANUS                           </t>
  </si>
  <si>
    <t>HERMANUS</t>
  </si>
  <si>
    <t>CECILILA</t>
  </si>
  <si>
    <t>stanton</t>
  </si>
  <si>
    <t xml:space="preserve">WOODLANDS DAIRY PTY LTD HUMANS     </t>
  </si>
  <si>
    <t>WOODLANDS DAIRY PTY LTD HUMANS</t>
  </si>
  <si>
    <t>william</t>
  </si>
  <si>
    <t xml:space="preserve">TF DESIGN PTY LTD                  </t>
  </si>
  <si>
    <t>TF DESIGN</t>
  </si>
  <si>
    <t>divaan</t>
  </si>
  <si>
    <t xml:space="preserve">MAIN STREET 1310(PTY) LTD T A      </t>
  </si>
  <si>
    <t>MAIN STREET 1310 PTY  LTD T A</t>
  </si>
  <si>
    <t xml:space="preserve">katleho                       </t>
  </si>
  <si>
    <t xml:space="preserve">POD received from cell 0791970159 M     </t>
  </si>
  <si>
    <t>RANDB</t>
  </si>
  <si>
    <t>RANDBURG</t>
  </si>
  <si>
    <t xml:space="preserve">CBZ SOLUTIONS (PTY) LTD            </t>
  </si>
  <si>
    <t>CBZ SOLUTIONS  PTY  LTD</t>
  </si>
  <si>
    <t xml:space="preserve">Lebohang                      </t>
  </si>
  <si>
    <t xml:space="preserve">POD received from cell 0720457394 M     </t>
  </si>
  <si>
    <t xml:space="preserve">SIFISO                        </t>
  </si>
  <si>
    <t xml:space="preserve">shida                         </t>
  </si>
  <si>
    <t>TAJ</t>
  </si>
  <si>
    <t xml:space="preserve">POD received from cell 0842084217 M     </t>
  </si>
  <si>
    <t>POD received from cell 0711167078 M</t>
  </si>
  <si>
    <t>Claudia</t>
  </si>
  <si>
    <t xml:space="preserve">CEMPACK TREVOC MANAGEMENT SERV     </t>
  </si>
  <si>
    <t>CEMPACK TREVOC MANAGEMENT SERV</t>
  </si>
  <si>
    <t xml:space="preserve">m louw                        </t>
  </si>
  <si>
    <t xml:space="preserve">SAR ELECTRONIC SA (PTY) LTD NO     </t>
  </si>
  <si>
    <t>SAR ELECTRONIC SA  PTY  LTD NO</t>
  </si>
  <si>
    <t>wolgang</t>
  </si>
  <si>
    <t xml:space="preserve">francina                      </t>
  </si>
  <si>
    <t>Dudu</t>
  </si>
  <si>
    <t xml:space="preserve">EVEREST CORRUGATED (PTY) LTD       </t>
  </si>
  <si>
    <t>EVEREST CORRUGATED  PTY  LTD</t>
  </si>
  <si>
    <t>Lucus</t>
  </si>
  <si>
    <t>selamolela</t>
  </si>
  <si>
    <t>POD received from cell 0726543055 M</t>
  </si>
  <si>
    <t>j peters</t>
  </si>
  <si>
    <t>d kleynhans</t>
  </si>
  <si>
    <t xml:space="preserve">Gilbert                       </t>
  </si>
  <si>
    <t xml:space="preserve">POD received from cell 0767738416 M     </t>
  </si>
  <si>
    <t xml:space="preserve">KHAN CHEMICAL INDUSTRY C.C         </t>
  </si>
  <si>
    <t>KHAN CHEMICAL INDUSTRY C.C</t>
  </si>
  <si>
    <t>KHAN CHEMICAL INDUSTRY C C</t>
  </si>
  <si>
    <t>POD received from cell 0614098909 M</t>
  </si>
  <si>
    <t xml:space="preserve">ACCUTECH WEIGHING SERVICES PTY     </t>
  </si>
  <si>
    <t>ACCUTECH WEIGHING SERVICES PTY</t>
  </si>
  <si>
    <t>Lorraine</t>
  </si>
  <si>
    <t>POD received from cell 0720457394 M</t>
  </si>
  <si>
    <t>allan</t>
  </si>
  <si>
    <t>THOBILE</t>
  </si>
  <si>
    <t>MAR</t>
  </si>
  <si>
    <t xml:space="preserve">kuben                         </t>
  </si>
  <si>
    <t xml:space="preserve">POD received from cell 0671711975 M     </t>
  </si>
  <si>
    <t>siphiwe</t>
  </si>
  <si>
    <t>Sandra</t>
  </si>
  <si>
    <t xml:space="preserve">COCA COLA BEVERAGE SOUTH AFRIC     </t>
  </si>
  <si>
    <t>COCA COLA BEVERAGE SOUTH AFRIC</t>
  </si>
  <si>
    <t>LUSANDA</t>
  </si>
  <si>
    <t xml:space="preserve">COMPRESSED AIR EQUIPMENT DURBA     </t>
  </si>
  <si>
    <t>COMPRESSED AIR EQUIPMENT DURBA</t>
  </si>
  <si>
    <t xml:space="preserve">HAUTES TERRES D AFRIQUE CC T A     </t>
  </si>
  <si>
    <t>HAUTES TERRES D AFRIQUE CC T A</t>
  </si>
  <si>
    <t>POD received from cell 0739169605 M</t>
  </si>
  <si>
    <t>vincent</t>
  </si>
  <si>
    <t xml:space="preserve">SMITHS MANUFACTURING (PTY) LTD     </t>
  </si>
  <si>
    <t>SMITHS MANUFACTURING  PTY  LTD</t>
  </si>
  <si>
    <t>mahommed</t>
  </si>
  <si>
    <t>POD received from cell 0753791545 M</t>
  </si>
  <si>
    <t>brandon</t>
  </si>
  <si>
    <t xml:space="preserve">DALE AUTOMATION PTY LTD            </t>
  </si>
  <si>
    <t>DALE AUTOMATION PTY LTD</t>
  </si>
  <si>
    <t>Marno</t>
  </si>
  <si>
    <t>HND / FUE / doc</t>
  </si>
  <si>
    <t>POD received from cell 0628474552 M</t>
  </si>
  <si>
    <t xml:space="preserve">SUPERIOR PACKAGING INDUSTRIES      </t>
  </si>
  <si>
    <t>SUPERIOR PACKAGING INDUSTRIES</t>
  </si>
  <si>
    <t>Jade</t>
  </si>
  <si>
    <t xml:space="preserve">THE SIMBA GROUP LTD MAIN AIRPO     </t>
  </si>
  <si>
    <t>THE SIMBA GROUP LTD MAIN AIRPO</t>
  </si>
  <si>
    <t>Tebogo</t>
  </si>
  <si>
    <t xml:space="preserve">UNILEVER SA PHOENIX AEROSOL        </t>
  </si>
  <si>
    <t>UNILEVER SA PHOENIX AEROSOL</t>
  </si>
  <si>
    <t>myezhf</t>
  </si>
  <si>
    <t>POD received from cell 0698085401 M</t>
  </si>
  <si>
    <t>REAGAN</t>
  </si>
  <si>
    <t>TONGA</t>
  </si>
  <si>
    <t>TONGAAT</t>
  </si>
  <si>
    <t xml:space="preserve">CONLOG (PTY) LTD                   </t>
  </si>
  <si>
    <t>CONLOG  PTY  LTD</t>
  </si>
  <si>
    <t>Sivongile</t>
  </si>
  <si>
    <t>col</t>
  </si>
  <si>
    <t>POD received from cell 0814411638 M</t>
  </si>
  <si>
    <t>Phumzile security</t>
  </si>
  <si>
    <t>POD received from cell 0677793530 M</t>
  </si>
  <si>
    <t xml:space="preserve">FLEXICON AFRICA PTY                </t>
  </si>
  <si>
    <t>FLEXICON AFRICA PTY</t>
  </si>
  <si>
    <t>Jacqui</t>
  </si>
  <si>
    <t>Wendy</t>
  </si>
  <si>
    <t xml:space="preserve">ALDOR AFRICA                       </t>
  </si>
  <si>
    <t>ALDOR AFRICA</t>
  </si>
  <si>
    <t>Pius</t>
  </si>
  <si>
    <t xml:space="preserve">ADCOCK INGRAM CRITICAL CARE        </t>
  </si>
  <si>
    <t>ADCOCK INGRAM CRITICAL CARE</t>
  </si>
  <si>
    <t>Boikie</t>
  </si>
  <si>
    <t>oyama</t>
  </si>
  <si>
    <t xml:space="preserve">TONGAAT HULLETTS GROUP LTD T A     </t>
  </si>
  <si>
    <t>TONGAAT HULLETTS GROUP LTD T A</t>
  </si>
  <si>
    <t>COLLEN</t>
  </si>
  <si>
    <t>DOC / FUE / DSD</t>
  </si>
  <si>
    <t>SALDA</t>
  </si>
  <si>
    <t>SALDANHA</t>
  </si>
  <si>
    <t xml:space="preserve">ANTCOR (PTY) LTD                   </t>
  </si>
  <si>
    <t>ANTCOR  PTY  LTD</t>
  </si>
  <si>
    <t>POD received from cell 0636857162 M</t>
  </si>
  <si>
    <t>keanen</t>
  </si>
  <si>
    <t xml:space="preserve">ELEN ELECTRICAL ENCLOSURES (PT     </t>
  </si>
  <si>
    <t>ELEN ELECTRICAL ENCLOSURES  PT</t>
  </si>
  <si>
    <t>Timothy</t>
  </si>
  <si>
    <t>m louw</t>
  </si>
  <si>
    <t>POD received from cell 0791970159 M</t>
  </si>
  <si>
    <t>Oupa</t>
  </si>
  <si>
    <t>Jemina</t>
  </si>
  <si>
    <t>Phumzile  security</t>
  </si>
  <si>
    <t>chase</t>
  </si>
  <si>
    <t xml:space="preserve">NEOPAK                             </t>
  </si>
  <si>
    <t>NEOPAK</t>
  </si>
  <si>
    <t>Willem</t>
  </si>
  <si>
    <t>Deon</t>
  </si>
  <si>
    <t>nokuthula</t>
  </si>
  <si>
    <t>hazel</t>
  </si>
  <si>
    <t xml:space="preserve">ALVEO WATER (PTY) LTD CAPE TOW     </t>
  </si>
  <si>
    <t>ALVEO WATER  PTY  LTD CAPE TOW</t>
  </si>
  <si>
    <t xml:space="preserve">Collin                        </t>
  </si>
  <si>
    <t xml:space="preserve">POD received from cell 0642924915 M     </t>
  </si>
  <si>
    <t xml:space="preserve">Kanyane                       </t>
  </si>
  <si>
    <t>Moses</t>
  </si>
  <si>
    <t xml:space="preserve">TRUDA FOODS WILLEM CRUYWAGEN L     </t>
  </si>
  <si>
    <t>TRUDA FOODS WILLEM CRUYWAGEN L</t>
  </si>
  <si>
    <t>mxolisi</t>
  </si>
  <si>
    <t xml:space="preserve">ELEMENT SIX (PRODUCTION)           </t>
  </si>
  <si>
    <t>ELEMENT SIX</t>
  </si>
  <si>
    <t>phumzile</t>
  </si>
  <si>
    <t>Alcardo</t>
  </si>
  <si>
    <t xml:space="preserve">FOODCORP (PTY) LTD                 </t>
  </si>
  <si>
    <t>FOODCORP</t>
  </si>
  <si>
    <t>zandile</t>
  </si>
  <si>
    <t>PARCELS</t>
  </si>
  <si>
    <t>CUAN STADEN</t>
  </si>
  <si>
    <t>JOUS</t>
  </si>
  <si>
    <t>anton</t>
  </si>
  <si>
    <t>venessa</t>
  </si>
  <si>
    <t>momelezi</t>
  </si>
  <si>
    <t xml:space="preserve">REFERRO SYSTEMS PTY LTD            </t>
  </si>
  <si>
    <t>REFERRO SYSTEMS PTY LTD</t>
  </si>
  <si>
    <t xml:space="preserve">Jabulani                      </t>
  </si>
  <si>
    <t xml:space="preserve">POD received from cell 0697139731 M     </t>
  </si>
  <si>
    <t xml:space="preserve">BENTELER SOUTH AFRICA PTY LTD      </t>
  </si>
  <si>
    <t>BENTELER SOUTH AFRICA PTY LTD</t>
  </si>
  <si>
    <t xml:space="preserve">FEDERAL MOGUL ENGINE BEARINGS      </t>
  </si>
  <si>
    <t>FEDERAL MOGUL ENGINE BEARINGS</t>
  </si>
  <si>
    <t>Amanda</t>
  </si>
  <si>
    <t xml:space="preserve">HEAT AND CONTROL PTY LTD           </t>
  </si>
  <si>
    <t>HEAT AND CONTROL PTY LTD</t>
  </si>
  <si>
    <t>Heinrich</t>
  </si>
  <si>
    <t xml:space="preserve">UV+IR ENGINEERING (PTY) LTD        </t>
  </si>
  <si>
    <t>UVIR ENGINEERING  PTY  LTD</t>
  </si>
  <si>
    <t>Tylar</t>
  </si>
  <si>
    <t xml:space="preserve">divaan                        </t>
  </si>
  <si>
    <t xml:space="preserve">POD received from cell 0678518887 M     </t>
  </si>
  <si>
    <t xml:space="preserve">HYDRAQUIP BERGRIVIER HIDROLIES     </t>
  </si>
  <si>
    <t>HYDRAQUIP BERGRIVIER HIDROLIES</t>
  </si>
  <si>
    <t>L Le Riche</t>
  </si>
  <si>
    <t>hennie</t>
  </si>
  <si>
    <t>isaacs</t>
  </si>
  <si>
    <t xml:space="preserve">Simphiwe                      </t>
  </si>
  <si>
    <t xml:space="preserve">POD received from cell 0661618209 M     </t>
  </si>
  <si>
    <t>karabo</t>
  </si>
  <si>
    <t>DELMA</t>
  </si>
  <si>
    <t>DELMAS</t>
  </si>
  <si>
    <t xml:space="preserve">MCCAIN FOODS SOUTH AFRICA PTY      </t>
  </si>
  <si>
    <t>MCCAIN FOODS SOUTH AFRICA PTY</t>
  </si>
  <si>
    <t>POD received from cell 0659646054 M</t>
  </si>
  <si>
    <t>felix</t>
  </si>
  <si>
    <t>NIKESH</t>
  </si>
  <si>
    <t xml:space="preserve">Portia                        </t>
  </si>
  <si>
    <t xml:space="preserve">POD received from cell 0817257646 M     </t>
  </si>
  <si>
    <t>ilitha</t>
  </si>
  <si>
    <t>POD received from cell 0698929603 M</t>
  </si>
  <si>
    <t>Theo</t>
  </si>
  <si>
    <t>Emanuel</t>
  </si>
  <si>
    <t xml:space="preserve">TSHEPO                        </t>
  </si>
  <si>
    <t xml:space="preserve">ANALOG   DIGITAL POWER ELECTRO     </t>
  </si>
  <si>
    <t>ANALOG   DIGITAL POWER ELECTRO</t>
  </si>
  <si>
    <t>c lokuooln</t>
  </si>
  <si>
    <t>BRAKP</t>
  </si>
  <si>
    <t>BRAKPAN</t>
  </si>
  <si>
    <t xml:space="preserve">SJJ ENGINEERING AND CONSULTING     </t>
  </si>
  <si>
    <t>SJJ ENGINEERING AND CONSULTING</t>
  </si>
  <si>
    <t>Bad address</t>
  </si>
  <si>
    <t xml:space="preserve">Tamaryn                       </t>
  </si>
  <si>
    <t xml:space="preserve">POD received from cell 0792230061 M     </t>
  </si>
  <si>
    <t xml:space="preserve">CONTINENTAL TYRE SA PTY LTD SI     </t>
  </si>
  <si>
    <t>CONTINENTAL TYRE SA PTY LTD SI</t>
  </si>
  <si>
    <t>v d nest</t>
  </si>
  <si>
    <t>BALF2</t>
  </si>
  <si>
    <t>BALFOUR (TVL)</t>
  </si>
  <si>
    <t xml:space="preserve">KARAN BEEF PTY LTD ORDER NUMBE     </t>
  </si>
  <si>
    <t>KARAN BEEF PTY LTD ORDER NUMBE</t>
  </si>
  <si>
    <t>Hein</t>
  </si>
  <si>
    <t>POD received from cell 0606968550 M</t>
  </si>
  <si>
    <t>lamie</t>
  </si>
  <si>
    <t>Joseph</t>
  </si>
  <si>
    <t xml:space="preserve">lungi                         </t>
  </si>
  <si>
    <t xml:space="preserve">POD received from cell 0767994841 M     </t>
  </si>
  <si>
    <t>Anthony</t>
  </si>
  <si>
    <t>mmakgabo</t>
  </si>
  <si>
    <t>louis</t>
  </si>
  <si>
    <t>Ajanda</t>
  </si>
  <si>
    <t>POD received from cell 0633442020 M</t>
  </si>
  <si>
    <t>William</t>
  </si>
  <si>
    <t xml:space="preserve">FESTO DURBAN  SUITE 107A           </t>
  </si>
  <si>
    <t>FESTO DURBAN  SUITE 107A</t>
  </si>
  <si>
    <t>nadeem</t>
  </si>
  <si>
    <t>oral</t>
  </si>
  <si>
    <t>Johnson</t>
  </si>
  <si>
    <t>patrick</t>
  </si>
  <si>
    <t xml:space="preserve">DEVCOTECH ELECTRICAL ENGINEERI     </t>
  </si>
  <si>
    <t>DEVCOTECH ELECTRICAL ENGINEERI</t>
  </si>
  <si>
    <t>Jaro</t>
  </si>
  <si>
    <t>POD received from cell 0741433512 M</t>
  </si>
  <si>
    <t xml:space="preserve">TIGER CONSUMER BRANDS LTD          </t>
  </si>
  <si>
    <t>TIGER CONSUMER BRANDS LTD</t>
  </si>
  <si>
    <t>gloria</t>
  </si>
  <si>
    <t>Nivesh</t>
  </si>
  <si>
    <t>Janine</t>
  </si>
  <si>
    <t>PRESSURE dIE CASTINGS  PTY  LT</t>
  </si>
  <si>
    <t xml:space="preserve">POD received from cell 0685390657 M     </t>
  </si>
  <si>
    <t xml:space="preserve">RG BROSE AUTOMOTIVE COMPONENTS     </t>
  </si>
  <si>
    <t>RG BROSE AUTOMOTIVE COMPONENTS</t>
  </si>
  <si>
    <t>Lauren</t>
  </si>
  <si>
    <t xml:space="preserve">BULK TUB                      </t>
  </si>
  <si>
    <t>THEO</t>
  </si>
  <si>
    <t xml:space="preserve">IRVIN   JOHNSON LTD                </t>
  </si>
  <si>
    <t>IRVIN   JOHNSON LTD</t>
  </si>
  <si>
    <t>Sharon</t>
  </si>
  <si>
    <t>Ulrich</t>
  </si>
  <si>
    <t>MOGOMOTSI</t>
  </si>
  <si>
    <t>Nahwaal</t>
  </si>
  <si>
    <t>samm</t>
  </si>
  <si>
    <t>POD received from cell 0810518321 M</t>
  </si>
  <si>
    <t>sibingiseni</t>
  </si>
  <si>
    <t xml:space="preserve">KOLOR WORLD CHAMDOR                </t>
  </si>
  <si>
    <t>KOLOR WORLD CHAMDER</t>
  </si>
  <si>
    <t>vishai</t>
  </si>
  <si>
    <t>Ansel</t>
  </si>
  <si>
    <t>Moloto</t>
  </si>
  <si>
    <t>ashley</t>
  </si>
  <si>
    <t xml:space="preserve">CONTINENTAL BISCUITS PTY LTD       </t>
  </si>
  <si>
    <t>CONTINENTAL BISCUITS PTY LTD</t>
  </si>
  <si>
    <t>NNomathemba</t>
  </si>
  <si>
    <t>abisai</t>
  </si>
  <si>
    <t>POD received from cell 0602460841 M</t>
  </si>
  <si>
    <t>Lawrence</t>
  </si>
  <si>
    <t xml:space="preserve">CUBIX SUPPLY CHAIN SOLUTIONS D     </t>
  </si>
  <si>
    <t>CUBIX SUPPLY CHAIN SOLUTIONS D</t>
  </si>
  <si>
    <t>whasiela</t>
  </si>
  <si>
    <t>POD received from cell 0844433687 M</t>
  </si>
  <si>
    <t xml:space="preserve">HYDRAULIC AND PNEUMATIC HUB        </t>
  </si>
  <si>
    <t>HYDRAULIC AND PNEUMATIC HUB</t>
  </si>
  <si>
    <t>Bernice</t>
  </si>
  <si>
    <t xml:space="preserve">PNEUMATIC AID                      </t>
  </si>
  <si>
    <t>PNEUMATIC AID</t>
  </si>
  <si>
    <t>msizi</t>
  </si>
  <si>
    <t xml:space="preserve">YNF ENGINEERING CC PRETORIA        </t>
  </si>
  <si>
    <t>YNF ENGINEERING CC PRETORIA</t>
  </si>
  <si>
    <t>Jerry</t>
  </si>
  <si>
    <t xml:space="preserve">QUALITY FILTRATION SYSTEMS CC      </t>
  </si>
  <si>
    <t>QUALITY FILTRATION SYSTEMS CC</t>
  </si>
  <si>
    <t>NENE</t>
  </si>
  <si>
    <t>jon</t>
  </si>
  <si>
    <t>siya</t>
  </si>
  <si>
    <t>goose</t>
  </si>
  <si>
    <t>Shaun</t>
  </si>
  <si>
    <t>Latasha</t>
  </si>
  <si>
    <t>Kathleen</t>
  </si>
  <si>
    <t xml:space="preserve">BORBET SA PTY LTD                  </t>
  </si>
  <si>
    <t>BORBET SA PTY LTD</t>
  </si>
  <si>
    <t xml:space="preserve">FOODCORP (PTY) LTD T A SUNBAKE     </t>
  </si>
  <si>
    <t>FOODCORP  PTY  LTD T A SUNBAKE</t>
  </si>
  <si>
    <t>MAILA</t>
  </si>
  <si>
    <t>R hoccona</t>
  </si>
  <si>
    <t>Hugo</t>
  </si>
  <si>
    <t>thuli</t>
  </si>
  <si>
    <t>POD received from cell 0833616148 M</t>
  </si>
  <si>
    <t>CORA</t>
  </si>
  <si>
    <t xml:space="preserve">WARSHAY INVESTMENTS (PTY) LTD      </t>
  </si>
  <si>
    <t>WARSHAY INVESTMENTS  PTY  LTD</t>
  </si>
  <si>
    <t>j breedt</t>
  </si>
  <si>
    <t xml:space="preserve">CROWN CHICKENS (PTY) LTD T A S     </t>
  </si>
  <si>
    <t>CROWN CHICKENS  PTY  LTD T A S</t>
  </si>
  <si>
    <t>jason</t>
  </si>
  <si>
    <t>SNONGISENI</t>
  </si>
  <si>
    <t>ELMON</t>
  </si>
  <si>
    <t>Alex</t>
  </si>
  <si>
    <t>aliston</t>
  </si>
  <si>
    <t>SIBONGISENI</t>
  </si>
  <si>
    <t>Philile</t>
  </si>
  <si>
    <t>Annalise</t>
  </si>
  <si>
    <t>POD received from cell 0652659465 M</t>
  </si>
  <si>
    <t>moloto</t>
  </si>
  <si>
    <t>POD received from cell 0658331427 M</t>
  </si>
  <si>
    <t>Vernique</t>
  </si>
  <si>
    <t>ayabulelo</t>
  </si>
  <si>
    <t xml:space="preserve">CONTINENTAL TYRE SA SIDWELL        </t>
  </si>
  <si>
    <t>CONTINENTAL TYRE SA SIDWELL</t>
  </si>
  <si>
    <t>eric</t>
  </si>
  <si>
    <t>CIDNEY</t>
  </si>
  <si>
    <t>riaan</t>
  </si>
  <si>
    <t>nelly</t>
  </si>
  <si>
    <t xml:space="preserve">ISEGEN S.A (PTY) LTD               </t>
  </si>
  <si>
    <t>ISEGEN S.A  PTY  LTD</t>
  </si>
  <si>
    <t>marcia</t>
  </si>
  <si>
    <t xml:space="preserve">PRAGA TECHNICAL PTY LTD PLZ        </t>
  </si>
  <si>
    <t>PRAGA TECHNICAL PTY LTD PLZ</t>
  </si>
  <si>
    <t>Priscilla</t>
  </si>
  <si>
    <t>sandike</t>
  </si>
  <si>
    <t>Ilitha</t>
  </si>
  <si>
    <t>BSN</t>
  </si>
  <si>
    <t xml:space="preserve">GREEN S RADIATOR SERVICE PTY L     </t>
  </si>
  <si>
    <t>GREEN S RADIATOR SERVICE PTY L</t>
  </si>
  <si>
    <t>kyle</t>
  </si>
  <si>
    <t xml:space="preserve">SNEAKER SNACKS CC                  </t>
  </si>
  <si>
    <t>SNEAKER SNACKS CC</t>
  </si>
  <si>
    <t>Llewellyn</t>
  </si>
  <si>
    <t>zenani</t>
  </si>
  <si>
    <t>SBONGISENI</t>
  </si>
  <si>
    <t xml:space="preserve">AZ ARMATUREN VALVES SOUTH AFRI     </t>
  </si>
  <si>
    <t>AZ ARMATUREN VALVES SOUTH AFRI</t>
  </si>
  <si>
    <t>hope</t>
  </si>
  <si>
    <t xml:space="preserve">FELTEX TRIM P.E                    </t>
  </si>
  <si>
    <t>FELTEX TRIM P.E</t>
  </si>
  <si>
    <t>Mariam</t>
  </si>
  <si>
    <t xml:space="preserve">RFG FOODS (PTY) LTD FRANKENWAL     </t>
  </si>
  <si>
    <t>RFG FOODS  PTY  LTD FRANKENWAL</t>
  </si>
  <si>
    <t>lindokuhle</t>
  </si>
  <si>
    <t xml:space="preserve">ACTUM INDUSTRIAL (PTY) LTD         </t>
  </si>
  <si>
    <t>ACTUM INDUSTRIAL  PTY  LTD</t>
  </si>
  <si>
    <t xml:space="preserve">RISHABA TRADING CC T A HYDRO V     </t>
  </si>
  <si>
    <t>RISHABA TRADING CC T A HYDRO V</t>
  </si>
  <si>
    <t>NAIDOO</t>
  </si>
  <si>
    <t>POD received from cell 0670926510 M</t>
  </si>
  <si>
    <t>brad</t>
  </si>
  <si>
    <t>Morris</t>
  </si>
  <si>
    <t>jewaudo</t>
  </si>
  <si>
    <t>constance</t>
  </si>
  <si>
    <t>Roland</t>
  </si>
  <si>
    <t>Zanonzi</t>
  </si>
  <si>
    <t xml:space="preserve">DG IMPEX CC T A AERIAL CONCEPT     </t>
  </si>
  <si>
    <t>DG IMPEX CC</t>
  </si>
  <si>
    <t>evelyne</t>
  </si>
  <si>
    <t xml:space="preserve">DEVCOTECH JHB - LE ROUX AVE        </t>
  </si>
  <si>
    <t>DEVCOTECH JHB - LE ROUX AVE</t>
  </si>
  <si>
    <t>JACO</t>
  </si>
  <si>
    <t>THE SOUTH AFRICAN BREWERIES</t>
  </si>
  <si>
    <t>F Roux</t>
  </si>
  <si>
    <t xml:space="preserve">SOUTHERN PULP MACHINERY PTY LT     </t>
  </si>
  <si>
    <t>SOUTHERN PULP MACHINERY</t>
  </si>
  <si>
    <t>Maxwell</t>
  </si>
  <si>
    <t xml:space="preserve">CO. LIQUID CARTONS INDUSTRIA       </t>
  </si>
  <si>
    <t>CO. LIQUID CARTONS INDUSTRIA A</t>
  </si>
  <si>
    <t>Somasile</t>
  </si>
  <si>
    <t>ANDILE</t>
  </si>
  <si>
    <t>monwabisi</t>
  </si>
  <si>
    <t xml:space="preserve">POLIMATRIX S.A                     </t>
  </si>
  <si>
    <t>POLIMATRIX S.A</t>
  </si>
  <si>
    <t>Victor</t>
  </si>
  <si>
    <t xml:space="preserve">FUSE-A-TRON SA (PTY) LTD           </t>
  </si>
  <si>
    <t>FUSE-A-TRON SA  PTY  LTD</t>
  </si>
  <si>
    <t>Mary</t>
  </si>
  <si>
    <t>richness</t>
  </si>
  <si>
    <t>steve</t>
  </si>
  <si>
    <t>Lydia</t>
  </si>
  <si>
    <t xml:space="preserve">1FLYER                        </t>
  </si>
  <si>
    <t>priest</t>
  </si>
  <si>
    <t>Clive</t>
  </si>
  <si>
    <t xml:space="preserve">BLENDCOR (PTY) LTD 5482            </t>
  </si>
  <si>
    <t>BLENDCOR  PTY  LTD 5482</t>
  </si>
  <si>
    <t>SABAN</t>
  </si>
  <si>
    <t>luke</t>
  </si>
  <si>
    <t>LERATO</t>
  </si>
  <si>
    <t>Alicia</t>
  </si>
  <si>
    <t>letisia</t>
  </si>
  <si>
    <t>POD received from cell 0822120587 M</t>
  </si>
  <si>
    <t>Ben</t>
  </si>
  <si>
    <t xml:space="preserve">MATSAM SUPPLIES CC                 </t>
  </si>
  <si>
    <t>MATSAM SUPPLIES CC</t>
  </si>
  <si>
    <t>T merton</t>
  </si>
  <si>
    <t xml:space="preserve">A.P.L CARTONS WORCESTER            </t>
  </si>
  <si>
    <t>A.P.L CARTONS WORCESTER</t>
  </si>
  <si>
    <t>zain</t>
  </si>
  <si>
    <t xml:space="preserve">QFS                                </t>
  </si>
  <si>
    <t>ROYDEN</t>
  </si>
  <si>
    <t>.</t>
  </si>
  <si>
    <t>PRINCESS</t>
  </si>
  <si>
    <t>VICENT</t>
  </si>
  <si>
    <t xml:space="preserve">FESTO (MOVE ANALYTICS)             </t>
  </si>
  <si>
    <t xml:space="preserve">RCL FOODS CONSUMER (PTY) LTD F     </t>
  </si>
  <si>
    <t>RCL FOODS CONSUMER  PTY</t>
  </si>
  <si>
    <t>GIFT MASINGA</t>
  </si>
  <si>
    <t>DOC / HND / DOC / FUE / INS</t>
  </si>
  <si>
    <t xml:space="preserve">Factory Automation   Engineeri     </t>
  </si>
  <si>
    <t>reganalda</t>
  </si>
  <si>
    <t>DOC / FUE</t>
  </si>
  <si>
    <t>POD received from cell 0765529777 M</t>
  </si>
  <si>
    <t xml:space="preserve">Safeline Brakes (GUD Holdings      </t>
  </si>
  <si>
    <t>Katlego</t>
  </si>
  <si>
    <t>given</t>
  </si>
  <si>
    <t xml:space="preserve">South African Brewery              </t>
  </si>
  <si>
    <t>Dominic Swarts</t>
  </si>
  <si>
    <t xml:space="preserve">TOYOTA SA MOTORS (PTY) LTD MAI     </t>
  </si>
  <si>
    <t xml:space="preserve">TOYOTA SA MOTORS (PTY) LTD MA      </t>
  </si>
  <si>
    <t>store manager</t>
  </si>
  <si>
    <t>TOYOTA SA MOTORS  PTY  LTD MAI</t>
  </si>
  <si>
    <t>JOEY</t>
  </si>
  <si>
    <t xml:space="preserve">EAST RAND HYDRAULIC                </t>
  </si>
  <si>
    <t>EAST RAND HYDRAULIC</t>
  </si>
  <si>
    <t>ASIF</t>
  </si>
  <si>
    <t>Gilbert</t>
  </si>
  <si>
    <t>Allan</t>
  </si>
  <si>
    <t xml:space="preserve">I AM AUTOMATION                    </t>
  </si>
  <si>
    <t>I AM AUTOMATION</t>
  </si>
  <si>
    <t>eumakie</t>
  </si>
  <si>
    <t>POD received from cell 0659987607 M</t>
  </si>
  <si>
    <t>ALLEN</t>
  </si>
  <si>
    <t xml:space="preserve">BASF SOUTH AFRICA PTY LTD          </t>
  </si>
  <si>
    <t>BASF SOUTH AFRICA</t>
  </si>
  <si>
    <t>lunqelwa</t>
  </si>
  <si>
    <t xml:space="preserve">TI GROUP AUTOMOTIVE SYSTEMS        </t>
  </si>
  <si>
    <t>TI GROUP AUTOMOTIVE SYSTEMS</t>
  </si>
  <si>
    <t>Xoliswa</t>
  </si>
  <si>
    <t>YANGA</t>
  </si>
  <si>
    <t>Loius</t>
  </si>
  <si>
    <t>bennie</t>
  </si>
  <si>
    <t>KIM</t>
  </si>
  <si>
    <t>Ricardo</t>
  </si>
  <si>
    <t>Denzil</t>
  </si>
  <si>
    <t>Yvonne</t>
  </si>
  <si>
    <t>POD received from cell 0744192385 M</t>
  </si>
  <si>
    <t>Niren</t>
  </si>
  <si>
    <t>Annah</t>
  </si>
  <si>
    <t>jeff</t>
  </si>
  <si>
    <t xml:space="preserve">TOYOTA SA MOTORS (PTY) LTD PRO     </t>
  </si>
  <si>
    <t>TOYOTA SA MOTORS  PTY  LTD PRO</t>
  </si>
  <si>
    <t>Mduduzi</t>
  </si>
  <si>
    <t>Verona</t>
  </si>
  <si>
    <t>andri</t>
  </si>
  <si>
    <t xml:space="preserve">GLC BUSINESS CONSULT               </t>
  </si>
  <si>
    <t>GLC BUSINESS CONSULT</t>
  </si>
  <si>
    <t>FESTO</t>
  </si>
  <si>
    <t>Hold for Collection</t>
  </si>
  <si>
    <t xml:space="preserve">FAIR CAPE DAIRIES (PTY) LTD        </t>
  </si>
  <si>
    <t>FAIR CAPE DAIRIES  PTY  LTD</t>
  </si>
  <si>
    <t>Obie Martin</t>
  </si>
  <si>
    <t>Thapello</t>
  </si>
  <si>
    <t>Jeff</t>
  </si>
  <si>
    <t>Andries</t>
  </si>
  <si>
    <t>sbusiso</t>
  </si>
  <si>
    <t xml:space="preserve">ISANDO FOODS (PTY) LTD             </t>
  </si>
  <si>
    <t>ISANDO FOODS  PTY  LTD</t>
  </si>
  <si>
    <t>lucky</t>
  </si>
  <si>
    <t xml:space="preserve">BREWBEV                            </t>
  </si>
  <si>
    <t>BREWBEV</t>
  </si>
  <si>
    <t xml:space="preserve">LION MATCH PRODUCTS (PTY) LTD      </t>
  </si>
  <si>
    <t>LION MATCH PRODUCTS  PTY  LTD</t>
  </si>
  <si>
    <t>molatelo</t>
  </si>
  <si>
    <t xml:space="preserve">NOMSA                         </t>
  </si>
  <si>
    <t xml:space="preserve">POD received from cell 0736687669 M     </t>
  </si>
  <si>
    <t xml:space="preserve">BLISS BRANDS (PTY) LTD             </t>
  </si>
  <si>
    <t>BLISS BRANDS</t>
  </si>
  <si>
    <t>ziyaad</t>
  </si>
  <si>
    <t xml:space="preserve">C   M HYDRAULIC SERVICES           </t>
  </si>
  <si>
    <t>C   M HYDRAULIC SERVICES</t>
  </si>
  <si>
    <t>johannes</t>
  </si>
  <si>
    <t>regina</t>
  </si>
  <si>
    <t>Juan</t>
  </si>
  <si>
    <t>Marcell</t>
  </si>
  <si>
    <t xml:space="preserve">WEIR MINERALS ISANDO               </t>
  </si>
  <si>
    <t>WEIR MINERALS ISANDO</t>
  </si>
  <si>
    <t>T he emba</t>
  </si>
  <si>
    <t xml:space="preserve">SAINT-GOBAIN CONSTRUCTION PROD     </t>
  </si>
  <si>
    <t>SAINT-GOBAIN CONSTRUCTION PROD</t>
  </si>
  <si>
    <t>thulisile</t>
  </si>
  <si>
    <t>STORE MANAGER</t>
  </si>
  <si>
    <t>Jonny</t>
  </si>
  <si>
    <t xml:space="preserve">CROWN CHICKENS T A SOVEREIGNFO     </t>
  </si>
  <si>
    <t>CROWN CHICKENS T A SOVEREIGNFO</t>
  </si>
  <si>
    <t>Harrison</t>
  </si>
  <si>
    <t>POD received from cell 0711790907 M</t>
  </si>
  <si>
    <t>PIET</t>
  </si>
  <si>
    <t>PIET RETIEF</t>
  </si>
  <si>
    <t xml:space="preserve">HCH ELECTRIC CC                    </t>
  </si>
  <si>
    <t>HCH ELECTRIC CC</t>
  </si>
  <si>
    <t xml:space="preserve">ELIGIBLE                      </t>
  </si>
  <si>
    <t xml:space="preserve">POD received from cell 0832048163 M     </t>
  </si>
  <si>
    <t xml:space="preserve">TEC SOUTH AND CENTRAL AFRICA       </t>
  </si>
  <si>
    <t>TEC SOUTH AND CENTRAL AFRICA</t>
  </si>
  <si>
    <t>Justice</t>
  </si>
  <si>
    <t xml:space="preserve">VOLKSWAGEN OF SA VC3055            </t>
  </si>
  <si>
    <t>VOLKSWAGEN OF SA VC3055</t>
  </si>
  <si>
    <t>judy</t>
  </si>
  <si>
    <t xml:space="preserve">IMPACT DISTRIBUTORS (PTY) LTD      </t>
  </si>
  <si>
    <t>IMPACT DISTRIBUTORS  PTY  LTDD</t>
  </si>
  <si>
    <t xml:space="preserve">B E CONFERENCE CENTRE NEWTON P     </t>
  </si>
  <si>
    <t>B E CONFERENCE CENTRE NEWTON P</t>
  </si>
  <si>
    <t xml:space="preserve">MA AUTOMOTIVE TOOL   DIE  (PTY     </t>
  </si>
  <si>
    <t>MA AUTOMOTIVE TOOL   DIE   PTY</t>
  </si>
  <si>
    <t xml:space="preserve">BOX: CON                      </t>
  </si>
  <si>
    <t>jma</t>
  </si>
  <si>
    <t xml:space="preserve">ESENCI CC                          </t>
  </si>
  <si>
    <t>ESENCI CC</t>
  </si>
  <si>
    <t>stiba</t>
  </si>
  <si>
    <t>mogomotsi</t>
  </si>
  <si>
    <t>ppm</t>
  </si>
  <si>
    <t xml:space="preserve">TIGER CONSUMER BRANDS T A TAST     </t>
  </si>
  <si>
    <t>TIGER CONSUMER BRANDS T A TAST</t>
  </si>
  <si>
    <t>ifygfy</t>
  </si>
  <si>
    <t>POD received from cell 0672223699 M</t>
  </si>
  <si>
    <t xml:space="preserve">AQUAPLAN CC                        </t>
  </si>
  <si>
    <t>AQUAPLAN CC</t>
  </si>
  <si>
    <t>Raymond</t>
  </si>
  <si>
    <t xml:space="preserve">QUALITECHS                         </t>
  </si>
  <si>
    <t>QUALITECHS</t>
  </si>
  <si>
    <t>Renny</t>
  </si>
  <si>
    <t xml:space="preserve">TIGER BRANDS ( CHOCOLATE UNIT      </t>
  </si>
  <si>
    <t>TIGER BRANDS   CHOCOLATE UNIT</t>
  </si>
  <si>
    <t>kreola</t>
  </si>
  <si>
    <t xml:space="preserve">INDIGO BRANDS (PTY) LTD            </t>
  </si>
  <si>
    <t>INDIGO BRANDS  PTY  LTD</t>
  </si>
  <si>
    <t>Silayi</t>
  </si>
  <si>
    <t>Cindi</t>
  </si>
  <si>
    <t xml:space="preserve">CLOVER SA PTY LTD PERSEVERANCE     </t>
  </si>
  <si>
    <t>CLOVER SA PTY LTD PERSEVERANCE</t>
  </si>
  <si>
    <t>ntenkosi</t>
  </si>
  <si>
    <t xml:space="preserve">RHODES FOOD GROUP (PTY) LTD        </t>
  </si>
  <si>
    <t>RHODES FOOD GROUP  PTY  LTD</t>
  </si>
  <si>
    <t>pravite</t>
  </si>
  <si>
    <t>Nico</t>
  </si>
  <si>
    <t>dendre</t>
  </si>
  <si>
    <t>eyaam</t>
  </si>
  <si>
    <t>muzi</t>
  </si>
  <si>
    <t xml:space="preserve">UNILEVER SOUTH AFRICA (PTY) LT     </t>
  </si>
  <si>
    <t>UNILEVER SOUTH AFRICA  PTY  LT</t>
  </si>
  <si>
    <t>Andreas Xaba</t>
  </si>
  <si>
    <t>POD received from cell 0614527212 M</t>
  </si>
  <si>
    <t>PLETT</t>
  </si>
  <si>
    <t>PLETTENBERG BAY</t>
  </si>
  <si>
    <t xml:space="preserve">PINNACLE -SA (PTY) LTD PLETTEN     </t>
  </si>
  <si>
    <t>PINNACLE -SA  PTY  LTD PLETTEN</t>
  </si>
  <si>
    <t xml:space="preserve">DES AUTO REPAIRS   HOME SECURI     </t>
  </si>
  <si>
    <t>DES AUTO REPAIRTS   HOME SECUR</t>
  </si>
  <si>
    <t>Angelina</t>
  </si>
  <si>
    <t>POD received from cell 0793681364 M</t>
  </si>
  <si>
    <t>saloshnie</t>
  </si>
  <si>
    <t xml:space="preserve">BENTELER SOUTH AFRICA UITENHAG     </t>
  </si>
  <si>
    <t>BENTELER SOUTH AFRICA UITENHAG</t>
  </si>
  <si>
    <t>siye</t>
  </si>
  <si>
    <t>brdaum</t>
  </si>
  <si>
    <t>POD received from cell 0728258300 M</t>
  </si>
  <si>
    <t>Rick</t>
  </si>
  <si>
    <t>POD received from cell 0726316905 M</t>
  </si>
  <si>
    <t>Nblusindiso</t>
  </si>
  <si>
    <t xml:space="preserve">POLAR ICE CREAM CO PTY LTD         </t>
  </si>
  <si>
    <t>POLAR ICE CREAM CO PTY LTD</t>
  </si>
  <si>
    <t>Phezintle</t>
  </si>
  <si>
    <t>POD received from cell 0730378747 M</t>
  </si>
  <si>
    <t>rerwal</t>
  </si>
  <si>
    <t>dutton</t>
  </si>
  <si>
    <t>Mojapelo</t>
  </si>
  <si>
    <t>POD received from cell 0684446086 M</t>
  </si>
  <si>
    <t>eugene</t>
  </si>
  <si>
    <t>Simphiwe</t>
  </si>
  <si>
    <t>POD received from cell 0609039667 M</t>
  </si>
  <si>
    <t>super</t>
  </si>
  <si>
    <t xml:space="preserve">Kiki                          </t>
  </si>
  <si>
    <t xml:space="preserve">MW WHEELS SA (PTY) LTD             </t>
  </si>
  <si>
    <t>MW WHEELS SA  PTY  LTD</t>
  </si>
  <si>
    <t>Romeo</t>
  </si>
  <si>
    <t xml:space="preserve">PARCELS                       </t>
  </si>
  <si>
    <t xml:space="preserve">WATCH TOWER SOCIETY                </t>
  </si>
  <si>
    <t>WATCH TOWER SOCIETY</t>
  </si>
  <si>
    <t>Orabile</t>
  </si>
  <si>
    <t>POD received from cell 0721029438 M</t>
  </si>
  <si>
    <t>POD received from cell 0670405005 M</t>
  </si>
  <si>
    <t>Le riche</t>
  </si>
  <si>
    <t xml:space="preserve">INHLE NEW OPCO PROPRIETARY LIM     </t>
  </si>
  <si>
    <t>INHLE NEW OPCO PROPRIETARY LIM</t>
  </si>
  <si>
    <t>lariza</t>
  </si>
  <si>
    <t>Thabang</t>
  </si>
  <si>
    <t>thabiso</t>
  </si>
  <si>
    <t xml:space="preserve">CIRCUIT INDUSTRIAL SUPPLIES (P     </t>
  </si>
  <si>
    <t>CIRCUIT INDUSTRIAL SUPPLIES  P</t>
  </si>
  <si>
    <t>morne</t>
  </si>
  <si>
    <t>Noleen</t>
  </si>
  <si>
    <t xml:space="preserve">YNF ENGINEERING CC ISANDO          </t>
  </si>
  <si>
    <t>YNF ENGINEERING CC  CLAUD</t>
  </si>
  <si>
    <t>Manuel</t>
  </si>
  <si>
    <t>Jaques</t>
  </si>
  <si>
    <t>POD received from cell 0785995125 M</t>
  </si>
  <si>
    <t>Alfred</t>
  </si>
  <si>
    <t>Zanomzi</t>
  </si>
  <si>
    <t xml:space="preserve">ANDREW MENTIS (PTY) LTD            </t>
  </si>
  <si>
    <t>ANDREW MENTIS  PTY  LTD</t>
  </si>
  <si>
    <t>grace</t>
  </si>
  <si>
    <t xml:space="preserve">Andre  chase                  </t>
  </si>
  <si>
    <t>Xolelwa</t>
  </si>
  <si>
    <t xml:space="preserve">CONTROL SYSTEMS RUSTENBURG         </t>
  </si>
  <si>
    <t>CONTROL SYSTEMS RUSTENBURG</t>
  </si>
  <si>
    <t>luthen</t>
  </si>
  <si>
    <t>NAZEEM</t>
  </si>
  <si>
    <t>Thabo</t>
  </si>
  <si>
    <t>Cecil</t>
  </si>
  <si>
    <t>bheki</t>
  </si>
  <si>
    <t>DOC / DOC / FUE / INS</t>
  </si>
  <si>
    <t>FES CUST 20250610 52 - BACK TO CUSTOMER</t>
  </si>
  <si>
    <t xml:space="preserve">TUBING R                      </t>
  </si>
  <si>
    <t>Lehlohonolo</t>
  </si>
  <si>
    <t xml:space="preserve">DE BEERS GROUP SERVICE PTY LTD     </t>
  </si>
  <si>
    <t>DE BEERS GROUP SERVICE PTY LTD</t>
  </si>
  <si>
    <t xml:space="preserve">DIVFOOD A DIV OF NAMPAK            </t>
  </si>
  <si>
    <t>DIVFOOD A DIV OF NAMPAK</t>
  </si>
  <si>
    <t xml:space="preserve">FLYERE                        </t>
  </si>
  <si>
    <t xml:space="preserve">TONGAAT HULLETTS GROUP T A REF     </t>
  </si>
  <si>
    <t>STORE MANAGE</t>
  </si>
  <si>
    <t xml:space="preserve">PROPROCESS ENGINEERING (PTY) L     </t>
  </si>
  <si>
    <t>PROPROCESS ENGINEERING  PTY  L</t>
  </si>
  <si>
    <t xml:space="preserve">ACEPAK PACKAGING SYSTEMS UNIT      </t>
  </si>
  <si>
    <t>ACEPAK PACKAGING SYSTEMS UNIT</t>
  </si>
  <si>
    <t xml:space="preserve">PYROTECHNICAL CROWN MINES JOHA     </t>
  </si>
  <si>
    <t>PYROTECHNICAL CROWN MINES JOHA</t>
  </si>
  <si>
    <t xml:space="preserve">DIYA VALVES INTERNATIONAL CC C     </t>
  </si>
  <si>
    <t>DIYA VALVES INTERNATIONAL CC C</t>
  </si>
  <si>
    <t>UMZUM</t>
  </si>
  <si>
    <t>UMZUMBE</t>
  </si>
  <si>
    <t xml:space="preserve">ABF SUGAR PTY LTD SEZELA           </t>
  </si>
  <si>
    <t>ABF SUGAR PTY LTD SEZELA</t>
  </si>
  <si>
    <t>FES CUST 20250611 51 - BACK TO CUSTOMER</t>
  </si>
  <si>
    <t xml:space="preserve">ABF SUGAR (PTY) LTD SEZELA MOU     </t>
  </si>
  <si>
    <t>ABF SUGAR  PTY  LTD SEZELA MOU</t>
  </si>
  <si>
    <t xml:space="preserve">LEVEL PRODUCTS CC RUSTIVIA         </t>
  </si>
  <si>
    <t>LEVEL PRODUCTS CC RUSTIVIA</t>
  </si>
  <si>
    <t>sthembiso</t>
  </si>
  <si>
    <t xml:space="preserve">T3 PLASTIC PACKAGING TUNNEY EL     </t>
  </si>
  <si>
    <t>T3 PLASTIC PACKAGING TUNNEY EL</t>
  </si>
  <si>
    <t xml:space="preserve">KS INDUSTRIAL AUTOMATION PARAD     </t>
  </si>
  <si>
    <t>KS INDUSTRIAL AUTOMATION PARAD</t>
  </si>
  <si>
    <t xml:space="preserve">PREMIER FMCG (PTY) LTD ELANDSF     </t>
  </si>
  <si>
    <t>PREMIER FMCG  PTY  LTD ELANDSF</t>
  </si>
  <si>
    <t>JANSE VAN RENSBURG</t>
  </si>
  <si>
    <t>Jane</t>
  </si>
  <si>
    <t xml:space="preserve">VOESTALPINE AUTOMOTIVE COMPONE     </t>
  </si>
  <si>
    <t>VOESTALPINE AUTOMOTIVE COMPONE</t>
  </si>
  <si>
    <t>lebogang</t>
  </si>
  <si>
    <t xml:space="preserve">CSM ENGINEERING CC CENTURION       </t>
  </si>
  <si>
    <t>CSM ENGINEERING CC CENTURION</t>
  </si>
  <si>
    <t xml:space="preserve">IDEAL ELECTRICAL   MINING SUPP     </t>
  </si>
  <si>
    <t>IDEAL ELECTRICAL   MINING SUPP</t>
  </si>
  <si>
    <t xml:space="preserve">OPTIMECH ENGINEERING SOLUTIONS     </t>
  </si>
  <si>
    <t>OPTIMECH ENGINEERING SOLUTIONS</t>
  </si>
  <si>
    <t xml:space="preserve">PCS GLOBAL (PTY) LTD               </t>
  </si>
  <si>
    <t>PCS GLOBAL  PTY  LTD</t>
  </si>
  <si>
    <t>THOHO</t>
  </si>
  <si>
    <t>THOHOYANDOU</t>
  </si>
  <si>
    <t>n a</t>
  </si>
  <si>
    <t>CSH / NDC</t>
  </si>
  <si>
    <t>Alister</t>
  </si>
  <si>
    <t>BASF SOUTH AFRICA PTY LTD</t>
  </si>
  <si>
    <t xml:space="preserve">JOE CALAFATO PTY LTD               </t>
  </si>
  <si>
    <t>JOE CALAFATO PTY LTD</t>
  </si>
  <si>
    <t xml:space="preserve">FLYE                          </t>
  </si>
  <si>
    <t xml:space="preserve">ELECTRO - MECH SERVICES CC         </t>
  </si>
  <si>
    <t>ELECTRO - MECH SERVICES CC</t>
  </si>
  <si>
    <t>Windy</t>
  </si>
  <si>
    <t xml:space="preserve">DE BEERS CONSOLIDATED MINES LT     </t>
  </si>
  <si>
    <t>DE BEERS CONSOLIDATED MINES LT</t>
  </si>
  <si>
    <t xml:space="preserve">VENK-PAC PTY LTD                   </t>
  </si>
  <si>
    <t>VENK-PACK PTY LTD</t>
  </si>
  <si>
    <t xml:space="preserve">POWER BREEZE                       </t>
  </si>
  <si>
    <t>POWER BREEZE</t>
  </si>
  <si>
    <t xml:space="preserve">COLUMBIT PTY LTD                   </t>
  </si>
  <si>
    <t>COLUMBIT</t>
  </si>
  <si>
    <t xml:space="preserve">LEDA ENGINEERING SERVICES CC       </t>
  </si>
  <si>
    <t>LEDA ENGINEERING SERVICES CC</t>
  </si>
  <si>
    <t>Sthembiso</t>
  </si>
  <si>
    <t xml:space="preserve">MATO PRODUCTS (PTY) LTD            </t>
  </si>
  <si>
    <t>MATO PRODUCTS  PTY  LTD</t>
  </si>
  <si>
    <t>Err0l</t>
  </si>
  <si>
    <t xml:space="preserve">FOODCORP (PTY) LTD  CHARLOTTE      </t>
  </si>
  <si>
    <t>FOODCORP  PTY  LTD  CHARLOTTE</t>
  </si>
  <si>
    <t xml:space="preserve">CIRCUIT BREAKER INDUSTRIES (PT     </t>
  </si>
  <si>
    <t>CIRCUIT BREAKER INDUSTRIES  PT</t>
  </si>
  <si>
    <t xml:space="preserve">BOXES                         </t>
  </si>
  <si>
    <t xml:space="preserve">MINI PAL                      </t>
  </si>
  <si>
    <t xml:space="preserve">ME ELECMETAL PRIMA MANUFACTURI     </t>
  </si>
  <si>
    <t>ME ELECMETAL PRIMA MANUFACTURI</t>
  </si>
  <si>
    <t>DANIE</t>
  </si>
  <si>
    <t>DANIELSKUIL</t>
  </si>
  <si>
    <t xml:space="preserve">IDWALA INDUSTRIAL HOLDINGS LTD     </t>
  </si>
  <si>
    <t>IDWALA INDUSTRIAL HOLDINGS LTD</t>
  </si>
  <si>
    <t xml:space="preserve">RICH PRODUCTS CORP OF SOUTH AF     </t>
  </si>
  <si>
    <t>RICH PRODUCTS CORP OF SOUTH AF</t>
  </si>
  <si>
    <t xml:space="preserve">SEDIBENG TVET COLLEGE VEREENIG     </t>
  </si>
  <si>
    <t>SEDIBENG TVET COLLEGE VEREENIG</t>
  </si>
  <si>
    <t xml:space="preserve">PALLET                        </t>
  </si>
  <si>
    <t xml:space="preserve">VOLKSWAGEN OF SA (PTY) LTD PLN     </t>
  </si>
  <si>
    <t>VOLKSWAGEN OF SA  PTY  LTD PLN</t>
  </si>
  <si>
    <t xml:space="preserve">WOODEN C                      </t>
  </si>
  <si>
    <t xml:space="preserve">QUANTUM MECHANICAL CC              </t>
  </si>
  <si>
    <t>QUANTUM MECHANICAL CC</t>
  </si>
  <si>
    <t>SWELL</t>
  </si>
  <si>
    <t>SWELLENDAM</t>
  </si>
  <si>
    <t xml:space="preserve">SOUTHERN OIL LTD T A SOILL         </t>
  </si>
  <si>
    <t>SOUTHERN OIL LTD T A SOILL</t>
  </si>
  <si>
    <t xml:space="preserve">YOKOGAWA SA (PTY) LTD              </t>
  </si>
  <si>
    <t>YOKOGAWA SA  PTY  LTD</t>
  </si>
  <si>
    <t>NELSP</t>
  </si>
  <si>
    <t>NELSPRUIT</t>
  </si>
  <si>
    <t xml:space="preserve">VICPRO SERVICES CC NELSPRUIT       </t>
  </si>
  <si>
    <t>VICPRO SERVICES CC NELSPRUIT</t>
  </si>
  <si>
    <t xml:space="preserve">FLYERT                        </t>
  </si>
  <si>
    <t xml:space="preserve">TI AUTOMOTIVE FUEL SYSTEMS SOU     </t>
  </si>
  <si>
    <t>TI AUTOMOTIVE FUEL SYSTEMS SOU</t>
  </si>
  <si>
    <t xml:space="preserve">SHATTERPRUFE TRADING DIVISION      </t>
  </si>
  <si>
    <t>SHATTERPRUFE TRADING DIVISION</t>
  </si>
  <si>
    <t xml:space="preserve">KROMBERG   SCHUBERT BRITS          </t>
  </si>
  <si>
    <t>KROMBERG   SCHUBERT BRITS</t>
  </si>
  <si>
    <t xml:space="preserve">SIYAPHAMBILI INDUSTRIAL   TRAD     </t>
  </si>
  <si>
    <t>SIYAPHAMBILI INDUSTRIAL   TRAD</t>
  </si>
  <si>
    <t xml:space="preserve">BOIX                          </t>
  </si>
  <si>
    <t>NIGEL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</si>
</sst>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BEAE-8988-4712-BE64-8F5D567B6415}">
  <dimension ref="A1:CN1696"/>
  <sheetViews>
    <sheetView tabSelected="1" topLeftCell="A1686" workbookViewId="0">
      <selection activeCell="A1697" sqref="A1697:XFD217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"080065792211"</f>
        <v>080065792211</v>
      </c>
      <c r="F2" s="3">
        <v>45813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"4170042310                    "</f>
        <v xml:space="preserve">4170042310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29.39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97.74</v>
      </c>
      <c r="BM2">
        <v>14.66</v>
      </c>
      <c r="BN2">
        <v>112.4</v>
      </c>
      <c r="BO2">
        <v>112.4</v>
      </c>
      <c r="BQ2" t="s">
        <v>83</v>
      </c>
      <c r="BR2" t="s">
        <v>84</v>
      </c>
      <c r="BS2" s="3">
        <v>45814</v>
      </c>
      <c r="BT2" s="4">
        <v>0.48402777777777778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1739</v>
      </c>
      <c r="CE2" t="s">
        <v>89</v>
      </c>
      <c r="CF2" s="3">
        <v>45815</v>
      </c>
      <c r="CI2">
        <v>1</v>
      </c>
      <c r="CJ2">
        <v>1</v>
      </c>
      <c r="CK2">
        <v>24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"080065792215"</f>
        <v>080065792215</v>
      </c>
      <c r="F3" s="3">
        <v>45813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"4170042453                    "</f>
        <v xml:space="preserve">4170042453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45.42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15</v>
      </c>
      <c r="BJ3">
        <v>17.7</v>
      </c>
      <c r="BK3">
        <v>18</v>
      </c>
      <c r="BL3">
        <v>156.61000000000001</v>
      </c>
      <c r="BM3">
        <v>23.49</v>
      </c>
      <c r="BN3">
        <v>180.1</v>
      </c>
      <c r="BO3">
        <v>180.1</v>
      </c>
      <c r="BQ3" t="s">
        <v>95</v>
      </c>
      <c r="BR3" t="s">
        <v>84</v>
      </c>
      <c r="BS3" s="3">
        <v>45817</v>
      </c>
      <c r="BT3" s="4">
        <v>0.61250000000000004</v>
      </c>
      <c r="BU3" t="s">
        <v>96</v>
      </c>
      <c r="BV3" t="s">
        <v>86</v>
      </c>
      <c r="BY3">
        <v>88320</v>
      </c>
      <c r="BZ3" t="s">
        <v>97</v>
      </c>
      <c r="CA3" t="s">
        <v>98</v>
      </c>
      <c r="CC3" t="s">
        <v>92</v>
      </c>
      <c r="CD3">
        <v>7441</v>
      </c>
      <c r="CE3" t="s">
        <v>99</v>
      </c>
      <c r="CF3" s="3">
        <v>45818</v>
      </c>
      <c r="CI3">
        <v>3</v>
      </c>
      <c r="CJ3">
        <v>2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"080065763657"</f>
        <v>080065763657</v>
      </c>
      <c r="F4" s="3">
        <v>45812</v>
      </c>
      <c r="G4">
        <v>202603</v>
      </c>
      <c r="H4" t="s">
        <v>75</v>
      </c>
      <c r="I4" t="s">
        <v>76</v>
      </c>
      <c r="J4" t="s">
        <v>77</v>
      </c>
      <c r="K4" t="s">
        <v>78</v>
      </c>
      <c r="L4" t="s">
        <v>100</v>
      </c>
      <c r="M4" t="s">
        <v>101</v>
      </c>
      <c r="N4" t="s">
        <v>102</v>
      </c>
      <c r="O4" t="s">
        <v>82</v>
      </c>
      <c r="P4" t="str">
        <f>"4170042184                    "</f>
        <v xml:space="preserve">4170042184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62.66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6</v>
      </c>
      <c r="BJ4">
        <v>3.4</v>
      </c>
      <c r="BK4">
        <v>6</v>
      </c>
      <c r="BL4">
        <v>208.38</v>
      </c>
      <c r="BM4">
        <v>31.26</v>
      </c>
      <c r="BN4">
        <v>239.64</v>
      </c>
      <c r="BO4">
        <v>239.64</v>
      </c>
      <c r="BQ4" t="s">
        <v>103</v>
      </c>
      <c r="BR4" t="s">
        <v>84</v>
      </c>
      <c r="BS4" s="3">
        <v>45813</v>
      </c>
      <c r="BT4" s="4">
        <v>0.59236111111111112</v>
      </c>
      <c r="BU4" t="s">
        <v>104</v>
      </c>
      <c r="BV4" t="s">
        <v>90</v>
      </c>
      <c r="BY4">
        <v>16965</v>
      </c>
      <c r="BZ4" t="s">
        <v>87</v>
      </c>
      <c r="CA4" t="s">
        <v>105</v>
      </c>
      <c r="CC4" t="s">
        <v>101</v>
      </c>
      <c r="CD4">
        <v>6056</v>
      </c>
      <c r="CE4" t="s">
        <v>99</v>
      </c>
      <c r="CF4" s="3">
        <v>45813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"080065763711"</f>
        <v>080065763711</v>
      </c>
      <c r="F5" s="3">
        <v>45812</v>
      </c>
      <c r="G5">
        <v>202603</v>
      </c>
      <c r="H5" t="s">
        <v>75</v>
      </c>
      <c r="I5" t="s">
        <v>76</v>
      </c>
      <c r="J5" t="s">
        <v>77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>"4170042238                    "</f>
        <v xml:space="preserve">4170042238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20.9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69.5</v>
      </c>
      <c r="BM5">
        <v>10.43</v>
      </c>
      <c r="BN5">
        <v>79.930000000000007</v>
      </c>
      <c r="BO5">
        <v>79.930000000000007</v>
      </c>
      <c r="BQ5" t="s">
        <v>109</v>
      </c>
      <c r="BR5" t="s">
        <v>84</v>
      </c>
      <c r="BS5" s="3">
        <v>45813</v>
      </c>
      <c r="BT5" s="4">
        <v>0.36388888888888887</v>
      </c>
      <c r="BU5" t="s">
        <v>110</v>
      </c>
      <c r="BV5" t="s">
        <v>86</v>
      </c>
      <c r="BY5">
        <v>1200</v>
      </c>
      <c r="BZ5" t="s">
        <v>87</v>
      </c>
      <c r="CA5" t="s">
        <v>111</v>
      </c>
      <c r="CC5" t="s">
        <v>107</v>
      </c>
      <c r="CD5">
        <v>200</v>
      </c>
      <c r="CE5" t="s">
        <v>89</v>
      </c>
      <c r="CF5" s="3">
        <v>45813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"080065763723"</f>
        <v>080065763723</v>
      </c>
      <c r="F6" s="3">
        <v>45812</v>
      </c>
      <c r="G6">
        <v>202603</v>
      </c>
      <c r="H6" t="s">
        <v>75</v>
      </c>
      <c r="I6" t="s">
        <v>76</v>
      </c>
      <c r="J6" t="s">
        <v>77</v>
      </c>
      <c r="K6" t="s">
        <v>78</v>
      </c>
      <c r="L6" t="s">
        <v>75</v>
      </c>
      <c r="M6" t="s">
        <v>76</v>
      </c>
      <c r="N6" t="s">
        <v>112</v>
      </c>
      <c r="O6" t="s">
        <v>82</v>
      </c>
      <c r="P6" t="str">
        <f>"4170042223                    "</f>
        <v xml:space="preserve">4170042223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16.32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</v>
      </c>
      <c r="BJ6">
        <v>1.9</v>
      </c>
      <c r="BK6">
        <v>4</v>
      </c>
      <c r="BL6">
        <v>54.28</v>
      </c>
      <c r="BM6">
        <v>8.14</v>
      </c>
      <c r="BN6">
        <v>62.42</v>
      </c>
      <c r="BO6">
        <v>62.42</v>
      </c>
      <c r="BQ6" t="s">
        <v>113</v>
      </c>
      <c r="BR6" t="s">
        <v>84</v>
      </c>
      <c r="BS6" s="3">
        <v>45813</v>
      </c>
      <c r="BT6" s="4">
        <v>0.34722222222222221</v>
      </c>
      <c r="BU6" t="s">
        <v>114</v>
      </c>
      <c r="BV6" t="s">
        <v>86</v>
      </c>
      <c r="BY6">
        <v>9600</v>
      </c>
      <c r="BZ6" t="s">
        <v>87</v>
      </c>
      <c r="CA6" t="s">
        <v>115</v>
      </c>
      <c r="CC6" t="s">
        <v>76</v>
      </c>
      <c r="CD6">
        <v>1600</v>
      </c>
      <c r="CE6" t="s">
        <v>99</v>
      </c>
      <c r="CF6" s="3">
        <v>45814</v>
      </c>
      <c r="CI6">
        <v>1</v>
      </c>
      <c r="CJ6">
        <v>1</v>
      </c>
      <c r="CK6">
        <v>22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"080065764264"</f>
        <v>080065764264</v>
      </c>
      <c r="F7" s="3">
        <v>45812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116</v>
      </c>
      <c r="M7" t="s">
        <v>117</v>
      </c>
      <c r="N7" t="s">
        <v>118</v>
      </c>
      <c r="O7" t="s">
        <v>82</v>
      </c>
      <c r="P7" t="str">
        <f>"4170042150                    "</f>
        <v xml:space="preserve">4170042150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146.18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14</v>
      </c>
      <c r="BJ7">
        <v>7.5</v>
      </c>
      <c r="BK7">
        <v>14</v>
      </c>
      <c r="BL7">
        <v>486.14</v>
      </c>
      <c r="BM7">
        <v>72.92</v>
      </c>
      <c r="BN7">
        <v>559.05999999999995</v>
      </c>
      <c r="BO7">
        <v>559.05999999999995</v>
      </c>
      <c r="BQ7" t="s">
        <v>119</v>
      </c>
      <c r="BR7" t="s">
        <v>84</v>
      </c>
      <c r="BS7" s="3">
        <v>45813</v>
      </c>
      <c r="BT7" s="4">
        <v>0.4201388888888889</v>
      </c>
      <c r="BU7" t="s">
        <v>120</v>
      </c>
      <c r="BV7" t="s">
        <v>86</v>
      </c>
      <c r="BY7">
        <v>37332</v>
      </c>
      <c r="CA7" t="s">
        <v>121</v>
      </c>
      <c r="CC7" t="s">
        <v>117</v>
      </c>
      <c r="CD7">
        <v>3201</v>
      </c>
      <c r="CE7" t="s">
        <v>122</v>
      </c>
      <c r="CF7" s="3">
        <v>45813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"080065764315"</f>
        <v>080065764315</v>
      </c>
      <c r="F8" s="3">
        <v>45812</v>
      </c>
      <c r="G8">
        <v>202603</v>
      </c>
      <c r="H8" t="s">
        <v>75</v>
      </c>
      <c r="I8" t="s">
        <v>76</v>
      </c>
      <c r="J8" t="s">
        <v>77</v>
      </c>
      <c r="K8" t="s">
        <v>78</v>
      </c>
      <c r="L8" t="s">
        <v>100</v>
      </c>
      <c r="M8" t="s">
        <v>101</v>
      </c>
      <c r="N8" t="s">
        <v>123</v>
      </c>
      <c r="O8" t="s">
        <v>82</v>
      </c>
      <c r="P8" t="str">
        <f>"4170042235                    "</f>
        <v xml:space="preserve">4170042235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36.56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3.4</v>
      </c>
      <c r="BK8">
        <v>3.5</v>
      </c>
      <c r="BL8">
        <v>121.58</v>
      </c>
      <c r="BM8">
        <v>18.239999999999998</v>
      </c>
      <c r="BN8">
        <v>139.82</v>
      </c>
      <c r="BO8">
        <v>139.82</v>
      </c>
      <c r="BQ8" t="s">
        <v>124</v>
      </c>
      <c r="BR8" t="s">
        <v>84</v>
      </c>
      <c r="BS8" s="3">
        <v>45813</v>
      </c>
      <c r="BT8" s="4">
        <v>0.58402777777777781</v>
      </c>
      <c r="BU8" t="s">
        <v>125</v>
      </c>
      <c r="BV8" t="s">
        <v>90</v>
      </c>
      <c r="BY8">
        <v>16965</v>
      </c>
      <c r="BZ8" t="s">
        <v>87</v>
      </c>
      <c r="CA8" t="s">
        <v>105</v>
      </c>
      <c r="CC8" t="s">
        <v>101</v>
      </c>
      <c r="CD8">
        <v>6001</v>
      </c>
      <c r="CE8" t="s">
        <v>99</v>
      </c>
      <c r="CF8" s="3">
        <v>45813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"080065763492"</f>
        <v>080065763492</v>
      </c>
      <c r="F9" s="3">
        <v>45812</v>
      </c>
      <c r="G9">
        <v>202603</v>
      </c>
      <c r="H9" t="s">
        <v>75</v>
      </c>
      <c r="I9" t="s">
        <v>76</v>
      </c>
      <c r="J9" t="s">
        <v>77</v>
      </c>
      <c r="K9" t="s">
        <v>78</v>
      </c>
      <c r="L9" t="s">
        <v>106</v>
      </c>
      <c r="M9" t="s">
        <v>107</v>
      </c>
      <c r="N9" t="s">
        <v>126</v>
      </c>
      <c r="O9" t="s">
        <v>82</v>
      </c>
      <c r="P9" t="str">
        <f>"4170042220                    "</f>
        <v xml:space="preserve">4170042220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20.9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69.5</v>
      </c>
      <c r="BM9">
        <v>10.43</v>
      </c>
      <c r="BN9">
        <v>79.930000000000007</v>
      </c>
      <c r="BO9">
        <v>79.930000000000007</v>
      </c>
      <c r="BQ9" t="s">
        <v>127</v>
      </c>
      <c r="BR9" t="s">
        <v>84</v>
      </c>
      <c r="BS9" s="3">
        <v>45813</v>
      </c>
      <c r="BT9" s="4">
        <v>0.33958333333333335</v>
      </c>
      <c r="BU9" t="s">
        <v>128</v>
      </c>
      <c r="BV9" t="s">
        <v>86</v>
      </c>
      <c r="BY9">
        <v>1200</v>
      </c>
      <c r="BZ9" t="s">
        <v>87</v>
      </c>
      <c r="CA9" t="s">
        <v>129</v>
      </c>
      <c r="CC9" t="s">
        <v>107</v>
      </c>
      <c r="CD9">
        <v>30</v>
      </c>
      <c r="CE9" t="s">
        <v>89</v>
      </c>
      <c r="CF9" s="3">
        <v>45813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"080065763620"</f>
        <v>080065763620</v>
      </c>
      <c r="F10" s="3">
        <v>45812</v>
      </c>
      <c r="G10">
        <v>202603</v>
      </c>
      <c r="H10" t="s">
        <v>75</v>
      </c>
      <c r="I10" t="s">
        <v>76</v>
      </c>
      <c r="J10" t="s">
        <v>77</v>
      </c>
      <c r="K10" t="s">
        <v>78</v>
      </c>
      <c r="L10" t="s">
        <v>130</v>
      </c>
      <c r="M10" t="s">
        <v>131</v>
      </c>
      <c r="N10" t="s">
        <v>132</v>
      </c>
      <c r="O10" t="s">
        <v>82</v>
      </c>
      <c r="P10" t="str">
        <f>"4170042228                    "</f>
        <v xml:space="preserve">4170042228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16.32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54.28</v>
      </c>
      <c r="BM10">
        <v>8.14</v>
      </c>
      <c r="BN10">
        <v>62.42</v>
      </c>
      <c r="BO10">
        <v>62.42</v>
      </c>
      <c r="BQ10" t="s">
        <v>133</v>
      </c>
      <c r="BR10" t="s">
        <v>84</v>
      </c>
      <c r="BS10" s="3">
        <v>45813</v>
      </c>
      <c r="BT10" s="4">
        <v>0.3840277777777778</v>
      </c>
      <c r="BU10" t="s">
        <v>134</v>
      </c>
      <c r="BV10" t="s">
        <v>86</v>
      </c>
      <c r="BY10">
        <v>1200</v>
      </c>
      <c r="BZ10" t="s">
        <v>87</v>
      </c>
      <c r="CA10" t="s">
        <v>135</v>
      </c>
      <c r="CC10" t="s">
        <v>131</v>
      </c>
      <c r="CD10">
        <v>1459</v>
      </c>
      <c r="CE10" t="s">
        <v>89</v>
      </c>
      <c r="CF10" s="3">
        <v>45813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"080065787675"</f>
        <v>080065787675</v>
      </c>
      <c r="F11" s="3">
        <v>45813</v>
      </c>
      <c r="G11">
        <v>202603</v>
      </c>
      <c r="H11" t="s">
        <v>75</v>
      </c>
      <c r="I11" t="s">
        <v>76</v>
      </c>
      <c r="J11" t="s">
        <v>77</v>
      </c>
      <c r="K11" t="s">
        <v>78</v>
      </c>
      <c r="L11" t="s">
        <v>136</v>
      </c>
      <c r="M11" t="s">
        <v>137</v>
      </c>
      <c r="N11" t="s">
        <v>138</v>
      </c>
      <c r="O11" t="s">
        <v>82</v>
      </c>
      <c r="P11" t="str">
        <f>"4170042325                    "</f>
        <v xml:space="preserve">4170042325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20.9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69.5</v>
      </c>
      <c r="BM11">
        <v>10.43</v>
      </c>
      <c r="BN11">
        <v>79.930000000000007</v>
      </c>
      <c r="BO11">
        <v>79.930000000000007</v>
      </c>
      <c r="BQ11" t="s">
        <v>139</v>
      </c>
      <c r="BR11" t="s">
        <v>84</v>
      </c>
      <c r="BS11" s="3">
        <v>45814</v>
      </c>
      <c r="BT11" s="4">
        <v>0.5</v>
      </c>
      <c r="BU11" t="s">
        <v>140</v>
      </c>
      <c r="BV11" t="s">
        <v>86</v>
      </c>
      <c r="BY11">
        <v>1200</v>
      </c>
      <c r="BZ11" t="s">
        <v>87</v>
      </c>
      <c r="CC11" t="s">
        <v>137</v>
      </c>
      <c r="CD11">
        <v>5201</v>
      </c>
      <c r="CE11" t="s">
        <v>89</v>
      </c>
      <c r="CF11" s="3">
        <v>45814</v>
      </c>
      <c r="CI11">
        <v>5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"080065787696"</f>
        <v>080065787696</v>
      </c>
      <c r="F12" s="3">
        <v>45813</v>
      </c>
      <c r="G12">
        <v>202603</v>
      </c>
      <c r="H12" t="s">
        <v>75</v>
      </c>
      <c r="I12" t="s">
        <v>76</v>
      </c>
      <c r="J12" t="s">
        <v>77</v>
      </c>
      <c r="K12" t="s">
        <v>78</v>
      </c>
      <c r="L12" t="s">
        <v>130</v>
      </c>
      <c r="M12" t="s">
        <v>131</v>
      </c>
      <c r="N12" t="s">
        <v>141</v>
      </c>
      <c r="O12" t="s">
        <v>82</v>
      </c>
      <c r="P12" t="str">
        <f>"4170042275                    "</f>
        <v xml:space="preserve">4170042275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16.32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54.28</v>
      </c>
      <c r="BM12">
        <v>8.14</v>
      </c>
      <c r="BN12">
        <v>62.42</v>
      </c>
      <c r="BO12">
        <v>62.42</v>
      </c>
      <c r="BQ12" t="s">
        <v>142</v>
      </c>
      <c r="BR12" t="s">
        <v>84</v>
      </c>
      <c r="BS12" s="3">
        <v>45814</v>
      </c>
      <c r="BT12" s="4">
        <v>0.4465277777777778</v>
      </c>
      <c r="BU12" t="s">
        <v>143</v>
      </c>
      <c r="BV12" t="s">
        <v>90</v>
      </c>
      <c r="BW12" t="s">
        <v>144</v>
      </c>
      <c r="BX12" t="s">
        <v>145</v>
      </c>
      <c r="BY12">
        <v>1200</v>
      </c>
      <c r="BZ12" t="s">
        <v>87</v>
      </c>
      <c r="CA12" t="s">
        <v>146</v>
      </c>
      <c r="CC12" t="s">
        <v>131</v>
      </c>
      <c r="CD12">
        <v>1459</v>
      </c>
      <c r="CE12" t="s">
        <v>89</v>
      </c>
      <c r="CF12" s="3">
        <v>45814</v>
      </c>
      <c r="CI12">
        <v>1</v>
      </c>
      <c r="CJ12">
        <v>1</v>
      </c>
      <c r="CK12">
        <v>22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"080065763666"</f>
        <v>080065763666</v>
      </c>
      <c r="F13" s="3">
        <v>45812</v>
      </c>
      <c r="G13">
        <v>202603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147</v>
      </c>
      <c r="O13" t="s">
        <v>82</v>
      </c>
      <c r="P13" t="str">
        <f>"4170042214                    "</f>
        <v xml:space="preserve">4170042214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16.32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54.28</v>
      </c>
      <c r="BM13">
        <v>8.14</v>
      </c>
      <c r="BN13">
        <v>62.42</v>
      </c>
      <c r="BO13">
        <v>62.42</v>
      </c>
      <c r="BQ13" t="s">
        <v>148</v>
      </c>
      <c r="BR13" t="s">
        <v>84</v>
      </c>
      <c r="BS13" s="3">
        <v>45813</v>
      </c>
      <c r="BT13" s="4">
        <v>0.30555555555555558</v>
      </c>
      <c r="BU13" t="s">
        <v>149</v>
      </c>
      <c r="BV13" t="s">
        <v>86</v>
      </c>
      <c r="BY13">
        <v>1200</v>
      </c>
      <c r="BZ13" t="s">
        <v>87</v>
      </c>
      <c r="CA13" t="s">
        <v>115</v>
      </c>
      <c r="CC13" t="s">
        <v>76</v>
      </c>
      <c r="CD13">
        <v>1600</v>
      </c>
      <c r="CE13" t="s">
        <v>89</v>
      </c>
      <c r="CF13" s="3">
        <v>45814</v>
      </c>
      <c r="CI13">
        <v>1</v>
      </c>
      <c r="CJ13">
        <v>1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"080065792183"</f>
        <v>080065792183</v>
      </c>
      <c r="F14" s="3">
        <v>45813</v>
      </c>
      <c r="G14">
        <v>202603</v>
      </c>
      <c r="H14" t="s">
        <v>75</v>
      </c>
      <c r="I14" t="s">
        <v>76</v>
      </c>
      <c r="J14" t="s">
        <v>77</v>
      </c>
      <c r="K14" t="s">
        <v>78</v>
      </c>
      <c r="L14" t="s">
        <v>91</v>
      </c>
      <c r="M14" t="s">
        <v>92</v>
      </c>
      <c r="N14" t="s">
        <v>150</v>
      </c>
      <c r="O14" t="s">
        <v>82</v>
      </c>
      <c r="P14" t="str">
        <f>"4170042241                    "</f>
        <v xml:space="preserve">4170042241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93.98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9</v>
      </c>
      <c r="BJ14">
        <v>8.9</v>
      </c>
      <c r="BK14">
        <v>9</v>
      </c>
      <c r="BL14">
        <v>312.54000000000002</v>
      </c>
      <c r="BM14">
        <v>46.88</v>
      </c>
      <c r="BN14">
        <v>359.42</v>
      </c>
      <c r="BO14">
        <v>359.42</v>
      </c>
      <c r="BQ14" t="s">
        <v>151</v>
      </c>
      <c r="BR14" t="s">
        <v>84</v>
      </c>
      <c r="BS14" s="3">
        <v>45814</v>
      </c>
      <c r="BT14" s="4">
        <v>0.42708333333333331</v>
      </c>
      <c r="BU14" t="s">
        <v>152</v>
      </c>
      <c r="BV14" t="s">
        <v>86</v>
      </c>
      <c r="BY14">
        <v>44640</v>
      </c>
      <c r="BZ14" t="s">
        <v>87</v>
      </c>
      <c r="CA14" t="s">
        <v>153</v>
      </c>
      <c r="CC14" t="s">
        <v>92</v>
      </c>
      <c r="CD14">
        <v>7405</v>
      </c>
      <c r="CE14" t="s">
        <v>99</v>
      </c>
      <c r="CF14" s="3">
        <v>45817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"080065705973"</f>
        <v>080065705973</v>
      </c>
      <c r="F15" s="3">
        <v>45810</v>
      </c>
      <c r="G15">
        <v>202603</v>
      </c>
      <c r="H15" t="s">
        <v>75</v>
      </c>
      <c r="I15" t="s">
        <v>76</v>
      </c>
      <c r="J15" t="s">
        <v>77</v>
      </c>
      <c r="K15" t="s">
        <v>78</v>
      </c>
      <c r="L15" t="s">
        <v>154</v>
      </c>
      <c r="M15" t="s">
        <v>154</v>
      </c>
      <c r="N15" t="s">
        <v>155</v>
      </c>
      <c r="O15" t="s">
        <v>82</v>
      </c>
      <c r="P15" t="str">
        <f>"4170041688                    "</f>
        <v xml:space="preserve">4170041688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41.43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135.59</v>
      </c>
      <c r="BM15">
        <v>20.34</v>
      </c>
      <c r="BN15">
        <v>155.93</v>
      </c>
      <c r="BO15">
        <v>155.93</v>
      </c>
      <c r="BQ15" t="s">
        <v>156</v>
      </c>
      <c r="BR15" t="s">
        <v>84</v>
      </c>
      <c r="BS15" s="3">
        <v>45811</v>
      </c>
      <c r="BT15" s="4">
        <v>0.45833333333333331</v>
      </c>
      <c r="BU15" t="s">
        <v>157</v>
      </c>
      <c r="BV15" t="s">
        <v>86</v>
      </c>
      <c r="BY15">
        <v>1200</v>
      </c>
      <c r="BZ15" t="s">
        <v>87</v>
      </c>
      <c r="CA15" t="s">
        <v>158</v>
      </c>
      <c r="CC15" t="s">
        <v>154</v>
      </c>
      <c r="CD15">
        <v>7646</v>
      </c>
      <c r="CE15" t="s">
        <v>89</v>
      </c>
      <c r="CF15" s="3">
        <v>45812</v>
      </c>
      <c r="CI15">
        <v>1</v>
      </c>
      <c r="CJ15">
        <v>1</v>
      </c>
      <c r="CK15">
        <v>23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"080065694100"</f>
        <v>080065694100</v>
      </c>
      <c r="F16" s="3">
        <v>45810</v>
      </c>
      <c r="G16">
        <v>202603</v>
      </c>
      <c r="H16" t="s">
        <v>75</v>
      </c>
      <c r="I16" t="s">
        <v>76</v>
      </c>
      <c r="J16" t="s">
        <v>77</v>
      </c>
      <c r="K16" t="s">
        <v>78</v>
      </c>
      <c r="L16" t="s">
        <v>159</v>
      </c>
      <c r="M16" t="s">
        <v>160</v>
      </c>
      <c r="N16" t="s">
        <v>161</v>
      </c>
      <c r="O16" t="s">
        <v>82</v>
      </c>
      <c r="P16" t="str">
        <f>"4170041556                    "</f>
        <v xml:space="preserve">4170041556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16.7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2.2000000000000002</v>
      </c>
      <c r="BK16">
        <v>3</v>
      </c>
      <c r="BL16">
        <v>54.66</v>
      </c>
      <c r="BM16">
        <v>8.1999999999999993</v>
      </c>
      <c r="BN16">
        <v>62.86</v>
      </c>
      <c r="BO16">
        <v>62.86</v>
      </c>
      <c r="BQ16" t="s">
        <v>162</v>
      </c>
      <c r="BR16" t="s">
        <v>84</v>
      </c>
      <c r="BS16" s="3">
        <v>45811</v>
      </c>
      <c r="BT16" s="4">
        <v>0.46527777777777779</v>
      </c>
      <c r="BU16" t="s">
        <v>163</v>
      </c>
      <c r="BV16" t="s">
        <v>90</v>
      </c>
      <c r="BW16" t="s">
        <v>144</v>
      </c>
      <c r="BX16" t="s">
        <v>164</v>
      </c>
      <c r="BY16">
        <v>11172</v>
      </c>
      <c r="BZ16" t="s">
        <v>87</v>
      </c>
      <c r="CA16" t="s">
        <v>165</v>
      </c>
      <c r="CC16" t="s">
        <v>160</v>
      </c>
      <c r="CD16">
        <v>2169</v>
      </c>
      <c r="CE16" t="s">
        <v>166</v>
      </c>
      <c r="CF16" s="3">
        <v>45812</v>
      </c>
      <c r="CI16">
        <v>1</v>
      </c>
      <c r="CJ16">
        <v>1</v>
      </c>
      <c r="CK16">
        <v>22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"080065694214"</f>
        <v>080065694214</v>
      </c>
      <c r="F17" s="3">
        <v>45810</v>
      </c>
      <c r="G17">
        <v>202603</v>
      </c>
      <c r="H17" t="s">
        <v>75</v>
      </c>
      <c r="I17" t="s">
        <v>76</v>
      </c>
      <c r="J17" t="s">
        <v>77</v>
      </c>
      <c r="K17" t="s">
        <v>78</v>
      </c>
      <c r="L17" t="s">
        <v>106</v>
      </c>
      <c r="M17" t="s">
        <v>107</v>
      </c>
      <c r="N17" t="s">
        <v>167</v>
      </c>
      <c r="O17" t="s">
        <v>82</v>
      </c>
      <c r="P17" t="str">
        <f>"4170040569                    "</f>
        <v xml:space="preserve">4170040569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21.38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69.98</v>
      </c>
      <c r="BM17">
        <v>10.5</v>
      </c>
      <c r="BN17">
        <v>80.48</v>
      </c>
      <c r="BO17">
        <v>80.48</v>
      </c>
      <c r="BQ17" t="s">
        <v>168</v>
      </c>
      <c r="BR17" t="s">
        <v>84</v>
      </c>
      <c r="BS17" s="3">
        <v>45811</v>
      </c>
      <c r="BT17" s="4">
        <v>0.41249999999999998</v>
      </c>
      <c r="BU17" t="s">
        <v>169</v>
      </c>
      <c r="BV17" t="s">
        <v>86</v>
      </c>
      <c r="BY17">
        <v>1200</v>
      </c>
      <c r="BZ17" t="s">
        <v>87</v>
      </c>
      <c r="CA17" t="s">
        <v>129</v>
      </c>
      <c r="CC17" t="s">
        <v>107</v>
      </c>
      <c r="CD17">
        <v>1</v>
      </c>
      <c r="CE17" t="s">
        <v>89</v>
      </c>
      <c r="CF17" s="3">
        <v>45811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"080065694268"</f>
        <v>080065694268</v>
      </c>
      <c r="F18" s="3">
        <v>45810</v>
      </c>
      <c r="G18">
        <v>202603</v>
      </c>
      <c r="H18" t="s">
        <v>75</v>
      </c>
      <c r="I18" t="s">
        <v>76</v>
      </c>
      <c r="J18" t="s">
        <v>77</v>
      </c>
      <c r="K18" t="s">
        <v>78</v>
      </c>
      <c r="L18" t="s">
        <v>159</v>
      </c>
      <c r="M18" t="s">
        <v>160</v>
      </c>
      <c r="N18" t="s">
        <v>170</v>
      </c>
      <c r="O18" t="s">
        <v>82</v>
      </c>
      <c r="P18" t="str">
        <f>"4170041336                    "</f>
        <v xml:space="preserve">4170041336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16.7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54.66</v>
      </c>
      <c r="BM18">
        <v>8.1999999999999993</v>
      </c>
      <c r="BN18">
        <v>62.86</v>
      </c>
      <c r="BO18">
        <v>62.86</v>
      </c>
      <c r="BQ18" t="s">
        <v>171</v>
      </c>
      <c r="BR18" t="s">
        <v>84</v>
      </c>
      <c r="BS18" s="3">
        <v>45811</v>
      </c>
      <c r="BT18" s="4">
        <v>0.37152777777777779</v>
      </c>
      <c r="BU18" t="s">
        <v>172</v>
      </c>
      <c r="BV18" t="s">
        <v>86</v>
      </c>
      <c r="BY18">
        <v>1200</v>
      </c>
      <c r="BZ18" t="s">
        <v>87</v>
      </c>
      <c r="CA18" t="s">
        <v>173</v>
      </c>
      <c r="CC18" t="s">
        <v>160</v>
      </c>
      <c r="CD18">
        <v>2091</v>
      </c>
      <c r="CE18" t="s">
        <v>89</v>
      </c>
      <c r="CF18" s="3">
        <v>45812</v>
      </c>
      <c r="CI18">
        <v>1</v>
      </c>
      <c r="CJ18">
        <v>1</v>
      </c>
      <c r="CK18">
        <v>22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"080065694414"</f>
        <v>080065694414</v>
      </c>
      <c r="F19" s="3">
        <v>45810</v>
      </c>
      <c r="G19">
        <v>202603</v>
      </c>
      <c r="H19" t="s">
        <v>75</v>
      </c>
      <c r="I19" t="s">
        <v>76</v>
      </c>
      <c r="J19" t="s">
        <v>77</v>
      </c>
      <c r="K19" t="s">
        <v>78</v>
      </c>
      <c r="L19" t="s">
        <v>106</v>
      </c>
      <c r="M19" t="s">
        <v>107</v>
      </c>
      <c r="N19" t="s">
        <v>167</v>
      </c>
      <c r="O19" t="s">
        <v>82</v>
      </c>
      <c r="P19" t="str">
        <f>"4170039267                    "</f>
        <v xml:space="preserve">4170039267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21.38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69.98</v>
      </c>
      <c r="BM19">
        <v>10.5</v>
      </c>
      <c r="BN19">
        <v>80.48</v>
      </c>
      <c r="BO19">
        <v>80.48</v>
      </c>
      <c r="BQ19" t="s">
        <v>168</v>
      </c>
      <c r="BR19" t="s">
        <v>84</v>
      </c>
      <c r="BS19" s="3">
        <v>45811</v>
      </c>
      <c r="BT19" s="4">
        <v>0.40625</v>
      </c>
      <c r="BU19" t="s">
        <v>169</v>
      </c>
      <c r="BV19" t="s">
        <v>86</v>
      </c>
      <c r="BY19">
        <v>1200</v>
      </c>
      <c r="BZ19" t="s">
        <v>87</v>
      </c>
      <c r="CA19" t="s">
        <v>129</v>
      </c>
      <c r="CC19" t="s">
        <v>107</v>
      </c>
      <c r="CD19">
        <v>1</v>
      </c>
      <c r="CE19" t="s">
        <v>89</v>
      </c>
      <c r="CF19" s="3">
        <v>45811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"080065694449"</f>
        <v>080065694449</v>
      </c>
      <c r="F20" s="3">
        <v>45810</v>
      </c>
      <c r="G20">
        <v>202603</v>
      </c>
      <c r="H20" t="s">
        <v>75</v>
      </c>
      <c r="I20" t="s">
        <v>76</v>
      </c>
      <c r="J20" t="s">
        <v>77</v>
      </c>
      <c r="K20" t="s">
        <v>78</v>
      </c>
      <c r="L20" t="s">
        <v>174</v>
      </c>
      <c r="M20" t="s">
        <v>175</v>
      </c>
      <c r="N20" t="s">
        <v>176</v>
      </c>
      <c r="O20" t="s">
        <v>82</v>
      </c>
      <c r="P20" t="str">
        <f>"4170040287                    "</f>
        <v xml:space="preserve">4170040287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1.7</v>
      </c>
      <c r="BK20">
        <v>2</v>
      </c>
      <c r="BL20">
        <v>69.98</v>
      </c>
      <c r="BM20">
        <v>10.5</v>
      </c>
      <c r="BN20">
        <v>80.48</v>
      </c>
      <c r="BO20">
        <v>80.48</v>
      </c>
      <c r="BQ20" t="s">
        <v>177</v>
      </c>
      <c r="BR20" t="s">
        <v>84</v>
      </c>
      <c r="BS20" s="3">
        <v>45811</v>
      </c>
      <c r="BT20" s="4">
        <v>0.41249999999999998</v>
      </c>
      <c r="BU20" t="s">
        <v>178</v>
      </c>
      <c r="BV20" t="s">
        <v>86</v>
      </c>
      <c r="BY20">
        <v>8512</v>
      </c>
      <c r="BZ20" t="s">
        <v>87</v>
      </c>
      <c r="CA20" t="s">
        <v>179</v>
      </c>
      <c r="CC20" t="s">
        <v>175</v>
      </c>
      <c r="CD20">
        <v>3610</v>
      </c>
      <c r="CE20" t="s">
        <v>180</v>
      </c>
      <c r="CF20" s="3">
        <v>45812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"080065694497"</f>
        <v>080065694497</v>
      </c>
      <c r="F21" s="3">
        <v>45810</v>
      </c>
      <c r="G21">
        <v>202603</v>
      </c>
      <c r="H21" t="s">
        <v>75</v>
      </c>
      <c r="I21" t="s">
        <v>76</v>
      </c>
      <c r="J21" t="s">
        <v>77</v>
      </c>
      <c r="K21" t="s">
        <v>78</v>
      </c>
      <c r="L21" t="s">
        <v>91</v>
      </c>
      <c r="M21" t="s">
        <v>92</v>
      </c>
      <c r="N21" t="s">
        <v>93</v>
      </c>
      <c r="O21" t="s">
        <v>94</v>
      </c>
      <c r="P21" t="str">
        <f>"4170041643                    "</f>
        <v xml:space="preserve">4170041643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46.47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18</v>
      </c>
      <c r="BJ21">
        <v>6.8</v>
      </c>
      <c r="BK21">
        <v>18</v>
      </c>
      <c r="BL21">
        <v>157.66</v>
      </c>
      <c r="BM21">
        <v>23.65</v>
      </c>
      <c r="BN21">
        <v>181.31</v>
      </c>
      <c r="BO21">
        <v>181.31</v>
      </c>
      <c r="BQ21" t="s">
        <v>95</v>
      </c>
      <c r="BR21" t="s">
        <v>84</v>
      </c>
      <c r="BS21" s="3">
        <v>45812</v>
      </c>
      <c r="BT21" s="4">
        <v>0.73263888888888884</v>
      </c>
      <c r="BU21" t="s">
        <v>181</v>
      </c>
      <c r="BV21" t="s">
        <v>86</v>
      </c>
      <c r="BY21">
        <v>16965</v>
      </c>
      <c r="BZ21" t="s">
        <v>97</v>
      </c>
      <c r="CA21" t="s">
        <v>98</v>
      </c>
      <c r="CC21" t="s">
        <v>92</v>
      </c>
      <c r="CD21">
        <v>7441</v>
      </c>
      <c r="CE21" t="s">
        <v>182</v>
      </c>
      <c r="CF21" s="3">
        <v>45813</v>
      </c>
      <c r="CI21">
        <v>3</v>
      </c>
      <c r="CJ21">
        <v>2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"080065694565"</f>
        <v>080065694565</v>
      </c>
      <c r="F22" s="3">
        <v>45810</v>
      </c>
      <c r="G22">
        <v>202603</v>
      </c>
      <c r="H22" t="s">
        <v>75</v>
      </c>
      <c r="I22" t="s">
        <v>76</v>
      </c>
      <c r="J22" t="s">
        <v>77</v>
      </c>
      <c r="K22" t="s">
        <v>78</v>
      </c>
      <c r="L22" t="s">
        <v>116</v>
      </c>
      <c r="M22" t="s">
        <v>117</v>
      </c>
      <c r="N22" t="s">
        <v>183</v>
      </c>
      <c r="O22" t="s">
        <v>82</v>
      </c>
      <c r="P22" t="str">
        <f>"4170041656                    "</f>
        <v xml:space="preserve">4170041656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21.38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0.6</v>
      </c>
      <c r="BK22">
        <v>1</v>
      </c>
      <c r="BL22">
        <v>69.98</v>
      </c>
      <c r="BM22">
        <v>10.5</v>
      </c>
      <c r="BN22">
        <v>80.48</v>
      </c>
      <c r="BO22">
        <v>80.48</v>
      </c>
      <c r="BQ22" t="s">
        <v>184</v>
      </c>
      <c r="BR22" t="s">
        <v>84</v>
      </c>
      <c r="BS22" s="3">
        <v>45811</v>
      </c>
      <c r="BT22" s="4">
        <v>0.41666666666666669</v>
      </c>
      <c r="BU22" t="s">
        <v>185</v>
      </c>
      <c r="BV22" t="s">
        <v>86</v>
      </c>
      <c r="BY22">
        <v>3192</v>
      </c>
      <c r="BZ22" t="s">
        <v>87</v>
      </c>
      <c r="CA22" t="s">
        <v>186</v>
      </c>
      <c r="CC22" t="s">
        <v>117</v>
      </c>
      <c r="CD22">
        <v>3212</v>
      </c>
      <c r="CE22" t="s">
        <v>180</v>
      </c>
      <c r="CF22" s="3">
        <v>45812</v>
      </c>
      <c r="CI22">
        <v>2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"080011530994"</f>
        <v>080011530994</v>
      </c>
      <c r="F23" s="3">
        <v>45810</v>
      </c>
      <c r="G23">
        <v>202603</v>
      </c>
      <c r="H23" t="s">
        <v>91</v>
      </c>
      <c r="I23" t="s">
        <v>92</v>
      </c>
      <c r="J23" t="s">
        <v>187</v>
      </c>
      <c r="K23" t="s">
        <v>78</v>
      </c>
      <c r="L23" t="s">
        <v>75</v>
      </c>
      <c r="M23" t="s">
        <v>76</v>
      </c>
      <c r="N23" t="s">
        <v>188</v>
      </c>
      <c r="O23" t="s">
        <v>82</v>
      </c>
      <c r="P23" t="str">
        <f>"ZA1001387347                  "</f>
        <v xml:space="preserve">ZA1001387347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21.38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0.9</v>
      </c>
      <c r="BJ23">
        <v>1.4</v>
      </c>
      <c r="BK23">
        <v>1.5</v>
      </c>
      <c r="BL23">
        <v>69.98</v>
      </c>
      <c r="BM23">
        <v>10.5</v>
      </c>
      <c r="BN23">
        <v>80.48</v>
      </c>
      <c r="BO23">
        <v>80.48</v>
      </c>
      <c r="BP23" t="s">
        <v>189</v>
      </c>
      <c r="BQ23" t="s">
        <v>190</v>
      </c>
      <c r="BR23" t="s">
        <v>191</v>
      </c>
      <c r="BS23" s="3">
        <v>45811</v>
      </c>
      <c r="BT23" s="4">
        <v>0.35833333333333334</v>
      </c>
      <c r="BU23" t="s">
        <v>192</v>
      </c>
      <c r="BV23" t="s">
        <v>86</v>
      </c>
      <c r="BY23">
        <v>7106.4</v>
      </c>
      <c r="BZ23" t="s">
        <v>87</v>
      </c>
      <c r="CA23" t="s">
        <v>193</v>
      </c>
      <c r="CC23" t="s">
        <v>76</v>
      </c>
      <c r="CD23">
        <v>1619</v>
      </c>
      <c r="CE23" t="s">
        <v>194</v>
      </c>
      <c r="CF23" s="3">
        <v>45811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"080065694583"</f>
        <v>080065694583</v>
      </c>
      <c r="F24" s="3">
        <v>45810</v>
      </c>
      <c r="G24">
        <v>202603</v>
      </c>
      <c r="H24" t="s">
        <v>75</v>
      </c>
      <c r="I24" t="s">
        <v>76</v>
      </c>
      <c r="J24" t="s">
        <v>77</v>
      </c>
      <c r="K24" t="s">
        <v>78</v>
      </c>
      <c r="L24" t="s">
        <v>106</v>
      </c>
      <c r="M24" t="s">
        <v>107</v>
      </c>
      <c r="N24" t="s">
        <v>195</v>
      </c>
      <c r="O24" t="s">
        <v>82</v>
      </c>
      <c r="P24" t="str">
        <f>"4170041346                    "</f>
        <v xml:space="preserve">4170041346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21.38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0.6</v>
      </c>
      <c r="BK24">
        <v>1</v>
      </c>
      <c r="BL24">
        <v>69.98</v>
      </c>
      <c r="BM24">
        <v>10.5</v>
      </c>
      <c r="BN24">
        <v>80.48</v>
      </c>
      <c r="BO24">
        <v>80.48</v>
      </c>
      <c r="BQ24" t="s">
        <v>196</v>
      </c>
      <c r="BR24" t="s">
        <v>84</v>
      </c>
      <c r="BS24" s="3">
        <v>45817</v>
      </c>
      <c r="BT24" s="4">
        <v>0.64513888888888893</v>
      </c>
      <c r="BU24" t="s">
        <v>197</v>
      </c>
      <c r="BV24" t="s">
        <v>90</v>
      </c>
      <c r="BW24" t="s">
        <v>198</v>
      </c>
      <c r="BX24" t="s">
        <v>199</v>
      </c>
      <c r="BY24">
        <v>3192</v>
      </c>
      <c r="BZ24" t="s">
        <v>87</v>
      </c>
      <c r="CA24" t="s">
        <v>200</v>
      </c>
      <c r="CC24" t="s">
        <v>107</v>
      </c>
      <c r="CD24">
        <v>17</v>
      </c>
      <c r="CE24" t="s">
        <v>180</v>
      </c>
      <c r="CI24">
        <v>1</v>
      </c>
      <c r="CJ24">
        <v>5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"080065695230"</f>
        <v>080065695230</v>
      </c>
      <c r="F25" s="3">
        <v>45810</v>
      </c>
      <c r="G25">
        <v>202603</v>
      </c>
      <c r="H25" t="s">
        <v>75</v>
      </c>
      <c r="I25" t="s">
        <v>76</v>
      </c>
      <c r="J25" t="s">
        <v>77</v>
      </c>
      <c r="K25" t="s">
        <v>78</v>
      </c>
      <c r="L25" t="s">
        <v>201</v>
      </c>
      <c r="M25" t="s">
        <v>202</v>
      </c>
      <c r="N25" t="s">
        <v>203</v>
      </c>
      <c r="O25" t="s">
        <v>94</v>
      </c>
      <c r="P25" t="str">
        <f>"4170041653                    "</f>
        <v xml:space="preserve">4170041653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67.260000000000005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</v>
      </c>
      <c r="BJ25">
        <v>17.7</v>
      </c>
      <c r="BK25">
        <v>18</v>
      </c>
      <c r="BL25">
        <v>225.69</v>
      </c>
      <c r="BM25">
        <v>33.85</v>
      </c>
      <c r="BN25">
        <v>259.54000000000002</v>
      </c>
      <c r="BO25">
        <v>259.54000000000002</v>
      </c>
      <c r="BQ25" t="s">
        <v>204</v>
      </c>
      <c r="BR25" t="s">
        <v>84</v>
      </c>
      <c r="BS25" s="3">
        <v>45812</v>
      </c>
      <c r="BT25" s="4">
        <v>0.4236111111111111</v>
      </c>
      <c r="BU25" t="s">
        <v>205</v>
      </c>
      <c r="BV25" t="s">
        <v>86</v>
      </c>
      <c r="BY25">
        <v>88320</v>
      </c>
      <c r="BZ25" t="s">
        <v>97</v>
      </c>
      <c r="CA25" t="s">
        <v>206</v>
      </c>
      <c r="CC25" t="s">
        <v>202</v>
      </c>
      <c r="CD25">
        <v>5257</v>
      </c>
      <c r="CE25" t="s">
        <v>99</v>
      </c>
      <c r="CF25" s="3">
        <v>45812</v>
      </c>
      <c r="CI25">
        <v>3</v>
      </c>
      <c r="CJ25">
        <v>2</v>
      </c>
      <c r="CK25">
        <v>43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"R080065496582"</f>
        <v>R080065496582</v>
      </c>
      <c r="F26" s="3">
        <v>45810</v>
      </c>
      <c r="G26">
        <v>202603</v>
      </c>
      <c r="H26" t="s">
        <v>207</v>
      </c>
      <c r="I26" t="s">
        <v>208</v>
      </c>
      <c r="J26" t="s">
        <v>209</v>
      </c>
      <c r="K26" t="s">
        <v>78</v>
      </c>
      <c r="L26" t="s">
        <v>207</v>
      </c>
      <c r="M26" t="s">
        <v>208</v>
      </c>
      <c r="N26" t="s">
        <v>209</v>
      </c>
      <c r="O26" t="s">
        <v>94</v>
      </c>
      <c r="P26" t="str">
        <f>"4170040007                    "</f>
        <v xml:space="preserve">4170040007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58.32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196.44</v>
      </c>
      <c r="BM26">
        <v>29.47</v>
      </c>
      <c r="BN26">
        <v>225.91</v>
      </c>
      <c r="BO26">
        <v>225.91</v>
      </c>
      <c r="BQ26" t="s">
        <v>210</v>
      </c>
      <c r="BR26" t="s">
        <v>210</v>
      </c>
      <c r="BS26" s="3">
        <v>45818</v>
      </c>
      <c r="BT26" s="4">
        <v>0.48888888888888887</v>
      </c>
      <c r="BU26" t="s">
        <v>211</v>
      </c>
      <c r="BV26" t="s">
        <v>90</v>
      </c>
      <c r="BW26" t="s">
        <v>212</v>
      </c>
      <c r="BX26" t="s">
        <v>213</v>
      </c>
      <c r="BY26">
        <v>1200</v>
      </c>
      <c r="BZ26" t="s">
        <v>214</v>
      </c>
      <c r="CC26" t="s">
        <v>208</v>
      </c>
      <c r="CD26">
        <v>4170</v>
      </c>
      <c r="CE26" t="s">
        <v>215</v>
      </c>
      <c r="CF26" s="3">
        <v>45819</v>
      </c>
      <c r="CI26">
        <v>1</v>
      </c>
      <c r="CJ26">
        <v>6</v>
      </c>
      <c r="CK26">
        <v>43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"080065696793"</f>
        <v>080065696793</v>
      </c>
      <c r="F27" s="3">
        <v>45810</v>
      </c>
      <c r="G27">
        <v>202603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216</v>
      </c>
      <c r="O27" t="s">
        <v>82</v>
      </c>
      <c r="P27" t="str">
        <f>"4170041561                    "</f>
        <v xml:space="preserve">4170041561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16.7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1.7</v>
      </c>
      <c r="BK27">
        <v>2</v>
      </c>
      <c r="BL27">
        <v>54.66</v>
      </c>
      <c r="BM27">
        <v>8.1999999999999993</v>
      </c>
      <c r="BN27">
        <v>62.86</v>
      </c>
      <c r="BO27">
        <v>62.86</v>
      </c>
      <c r="BQ27" t="s">
        <v>217</v>
      </c>
      <c r="BR27" t="s">
        <v>84</v>
      </c>
      <c r="BS27" s="3">
        <v>45811</v>
      </c>
      <c r="BT27" s="4">
        <v>0.42222222222222222</v>
      </c>
      <c r="BU27" t="s">
        <v>218</v>
      </c>
      <c r="BV27" t="s">
        <v>86</v>
      </c>
      <c r="BY27">
        <v>8512</v>
      </c>
      <c r="BZ27" t="s">
        <v>87</v>
      </c>
      <c r="CA27" t="s">
        <v>219</v>
      </c>
      <c r="CC27" t="s">
        <v>76</v>
      </c>
      <c r="CD27">
        <v>1610</v>
      </c>
      <c r="CE27" t="s">
        <v>180</v>
      </c>
      <c r="CF27" s="3">
        <v>45811</v>
      </c>
      <c r="CI27">
        <v>1</v>
      </c>
      <c r="CJ27">
        <v>1</v>
      </c>
      <c r="CK27">
        <v>22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"080065696830"</f>
        <v>080065696830</v>
      </c>
      <c r="F28" s="3">
        <v>45810</v>
      </c>
      <c r="G28">
        <v>202603</v>
      </c>
      <c r="H28" t="s">
        <v>75</v>
      </c>
      <c r="I28" t="s">
        <v>76</v>
      </c>
      <c r="J28" t="s">
        <v>77</v>
      </c>
      <c r="K28" t="s">
        <v>78</v>
      </c>
      <c r="L28" t="s">
        <v>106</v>
      </c>
      <c r="M28" t="s">
        <v>107</v>
      </c>
      <c r="N28" t="s">
        <v>167</v>
      </c>
      <c r="O28" t="s">
        <v>82</v>
      </c>
      <c r="P28" t="str">
        <f>"4170041527                    "</f>
        <v xml:space="preserve">4170041527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21.38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69.98</v>
      </c>
      <c r="BM28">
        <v>10.5</v>
      </c>
      <c r="BN28">
        <v>80.48</v>
      </c>
      <c r="BO28">
        <v>80.48</v>
      </c>
      <c r="BQ28" t="s">
        <v>168</v>
      </c>
      <c r="BR28" t="s">
        <v>84</v>
      </c>
      <c r="BS28" s="3">
        <v>45811</v>
      </c>
      <c r="BT28" s="4">
        <v>0.40625</v>
      </c>
      <c r="BU28" t="s">
        <v>169</v>
      </c>
      <c r="BV28" t="s">
        <v>86</v>
      </c>
      <c r="BY28">
        <v>1200</v>
      </c>
      <c r="BZ28" t="s">
        <v>87</v>
      </c>
      <c r="CA28" t="s">
        <v>129</v>
      </c>
      <c r="CC28" t="s">
        <v>107</v>
      </c>
      <c r="CD28">
        <v>1</v>
      </c>
      <c r="CE28" t="s">
        <v>89</v>
      </c>
      <c r="CF28" s="3">
        <v>45811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"080065696942"</f>
        <v>080065696942</v>
      </c>
      <c r="F29" s="3">
        <v>45810</v>
      </c>
      <c r="G29">
        <v>202603</v>
      </c>
      <c r="H29" t="s">
        <v>75</v>
      </c>
      <c r="I29" t="s">
        <v>76</v>
      </c>
      <c r="J29" t="s">
        <v>77</v>
      </c>
      <c r="K29" t="s">
        <v>78</v>
      </c>
      <c r="L29" t="s">
        <v>100</v>
      </c>
      <c r="M29" t="s">
        <v>101</v>
      </c>
      <c r="N29" t="s">
        <v>220</v>
      </c>
      <c r="O29" t="s">
        <v>82</v>
      </c>
      <c r="P29" t="str">
        <f>"4170041543                    "</f>
        <v xml:space="preserve">4170041543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64.12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4</v>
      </c>
      <c r="BJ29">
        <v>6</v>
      </c>
      <c r="BK29">
        <v>6</v>
      </c>
      <c r="BL29">
        <v>209.84</v>
      </c>
      <c r="BM29">
        <v>31.48</v>
      </c>
      <c r="BN29">
        <v>241.32</v>
      </c>
      <c r="BO29">
        <v>241.32</v>
      </c>
      <c r="BQ29" t="s">
        <v>221</v>
      </c>
      <c r="BR29" t="s">
        <v>84</v>
      </c>
      <c r="BS29" s="3">
        <v>45811</v>
      </c>
      <c r="BT29" s="4">
        <v>0.3659722222222222</v>
      </c>
      <c r="BU29" t="s">
        <v>222</v>
      </c>
      <c r="BV29" t="s">
        <v>86</v>
      </c>
      <c r="BY29">
        <v>29952</v>
      </c>
      <c r="BZ29" t="s">
        <v>87</v>
      </c>
      <c r="CA29" t="s">
        <v>223</v>
      </c>
      <c r="CC29" t="s">
        <v>101</v>
      </c>
      <c r="CD29">
        <v>6001</v>
      </c>
      <c r="CE29" t="s">
        <v>166</v>
      </c>
      <c r="CF29" s="3">
        <v>45811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"080065696993"</f>
        <v>080065696993</v>
      </c>
      <c r="F30" s="3">
        <v>45810</v>
      </c>
      <c r="G30">
        <v>202603</v>
      </c>
      <c r="H30" t="s">
        <v>75</v>
      </c>
      <c r="I30" t="s">
        <v>76</v>
      </c>
      <c r="J30" t="s">
        <v>77</v>
      </c>
      <c r="K30" t="s">
        <v>78</v>
      </c>
      <c r="L30" t="s">
        <v>224</v>
      </c>
      <c r="M30" t="s">
        <v>225</v>
      </c>
      <c r="N30" t="s">
        <v>226</v>
      </c>
      <c r="O30" t="s">
        <v>82</v>
      </c>
      <c r="P30" t="str">
        <f>"4170041618                    "</f>
        <v xml:space="preserve">4170041618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60.14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2.8</v>
      </c>
      <c r="BK30">
        <v>3</v>
      </c>
      <c r="BL30">
        <v>196.82</v>
      </c>
      <c r="BM30">
        <v>29.52</v>
      </c>
      <c r="BN30">
        <v>226.34</v>
      </c>
      <c r="BO30">
        <v>226.34</v>
      </c>
      <c r="BQ30" t="s">
        <v>227</v>
      </c>
      <c r="BR30" t="s">
        <v>84</v>
      </c>
      <c r="BS30" s="3">
        <v>45811</v>
      </c>
      <c r="BT30" s="4">
        <v>0.47430555555555554</v>
      </c>
      <c r="BU30" t="s">
        <v>228</v>
      </c>
      <c r="BV30" t="s">
        <v>86</v>
      </c>
      <c r="BY30">
        <v>14112</v>
      </c>
      <c r="BZ30" t="s">
        <v>87</v>
      </c>
      <c r="CA30" t="s">
        <v>229</v>
      </c>
      <c r="CC30" t="s">
        <v>225</v>
      </c>
      <c r="CD30">
        <v>6300</v>
      </c>
      <c r="CE30" t="s">
        <v>166</v>
      </c>
      <c r="CF30" s="3">
        <v>45812</v>
      </c>
      <c r="CI30">
        <v>2</v>
      </c>
      <c r="CJ30">
        <v>1</v>
      </c>
      <c r="CK30">
        <v>23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"080065697040"</f>
        <v>080065697040</v>
      </c>
      <c r="F31" s="3">
        <v>45810</v>
      </c>
      <c r="G31">
        <v>202603</v>
      </c>
      <c r="H31" t="s">
        <v>75</v>
      </c>
      <c r="I31" t="s">
        <v>76</v>
      </c>
      <c r="J31" t="s">
        <v>77</v>
      </c>
      <c r="K31" t="s">
        <v>78</v>
      </c>
      <c r="L31" t="s">
        <v>159</v>
      </c>
      <c r="M31" t="s">
        <v>160</v>
      </c>
      <c r="N31" t="s">
        <v>230</v>
      </c>
      <c r="O31" t="s">
        <v>82</v>
      </c>
      <c r="P31" t="str">
        <f>"4170041614                    "</f>
        <v xml:space="preserve">4170041614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16.7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</v>
      </c>
      <c r="BJ31">
        <v>5.8</v>
      </c>
      <c r="BK31">
        <v>6</v>
      </c>
      <c r="BL31">
        <v>54.66</v>
      </c>
      <c r="BM31">
        <v>8.1999999999999993</v>
      </c>
      <c r="BN31">
        <v>62.86</v>
      </c>
      <c r="BO31">
        <v>62.86</v>
      </c>
      <c r="BQ31" t="s">
        <v>231</v>
      </c>
      <c r="BR31" t="s">
        <v>84</v>
      </c>
      <c r="BS31" s="3">
        <v>45811</v>
      </c>
      <c r="BT31" s="4">
        <v>0.43680555555555556</v>
      </c>
      <c r="BU31" t="s">
        <v>232</v>
      </c>
      <c r="BV31" t="s">
        <v>86</v>
      </c>
      <c r="BY31">
        <v>29172</v>
      </c>
      <c r="BZ31" t="s">
        <v>87</v>
      </c>
      <c r="CA31" t="s">
        <v>233</v>
      </c>
      <c r="CC31" t="s">
        <v>160</v>
      </c>
      <c r="CD31">
        <v>2094</v>
      </c>
      <c r="CE31" t="s">
        <v>166</v>
      </c>
      <c r="CF31" s="3">
        <v>45811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"080065697415"</f>
        <v>080065697415</v>
      </c>
      <c r="F32" s="3">
        <v>45810</v>
      </c>
      <c r="G32">
        <v>202603</v>
      </c>
      <c r="H32" t="s">
        <v>75</v>
      </c>
      <c r="I32" t="s">
        <v>76</v>
      </c>
      <c r="J32" t="s">
        <v>77</v>
      </c>
      <c r="K32" t="s">
        <v>78</v>
      </c>
      <c r="L32" t="s">
        <v>100</v>
      </c>
      <c r="M32" t="s">
        <v>101</v>
      </c>
      <c r="N32" t="s">
        <v>123</v>
      </c>
      <c r="O32" t="s">
        <v>82</v>
      </c>
      <c r="P32" t="str">
        <f>"4170041673                    "</f>
        <v xml:space="preserve">4170041673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21.38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69.98</v>
      </c>
      <c r="BM32">
        <v>10.5</v>
      </c>
      <c r="BN32">
        <v>80.48</v>
      </c>
      <c r="BO32">
        <v>80.48</v>
      </c>
      <c r="BQ32" t="s">
        <v>124</v>
      </c>
      <c r="BR32" t="s">
        <v>84</v>
      </c>
      <c r="BS32" s="3">
        <v>45811</v>
      </c>
      <c r="BT32" s="4">
        <v>0.35902777777777778</v>
      </c>
      <c r="BU32" t="s">
        <v>234</v>
      </c>
      <c r="BV32" t="s">
        <v>86</v>
      </c>
      <c r="BY32">
        <v>1200</v>
      </c>
      <c r="BZ32" t="s">
        <v>87</v>
      </c>
      <c r="CA32" t="s">
        <v>235</v>
      </c>
      <c r="CC32" t="s">
        <v>101</v>
      </c>
      <c r="CD32">
        <v>6001</v>
      </c>
      <c r="CE32" t="s">
        <v>89</v>
      </c>
      <c r="CF32" s="3">
        <v>45811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"080065697457"</f>
        <v>080065697457</v>
      </c>
      <c r="F33" s="3">
        <v>45810</v>
      </c>
      <c r="G33">
        <v>202603</v>
      </c>
      <c r="H33" t="s">
        <v>75</v>
      </c>
      <c r="I33" t="s">
        <v>76</v>
      </c>
      <c r="J33" t="s">
        <v>77</v>
      </c>
      <c r="K33" t="s">
        <v>78</v>
      </c>
      <c r="L33" t="s">
        <v>106</v>
      </c>
      <c r="M33" t="s">
        <v>107</v>
      </c>
      <c r="N33" t="s">
        <v>236</v>
      </c>
      <c r="O33" t="s">
        <v>82</v>
      </c>
      <c r="P33" t="str">
        <f>"4170041549                    "</f>
        <v xml:space="preserve">4170041549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21.38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69.98</v>
      </c>
      <c r="BM33">
        <v>10.5</v>
      </c>
      <c r="BN33">
        <v>80.48</v>
      </c>
      <c r="BO33">
        <v>80.48</v>
      </c>
      <c r="BQ33" t="s">
        <v>237</v>
      </c>
      <c r="BR33" t="s">
        <v>84</v>
      </c>
      <c r="BS33" s="3">
        <v>45811</v>
      </c>
      <c r="BT33" s="4">
        <v>0.36458333333333331</v>
      </c>
      <c r="BU33" t="s">
        <v>238</v>
      </c>
      <c r="BV33" t="s">
        <v>86</v>
      </c>
      <c r="BY33">
        <v>1200</v>
      </c>
      <c r="BZ33" t="s">
        <v>87</v>
      </c>
      <c r="CA33" t="s">
        <v>111</v>
      </c>
      <c r="CC33" t="s">
        <v>107</v>
      </c>
      <c r="CD33">
        <v>182</v>
      </c>
      <c r="CE33" t="s">
        <v>89</v>
      </c>
      <c r="CF33" s="3">
        <v>45811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"080065697503"</f>
        <v>080065697503</v>
      </c>
      <c r="F34" s="3">
        <v>45810</v>
      </c>
      <c r="G34">
        <v>202603</v>
      </c>
      <c r="H34" t="s">
        <v>75</v>
      </c>
      <c r="I34" t="s">
        <v>76</v>
      </c>
      <c r="J34" t="s">
        <v>77</v>
      </c>
      <c r="K34" t="s">
        <v>78</v>
      </c>
      <c r="L34" t="s">
        <v>239</v>
      </c>
      <c r="M34" t="s">
        <v>240</v>
      </c>
      <c r="N34" t="s">
        <v>241</v>
      </c>
      <c r="O34" t="s">
        <v>82</v>
      </c>
      <c r="P34" t="str">
        <f>"4170041603                    "</f>
        <v xml:space="preserve">4170041603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41.43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135.59</v>
      </c>
      <c r="BM34">
        <v>20.34</v>
      </c>
      <c r="BN34">
        <v>155.93</v>
      </c>
      <c r="BO34">
        <v>155.93</v>
      </c>
      <c r="BQ34" t="s">
        <v>242</v>
      </c>
      <c r="BR34" t="s">
        <v>84</v>
      </c>
      <c r="BS34" s="3">
        <v>45811</v>
      </c>
      <c r="BT34" s="4">
        <v>0.52638888888888891</v>
      </c>
      <c r="BU34" t="s">
        <v>243</v>
      </c>
      <c r="BV34" t="s">
        <v>86</v>
      </c>
      <c r="BY34">
        <v>1200</v>
      </c>
      <c r="BZ34" t="s">
        <v>87</v>
      </c>
      <c r="CA34" t="s">
        <v>244</v>
      </c>
      <c r="CC34" t="s">
        <v>240</v>
      </c>
      <c r="CD34">
        <v>2531</v>
      </c>
      <c r="CE34" t="s">
        <v>89</v>
      </c>
      <c r="CF34" s="3">
        <v>45812</v>
      </c>
      <c r="CI34">
        <v>1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"080065697561"</f>
        <v>080065697561</v>
      </c>
      <c r="F35" s="3">
        <v>45810</v>
      </c>
      <c r="G35">
        <v>202603</v>
      </c>
      <c r="H35" t="s">
        <v>75</v>
      </c>
      <c r="I35" t="s">
        <v>76</v>
      </c>
      <c r="J35" t="s">
        <v>77</v>
      </c>
      <c r="K35" t="s">
        <v>78</v>
      </c>
      <c r="L35" t="s">
        <v>245</v>
      </c>
      <c r="M35" t="s">
        <v>246</v>
      </c>
      <c r="N35" t="s">
        <v>247</v>
      </c>
      <c r="O35" t="s">
        <v>82</v>
      </c>
      <c r="P35" t="str">
        <f>"4170041641                    "</f>
        <v xml:space="preserve">4170041641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153.68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</v>
      </c>
      <c r="BJ35">
        <v>7.9</v>
      </c>
      <c r="BK35">
        <v>8</v>
      </c>
      <c r="BL35">
        <v>502.96</v>
      </c>
      <c r="BM35">
        <v>75.44</v>
      </c>
      <c r="BN35">
        <v>578.4</v>
      </c>
      <c r="BO35">
        <v>578.4</v>
      </c>
      <c r="BQ35" t="s">
        <v>248</v>
      </c>
      <c r="BR35" t="s">
        <v>84</v>
      </c>
      <c r="BS35" s="3">
        <v>45811</v>
      </c>
      <c r="BT35" s="4">
        <v>0.41875000000000001</v>
      </c>
      <c r="BU35" t="s">
        <v>249</v>
      </c>
      <c r="BV35" t="s">
        <v>86</v>
      </c>
      <c r="BY35">
        <v>39368</v>
      </c>
      <c r="BZ35" t="s">
        <v>87</v>
      </c>
      <c r="CA35" t="s">
        <v>250</v>
      </c>
      <c r="CC35" t="s">
        <v>246</v>
      </c>
      <c r="CD35">
        <v>9701</v>
      </c>
      <c r="CE35" t="s">
        <v>166</v>
      </c>
      <c r="CF35" s="3">
        <v>45811</v>
      </c>
      <c r="CI35">
        <v>1</v>
      </c>
      <c r="CJ35">
        <v>1</v>
      </c>
      <c r="CK35">
        <v>23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"080065697643"</f>
        <v>080065697643</v>
      </c>
      <c r="F36" s="3">
        <v>45810</v>
      </c>
      <c r="G36">
        <v>202603</v>
      </c>
      <c r="H36" t="s">
        <v>75</v>
      </c>
      <c r="I36" t="s">
        <v>76</v>
      </c>
      <c r="J36" t="s">
        <v>77</v>
      </c>
      <c r="K36" t="s">
        <v>78</v>
      </c>
      <c r="L36" t="s">
        <v>251</v>
      </c>
      <c r="M36" t="s">
        <v>252</v>
      </c>
      <c r="N36" t="s">
        <v>253</v>
      </c>
      <c r="O36" t="s">
        <v>82</v>
      </c>
      <c r="P36" t="str">
        <f>"4170041768                    "</f>
        <v xml:space="preserve">4170041768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128.22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10</v>
      </c>
      <c r="BJ36">
        <v>11.8</v>
      </c>
      <c r="BK36">
        <v>12</v>
      </c>
      <c r="BL36">
        <v>419.62</v>
      </c>
      <c r="BM36">
        <v>62.94</v>
      </c>
      <c r="BN36">
        <v>482.56</v>
      </c>
      <c r="BO36">
        <v>482.56</v>
      </c>
      <c r="BQ36" t="s">
        <v>254</v>
      </c>
      <c r="BR36" t="s">
        <v>84</v>
      </c>
      <c r="BS36" s="3">
        <v>45811</v>
      </c>
      <c r="BT36" s="4">
        <v>0.40625</v>
      </c>
      <c r="BU36" t="s">
        <v>255</v>
      </c>
      <c r="BV36" t="s">
        <v>86</v>
      </c>
      <c r="BY36">
        <v>58812</v>
      </c>
      <c r="BZ36" t="s">
        <v>87</v>
      </c>
      <c r="CA36" t="s">
        <v>256</v>
      </c>
      <c r="CC36" t="s">
        <v>252</v>
      </c>
      <c r="CD36">
        <v>4319</v>
      </c>
      <c r="CE36" t="s">
        <v>99</v>
      </c>
      <c r="CF36" s="3">
        <v>45811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"080065697713"</f>
        <v>080065697713</v>
      </c>
      <c r="F37" s="3">
        <v>45810</v>
      </c>
      <c r="G37">
        <v>202603</v>
      </c>
      <c r="H37" t="s">
        <v>75</v>
      </c>
      <c r="I37" t="s">
        <v>76</v>
      </c>
      <c r="J37" t="s">
        <v>77</v>
      </c>
      <c r="K37" t="s">
        <v>78</v>
      </c>
      <c r="L37" t="s">
        <v>257</v>
      </c>
      <c r="M37" t="s">
        <v>258</v>
      </c>
      <c r="N37" t="s">
        <v>259</v>
      </c>
      <c r="O37" t="s">
        <v>82</v>
      </c>
      <c r="P37" t="str">
        <f>"4170041674                    "</f>
        <v xml:space="preserve">4170041674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247.23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13</v>
      </c>
      <c r="BJ37">
        <v>5.3</v>
      </c>
      <c r="BK37">
        <v>13</v>
      </c>
      <c r="BL37">
        <v>809.11</v>
      </c>
      <c r="BM37">
        <v>121.37</v>
      </c>
      <c r="BN37">
        <v>930.48</v>
      </c>
      <c r="BO37">
        <v>930.48</v>
      </c>
      <c r="BQ37" t="s">
        <v>260</v>
      </c>
      <c r="BR37" t="s">
        <v>84</v>
      </c>
      <c r="BS37" s="3">
        <v>45811</v>
      </c>
      <c r="BT37" s="4">
        <v>0.40694444444444444</v>
      </c>
      <c r="BU37" t="s">
        <v>261</v>
      </c>
      <c r="BV37" t="s">
        <v>86</v>
      </c>
      <c r="BY37">
        <v>26565</v>
      </c>
      <c r="BZ37" t="s">
        <v>87</v>
      </c>
      <c r="CA37" t="s">
        <v>262</v>
      </c>
      <c r="CC37" t="s">
        <v>258</v>
      </c>
      <c r="CD37">
        <v>3900</v>
      </c>
      <c r="CE37" t="s">
        <v>99</v>
      </c>
      <c r="CF37" s="3">
        <v>45811</v>
      </c>
      <c r="CI37">
        <v>1</v>
      </c>
      <c r="CJ37">
        <v>1</v>
      </c>
      <c r="CK37">
        <v>23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"080065697998"</f>
        <v>080065697998</v>
      </c>
      <c r="F38" s="3">
        <v>45810</v>
      </c>
      <c r="G38">
        <v>202603</v>
      </c>
      <c r="H38" t="s">
        <v>75</v>
      </c>
      <c r="I38" t="s">
        <v>76</v>
      </c>
      <c r="J38" t="s">
        <v>77</v>
      </c>
      <c r="K38" t="s">
        <v>78</v>
      </c>
      <c r="L38" t="s">
        <v>174</v>
      </c>
      <c r="M38" t="s">
        <v>175</v>
      </c>
      <c r="N38" t="s">
        <v>263</v>
      </c>
      <c r="O38" t="s">
        <v>82</v>
      </c>
      <c r="P38" t="str">
        <f>"4170041625                    "</f>
        <v xml:space="preserve">4170041625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21.38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69.98</v>
      </c>
      <c r="BM38">
        <v>10.5</v>
      </c>
      <c r="BN38">
        <v>80.48</v>
      </c>
      <c r="BO38">
        <v>80.48</v>
      </c>
      <c r="BQ38" t="s">
        <v>264</v>
      </c>
      <c r="BR38" t="s">
        <v>84</v>
      </c>
      <c r="BS38" s="3">
        <v>45811</v>
      </c>
      <c r="BT38" s="4">
        <v>0.57708333333333328</v>
      </c>
      <c r="BU38" t="s">
        <v>265</v>
      </c>
      <c r="BV38" t="s">
        <v>90</v>
      </c>
      <c r="BW38" t="s">
        <v>212</v>
      </c>
      <c r="BX38" t="s">
        <v>213</v>
      </c>
      <c r="BY38">
        <v>1200</v>
      </c>
      <c r="BZ38" t="s">
        <v>87</v>
      </c>
      <c r="CA38" t="s">
        <v>179</v>
      </c>
      <c r="CC38" t="s">
        <v>175</v>
      </c>
      <c r="CD38">
        <v>3610</v>
      </c>
      <c r="CE38" t="s">
        <v>89</v>
      </c>
      <c r="CF38" s="3">
        <v>45812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"080065698017"</f>
        <v>080065698017</v>
      </c>
      <c r="F39" s="3">
        <v>45810</v>
      </c>
      <c r="G39">
        <v>202603</v>
      </c>
      <c r="H39" t="s">
        <v>75</v>
      </c>
      <c r="I39" t="s">
        <v>76</v>
      </c>
      <c r="J39" t="s">
        <v>77</v>
      </c>
      <c r="K39" t="s">
        <v>78</v>
      </c>
      <c r="L39" t="s">
        <v>266</v>
      </c>
      <c r="M39" t="s">
        <v>267</v>
      </c>
      <c r="N39" t="s">
        <v>268</v>
      </c>
      <c r="O39" t="s">
        <v>82</v>
      </c>
      <c r="P39" t="str">
        <f>"4170041669                    "</f>
        <v xml:space="preserve">4170041669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32.07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</v>
      </c>
      <c r="BJ39">
        <v>2.1</v>
      </c>
      <c r="BK39">
        <v>3</v>
      </c>
      <c r="BL39">
        <v>104.95</v>
      </c>
      <c r="BM39">
        <v>15.74</v>
      </c>
      <c r="BN39">
        <v>120.69</v>
      </c>
      <c r="BO39">
        <v>120.69</v>
      </c>
      <c r="BQ39" t="s">
        <v>269</v>
      </c>
      <c r="BR39" t="s">
        <v>84</v>
      </c>
      <c r="BS39" s="3">
        <v>45811</v>
      </c>
      <c r="BT39" s="4">
        <v>0.34583333333333333</v>
      </c>
      <c r="BU39" t="s">
        <v>270</v>
      </c>
      <c r="BV39" t="s">
        <v>86</v>
      </c>
      <c r="BY39">
        <v>10692</v>
      </c>
      <c r="BZ39" t="s">
        <v>87</v>
      </c>
      <c r="CA39" t="s">
        <v>271</v>
      </c>
      <c r="CC39" t="s">
        <v>267</v>
      </c>
      <c r="CD39">
        <v>6229</v>
      </c>
      <c r="CE39" t="s">
        <v>166</v>
      </c>
      <c r="CF39" s="3">
        <v>45811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"080065698037"</f>
        <v>080065698037</v>
      </c>
      <c r="F40" s="3">
        <v>45810</v>
      </c>
      <c r="G40">
        <v>202603</v>
      </c>
      <c r="H40" t="s">
        <v>75</v>
      </c>
      <c r="I40" t="s">
        <v>76</v>
      </c>
      <c r="J40" t="s">
        <v>77</v>
      </c>
      <c r="K40" t="s">
        <v>78</v>
      </c>
      <c r="L40" t="s">
        <v>75</v>
      </c>
      <c r="M40" t="s">
        <v>76</v>
      </c>
      <c r="N40" t="s">
        <v>272</v>
      </c>
      <c r="O40" t="s">
        <v>82</v>
      </c>
      <c r="P40" t="str">
        <f>"4170041683                    "</f>
        <v xml:space="preserve">4170041683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16.7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54.66</v>
      </c>
      <c r="BM40">
        <v>8.1999999999999993</v>
      </c>
      <c r="BN40">
        <v>62.86</v>
      </c>
      <c r="BO40">
        <v>62.86</v>
      </c>
      <c r="BQ40" t="s">
        <v>273</v>
      </c>
      <c r="BR40" t="s">
        <v>84</v>
      </c>
      <c r="BS40" s="3">
        <v>45811</v>
      </c>
      <c r="BT40" s="4">
        <v>0.43472222222222223</v>
      </c>
      <c r="BU40" t="s">
        <v>274</v>
      </c>
      <c r="BV40" t="s">
        <v>86</v>
      </c>
      <c r="BY40">
        <v>1200</v>
      </c>
      <c r="BZ40" t="s">
        <v>87</v>
      </c>
      <c r="CA40" t="s">
        <v>193</v>
      </c>
      <c r="CC40" t="s">
        <v>76</v>
      </c>
      <c r="CD40">
        <v>1600</v>
      </c>
      <c r="CE40" t="s">
        <v>89</v>
      </c>
      <c r="CF40" s="3">
        <v>45811</v>
      </c>
      <c r="CI40">
        <v>1</v>
      </c>
      <c r="CJ40">
        <v>1</v>
      </c>
      <c r="CK40">
        <v>22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"080065698055"</f>
        <v>080065698055</v>
      </c>
      <c r="F41" s="3">
        <v>45810</v>
      </c>
      <c r="G41">
        <v>202603</v>
      </c>
      <c r="H41" t="s">
        <v>75</v>
      </c>
      <c r="I41" t="s">
        <v>76</v>
      </c>
      <c r="J41" t="s">
        <v>77</v>
      </c>
      <c r="K41" t="s">
        <v>78</v>
      </c>
      <c r="L41" t="s">
        <v>75</v>
      </c>
      <c r="M41" t="s">
        <v>76</v>
      </c>
      <c r="N41" t="s">
        <v>275</v>
      </c>
      <c r="O41" t="s">
        <v>276</v>
      </c>
      <c r="P41" t="str">
        <f>"4170041520                    "</f>
        <v xml:space="preserve">4170041520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16.71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</v>
      </c>
      <c r="BJ41">
        <v>7</v>
      </c>
      <c r="BK41">
        <v>7</v>
      </c>
      <c r="BL41">
        <v>54.68</v>
      </c>
      <c r="BM41">
        <v>8.1999999999999993</v>
      </c>
      <c r="BN41">
        <v>62.88</v>
      </c>
      <c r="BO41">
        <v>62.88</v>
      </c>
      <c r="BQ41" t="s">
        <v>277</v>
      </c>
      <c r="BR41" t="s">
        <v>84</v>
      </c>
      <c r="BS41" s="3">
        <v>45811</v>
      </c>
      <c r="BT41" s="4">
        <v>0.4375</v>
      </c>
      <c r="BU41" t="s">
        <v>278</v>
      </c>
      <c r="BV41" t="s">
        <v>86</v>
      </c>
      <c r="BY41">
        <v>34800</v>
      </c>
      <c r="BZ41" t="s">
        <v>97</v>
      </c>
      <c r="CA41" t="s">
        <v>279</v>
      </c>
      <c r="CC41" t="s">
        <v>76</v>
      </c>
      <c r="CD41">
        <v>1614</v>
      </c>
      <c r="CE41" t="s">
        <v>166</v>
      </c>
      <c r="CF41" s="3">
        <v>45812</v>
      </c>
      <c r="CI41">
        <v>1</v>
      </c>
      <c r="CJ41">
        <v>1</v>
      </c>
      <c r="CK41">
        <v>32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"080065698063"</f>
        <v>080065698063</v>
      </c>
      <c r="F42" s="3">
        <v>45810</v>
      </c>
      <c r="G42">
        <v>202603</v>
      </c>
      <c r="H42" t="s">
        <v>75</v>
      </c>
      <c r="I42" t="s">
        <v>76</v>
      </c>
      <c r="J42" t="s">
        <v>77</v>
      </c>
      <c r="K42" t="s">
        <v>78</v>
      </c>
      <c r="L42" t="s">
        <v>154</v>
      </c>
      <c r="M42" t="s">
        <v>154</v>
      </c>
      <c r="N42" t="s">
        <v>155</v>
      </c>
      <c r="O42" t="s">
        <v>82</v>
      </c>
      <c r="P42" t="str">
        <f>"4170041675                    "</f>
        <v xml:space="preserve">4170041675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41.43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135.59</v>
      </c>
      <c r="BM42">
        <v>20.34</v>
      </c>
      <c r="BN42">
        <v>155.93</v>
      </c>
      <c r="BO42">
        <v>155.93</v>
      </c>
      <c r="BQ42" t="s">
        <v>156</v>
      </c>
      <c r="BR42" t="s">
        <v>84</v>
      </c>
      <c r="BS42" s="3">
        <v>45811</v>
      </c>
      <c r="BT42" s="4">
        <v>0.45833333333333331</v>
      </c>
      <c r="BU42" t="s">
        <v>157</v>
      </c>
      <c r="BV42" t="s">
        <v>86</v>
      </c>
      <c r="BY42">
        <v>1200</v>
      </c>
      <c r="BZ42" t="s">
        <v>87</v>
      </c>
      <c r="CA42" t="s">
        <v>158</v>
      </c>
      <c r="CC42" t="s">
        <v>154</v>
      </c>
      <c r="CD42">
        <v>7646</v>
      </c>
      <c r="CE42" t="s">
        <v>89</v>
      </c>
      <c r="CF42" s="3">
        <v>45812</v>
      </c>
      <c r="CI42">
        <v>1</v>
      </c>
      <c r="CJ42">
        <v>1</v>
      </c>
      <c r="CK42">
        <v>23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"080065698088"</f>
        <v>080065698088</v>
      </c>
      <c r="F43" s="3">
        <v>45810</v>
      </c>
      <c r="G43">
        <v>202603</v>
      </c>
      <c r="H43" t="s">
        <v>75</v>
      </c>
      <c r="I43" t="s">
        <v>76</v>
      </c>
      <c r="J43" t="s">
        <v>77</v>
      </c>
      <c r="K43" t="s">
        <v>78</v>
      </c>
      <c r="L43" t="s">
        <v>100</v>
      </c>
      <c r="M43" t="s">
        <v>101</v>
      </c>
      <c r="N43" t="s">
        <v>280</v>
      </c>
      <c r="O43" t="s">
        <v>82</v>
      </c>
      <c r="P43" t="str">
        <f>"4170041679                    "</f>
        <v xml:space="preserve">4170041679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21.38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69.98</v>
      </c>
      <c r="BM43">
        <v>10.5</v>
      </c>
      <c r="BN43">
        <v>80.48</v>
      </c>
      <c r="BO43">
        <v>80.48</v>
      </c>
      <c r="BQ43" t="s">
        <v>281</v>
      </c>
      <c r="BR43" t="s">
        <v>84</v>
      </c>
      <c r="BS43" s="3">
        <v>45811</v>
      </c>
      <c r="BT43" s="4">
        <v>0.35416666666666669</v>
      </c>
      <c r="BU43" t="s">
        <v>282</v>
      </c>
      <c r="BV43" t="s">
        <v>86</v>
      </c>
      <c r="BY43">
        <v>1200</v>
      </c>
      <c r="BZ43" t="s">
        <v>87</v>
      </c>
      <c r="CA43" t="s">
        <v>283</v>
      </c>
      <c r="CC43" t="s">
        <v>101</v>
      </c>
      <c r="CD43">
        <v>6001</v>
      </c>
      <c r="CE43" t="s">
        <v>89</v>
      </c>
      <c r="CF43" s="3">
        <v>45811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"080065698095"</f>
        <v>080065698095</v>
      </c>
      <c r="F44" s="3">
        <v>45810</v>
      </c>
      <c r="G44">
        <v>202603</v>
      </c>
      <c r="H44" t="s">
        <v>75</v>
      </c>
      <c r="I44" t="s">
        <v>76</v>
      </c>
      <c r="J44" t="s">
        <v>77</v>
      </c>
      <c r="K44" t="s">
        <v>78</v>
      </c>
      <c r="L44" t="s">
        <v>284</v>
      </c>
      <c r="M44" t="s">
        <v>285</v>
      </c>
      <c r="N44" t="s">
        <v>286</v>
      </c>
      <c r="O44" t="s">
        <v>82</v>
      </c>
      <c r="P44" t="str">
        <f>"4170041607                    "</f>
        <v xml:space="preserve">4170041607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16.7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0.9</v>
      </c>
      <c r="BK44">
        <v>1</v>
      </c>
      <c r="BL44">
        <v>54.66</v>
      </c>
      <c r="BM44">
        <v>8.1999999999999993</v>
      </c>
      <c r="BN44">
        <v>62.86</v>
      </c>
      <c r="BO44">
        <v>62.86</v>
      </c>
      <c r="BQ44" t="s">
        <v>287</v>
      </c>
      <c r="BR44" t="s">
        <v>84</v>
      </c>
      <c r="BS44" s="3">
        <v>45811</v>
      </c>
      <c r="BT44" s="4">
        <v>0.5</v>
      </c>
      <c r="BU44" t="s">
        <v>288</v>
      </c>
      <c r="BV44" t="s">
        <v>86</v>
      </c>
      <c r="BY44">
        <v>4275</v>
      </c>
      <c r="BZ44" t="s">
        <v>87</v>
      </c>
      <c r="CA44" t="s">
        <v>289</v>
      </c>
      <c r="CC44" t="s">
        <v>285</v>
      </c>
      <c r="CD44">
        <v>1559</v>
      </c>
      <c r="CE44" t="s">
        <v>180</v>
      </c>
      <c r="CF44" s="3">
        <v>45811</v>
      </c>
      <c r="CI44">
        <v>1</v>
      </c>
      <c r="CJ44">
        <v>1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"080065698127"</f>
        <v>080065698127</v>
      </c>
      <c r="F45" s="3">
        <v>45810</v>
      </c>
      <c r="G45">
        <v>202603</v>
      </c>
      <c r="H45" t="s">
        <v>75</v>
      </c>
      <c r="I45" t="s">
        <v>76</v>
      </c>
      <c r="J45" t="s">
        <v>77</v>
      </c>
      <c r="K45" t="s">
        <v>78</v>
      </c>
      <c r="L45" t="s">
        <v>91</v>
      </c>
      <c r="M45" t="s">
        <v>92</v>
      </c>
      <c r="N45" t="s">
        <v>93</v>
      </c>
      <c r="O45" t="s">
        <v>82</v>
      </c>
      <c r="P45" t="str">
        <f>"4170041602                    "</f>
        <v xml:space="preserve">4170041602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21.38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0.6</v>
      </c>
      <c r="BK45">
        <v>2</v>
      </c>
      <c r="BL45">
        <v>69.98</v>
      </c>
      <c r="BM45">
        <v>10.5</v>
      </c>
      <c r="BN45">
        <v>80.48</v>
      </c>
      <c r="BO45">
        <v>80.48</v>
      </c>
      <c r="BQ45" t="s">
        <v>95</v>
      </c>
      <c r="BR45" t="s">
        <v>84</v>
      </c>
      <c r="BS45" s="3">
        <v>45811</v>
      </c>
      <c r="BT45" s="4">
        <v>0.39583333333333331</v>
      </c>
      <c r="BU45" t="s">
        <v>290</v>
      </c>
      <c r="BV45" t="s">
        <v>86</v>
      </c>
      <c r="BY45">
        <v>3192</v>
      </c>
      <c r="BZ45" t="s">
        <v>87</v>
      </c>
      <c r="CA45" t="s">
        <v>291</v>
      </c>
      <c r="CC45" t="s">
        <v>92</v>
      </c>
      <c r="CD45">
        <v>7441</v>
      </c>
      <c r="CE45" t="s">
        <v>292</v>
      </c>
      <c r="CF45" s="3">
        <v>45812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"080065699117"</f>
        <v>080065699117</v>
      </c>
      <c r="F46" s="3">
        <v>45810</v>
      </c>
      <c r="G46">
        <v>202603</v>
      </c>
      <c r="H46" t="s">
        <v>75</v>
      </c>
      <c r="I46" t="s">
        <v>76</v>
      </c>
      <c r="J46" t="s">
        <v>77</v>
      </c>
      <c r="K46" t="s">
        <v>78</v>
      </c>
      <c r="L46" t="s">
        <v>293</v>
      </c>
      <c r="M46" t="s">
        <v>294</v>
      </c>
      <c r="N46" t="s">
        <v>295</v>
      </c>
      <c r="O46" t="s">
        <v>82</v>
      </c>
      <c r="P46" t="str">
        <f>"4170041745                    "</f>
        <v xml:space="preserve">4170041745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97.56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</v>
      </c>
      <c r="BJ46">
        <v>4.3</v>
      </c>
      <c r="BK46">
        <v>5</v>
      </c>
      <c r="BL46">
        <v>319.27999999999997</v>
      </c>
      <c r="BM46">
        <v>47.89</v>
      </c>
      <c r="BN46">
        <v>367.17</v>
      </c>
      <c r="BO46">
        <v>367.17</v>
      </c>
      <c r="BQ46" t="s">
        <v>296</v>
      </c>
      <c r="BR46" t="s">
        <v>84</v>
      </c>
      <c r="BS46" s="3">
        <v>45811</v>
      </c>
      <c r="BT46" s="4">
        <v>0.4</v>
      </c>
      <c r="BU46" t="s">
        <v>297</v>
      </c>
      <c r="BV46" t="s">
        <v>86</v>
      </c>
      <c r="BY46">
        <v>21489</v>
      </c>
      <c r="BZ46" t="s">
        <v>87</v>
      </c>
      <c r="CA46" t="s">
        <v>298</v>
      </c>
      <c r="CC46" t="s">
        <v>294</v>
      </c>
      <c r="CD46">
        <v>1939</v>
      </c>
      <c r="CE46" t="s">
        <v>99</v>
      </c>
      <c r="CF46" s="3">
        <v>45812</v>
      </c>
      <c r="CI46">
        <v>1</v>
      </c>
      <c r="CJ46">
        <v>1</v>
      </c>
      <c r="CK46">
        <v>23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"080065699133"</f>
        <v>080065699133</v>
      </c>
      <c r="F47" s="3">
        <v>45810</v>
      </c>
      <c r="G47">
        <v>202603</v>
      </c>
      <c r="H47" t="s">
        <v>75</v>
      </c>
      <c r="I47" t="s">
        <v>76</v>
      </c>
      <c r="J47" t="s">
        <v>77</v>
      </c>
      <c r="K47" t="s">
        <v>78</v>
      </c>
      <c r="L47" t="s">
        <v>174</v>
      </c>
      <c r="M47" t="s">
        <v>175</v>
      </c>
      <c r="N47" t="s">
        <v>299</v>
      </c>
      <c r="O47" t="s">
        <v>82</v>
      </c>
      <c r="P47" t="str">
        <f>"4170041604                    "</f>
        <v xml:space="preserve">4170041604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21.38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69.98</v>
      </c>
      <c r="BM47">
        <v>10.5</v>
      </c>
      <c r="BN47">
        <v>80.48</v>
      </c>
      <c r="BO47">
        <v>80.48</v>
      </c>
      <c r="BQ47" t="s">
        <v>300</v>
      </c>
      <c r="BR47" t="s">
        <v>84</v>
      </c>
      <c r="BS47" s="3">
        <v>45811</v>
      </c>
      <c r="BT47" s="4">
        <v>0.5625</v>
      </c>
      <c r="BU47" t="s">
        <v>301</v>
      </c>
      <c r="BV47" t="s">
        <v>90</v>
      </c>
      <c r="BW47" t="s">
        <v>212</v>
      </c>
      <c r="BX47" t="s">
        <v>213</v>
      </c>
      <c r="BY47">
        <v>1200</v>
      </c>
      <c r="BZ47" t="s">
        <v>87</v>
      </c>
      <c r="CA47" t="s">
        <v>179</v>
      </c>
      <c r="CC47" t="s">
        <v>175</v>
      </c>
      <c r="CD47">
        <v>3600</v>
      </c>
      <c r="CE47" t="s">
        <v>89</v>
      </c>
      <c r="CF47" s="3">
        <v>45812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"080065699187"</f>
        <v>080065699187</v>
      </c>
      <c r="F48" s="3">
        <v>45810</v>
      </c>
      <c r="G48">
        <v>202603</v>
      </c>
      <c r="H48" t="s">
        <v>75</v>
      </c>
      <c r="I48" t="s">
        <v>76</v>
      </c>
      <c r="J48" t="s">
        <v>77</v>
      </c>
      <c r="K48" t="s">
        <v>78</v>
      </c>
      <c r="L48" t="s">
        <v>302</v>
      </c>
      <c r="M48" t="s">
        <v>303</v>
      </c>
      <c r="N48" t="s">
        <v>304</v>
      </c>
      <c r="O48" t="s">
        <v>82</v>
      </c>
      <c r="P48" t="str">
        <f>"4170041718                    "</f>
        <v xml:space="preserve">4170041718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41.43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135.59</v>
      </c>
      <c r="BM48">
        <v>20.34</v>
      </c>
      <c r="BN48">
        <v>155.93</v>
      </c>
      <c r="BO48">
        <v>155.93</v>
      </c>
      <c r="BQ48" t="s">
        <v>305</v>
      </c>
      <c r="BR48" t="s">
        <v>84</v>
      </c>
      <c r="BS48" s="3">
        <v>45811</v>
      </c>
      <c r="BT48" s="4">
        <v>0.38124999999999998</v>
      </c>
      <c r="BU48" t="s">
        <v>306</v>
      </c>
      <c r="BV48" t="s">
        <v>86</v>
      </c>
      <c r="BY48">
        <v>1200</v>
      </c>
      <c r="BZ48" t="s">
        <v>87</v>
      </c>
      <c r="CC48" t="s">
        <v>303</v>
      </c>
      <c r="CD48">
        <v>299</v>
      </c>
      <c r="CE48" t="s">
        <v>89</v>
      </c>
      <c r="CF48" s="3">
        <v>45812</v>
      </c>
      <c r="CI48">
        <v>1</v>
      </c>
      <c r="CJ48">
        <v>1</v>
      </c>
      <c r="CK48">
        <v>23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"080065699190"</f>
        <v>080065699190</v>
      </c>
      <c r="F49" s="3">
        <v>45810</v>
      </c>
      <c r="G49">
        <v>202603</v>
      </c>
      <c r="H49" t="s">
        <v>75</v>
      </c>
      <c r="I49" t="s">
        <v>76</v>
      </c>
      <c r="J49" t="s">
        <v>77</v>
      </c>
      <c r="K49" t="s">
        <v>78</v>
      </c>
      <c r="L49" t="s">
        <v>100</v>
      </c>
      <c r="M49" t="s">
        <v>101</v>
      </c>
      <c r="N49" t="s">
        <v>123</v>
      </c>
      <c r="O49" t="s">
        <v>82</v>
      </c>
      <c r="P49" t="str">
        <f>"4170041722                    "</f>
        <v xml:space="preserve">4170041722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42.75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</v>
      </c>
      <c r="BJ49">
        <v>1.9</v>
      </c>
      <c r="BK49">
        <v>4</v>
      </c>
      <c r="BL49">
        <v>139.91</v>
      </c>
      <c r="BM49">
        <v>20.99</v>
      </c>
      <c r="BN49">
        <v>160.9</v>
      </c>
      <c r="BO49">
        <v>160.9</v>
      </c>
      <c r="BQ49" t="s">
        <v>124</v>
      </c>
      <c r="BR49" t="s">
        <v>84</v>
      </c>
      <c r="BS49" s="3">
        <v>45811</v>
      </c>
      <c r="BT49" s="4">
        <v>0.35902777777777778</v>
      </c>
      <c r="BU49" t="s">
        <v>234</v>
      </c>
      <c r="BV49" t="s">
        <v>86</v>
      </c>
      <c r="BY49">
        <v>9600</v>
      </c>
      <c r="BZ49" t="s">
        <v>87</v>
      </c>
      <c r="CA49" t="s">
        <v>235</v>
      </c>
      <c r="CC49" t="s">
        <v>101</v>
      </c>
      <c r="CD49">
        <v>6001</v>
      </c>
      <c r="CE49" t="s">
        <v>99</v>
      </c>
      <c r="CF49" s="3">
        <v>45811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"080065699223"</f>
        <v>080065699223</v>
      </c>
      <c r="F50" s="3">
        <v>45810</v>
      </c>
      <c r="G50">
        <v>202603</v>
      </c>
      <c r="H50" t="s">
        <v>75</v>
      </c>
      <c r="I50" t="s">
        <v>76</v>
      </c>
      <c r="J50" t="s">
        <v>77</v>
      </c>
      <c r="K50" t="s">
        <v>78</v>
      </c>
      <c r="L50" t="s">
        <v>154</v>
      </c>
      <c r="M50" t="s">
        <v>154</v>
      </c>
      <c r="N50" t="s">
        <v>155</v>
      </c>
      <c r="O50" t="s">
        <v>82</v>
      </c>
      <c r="P50" t="str">
        <f>"4170041677                    "</f>
        <v xml:space="preserve">4170041677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41.43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135.59</v>
      </c>
      <c r="BM50">
        <v>20.34</v>
      </c>
      <c r="BN50">
        <v>155.93</v>
      </c>
      <c r="BO50">
        <v>155.93</v>
      </c>
      <c r="BQ50" t="s">
        <v>156</v>
      </c>
      <c r="BR50" t="s">
        <v>84</v>
      </c>
      <c r="BS50" s="3">
        <v>45811</v>
      </c>
      <c r="BT50" s="4">
        <v>0.45833333333333331</v>
      </c>
      <c r="BU50" t="s">
        <v>157</v>
      </c>
      <c r="BV50" t="s">
        <v>86</v>
      </c>
      <c r="BY50">
        <v>1200</v>
      </c>
      <c r="BZ50" t="s">
        <v>87</v>
      </c>
      <c r="CA50" t="s">
        <v>158</v>
      </c>
      <c r="CC50" t="s">
        <v>154</v>
      </c>
      <c r="CD50">
        <v>7646</v>
      </c>
      <c r="CE50" t="s">
        <v>89</v>
      </c>
      <c r="CF50" s="3">
        <v>45812</v>
      </c>
      <c r="CI50">
        <v>1</v>
      </c>
      <c r="CJ50">
        <v>1</v>
      </c>
      <c r="CK50">
        <v>23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"080065699237"</f>
        <v>080065699237</v>
      </c>
      <c r="F51" s="3">
        <v>45810</v>
      </c>
      <c r="G51">
        <v>202603</v>
      </c>
      <c r="H51" t="s">
        <v>75</v>
      </c>
      <c r="I51" t="s">
        <v>76</v>
      </c>
      <c r="J51" t="s">
        <v>77</v>
      </c>
      <c r="K51" t="s">
        <v>78</v>
      </c>
      <c r="L51" t="s">
        <v>91</v>
      </c>
      <c r="M51" t="s">
        <v>92</v>
      </c>
      <c r="N51" t="s">
        <v>307</v>
      </c>
      <c r="O51" t="s">
        <v>82</v>
      </c>
      <c r="P51" t="str">
        <f>"4170041686                    "</f>
        <v xml:space="preserve">4170041686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21.38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1.3</v>
      </c>
      <c r="BK51">
        <v>2</v>
      </c>
      <c r="BL51">
        <v>69.98</v>
      </c>
      <c r="BM51">
        <v>10.5</v>
      </c>
      <c r="BN51">
        <v>80.48</v>
      </c>
      <c r="BO51">
        <v>80.48</v>
      </c>
      <c r="BQ51" t="s">
        <v>308</v>
      </c>
      <c r="BR51" t="s">
        <v>84</v>
      </c>
      <c r="BS51" s="3">
        <v>45811</v>
      </c>
      <c r="BT51" s="4">
        <v>0.40625</v>
      </c>
      <c r="BU51" t="s">
        <v>309</v>
      </c>
      <c r="BV51" t="s">
        <v>86</v>
      </c>
      <c r="BY51">
        <v>6384</v>
      </c>
      <c r="BZ51" t="s">
        <v>87</v>
      </c>
      <c r="CA51" t="s">
        <v>310</v>
      </c>
      <c r="CC51" t="s">
        <v>92</v>
      </c>
      <c r="CD51">
        <v>7480</v>
      </c>
      <c r="CE51" t="s">
        <v>99</v>
      </c>
      <c r="CF51" s="3">
        <v>45812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"080065699268"</f>
        <v>080065699268</v>
      </c>
      <c r="F52" s="3">
        <v>45810</v>
      </c>
      <c r="G52">
        <v>202603</v>
      </c>
      <c r="H52" t="s">
        <v>75</v>
      </c>
      <c r="I52" t="s">
        <v>76</v>
      </c>
      <c r="J52" t="s">
        <v>77</v>
      </c>
      <c r="K52" t="s">
        <v>78</v>
      </c>
      <c r="L52" t="s">
        <v>311</v>
      </c>
      <c r="M52" t="s">
        <v>312</v>
      </c>
      <c r="N52" t="s">
        <v>313</v>
      </c>
      <c r="O52" t="s">
        <v>82</v>
      </c>
      <c r="P52" t="str">
        <f>"4170041712                    "</f>
        <v xml:space="preserve">4170041712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41.43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135.59</v>
      </c>
      <c r="BM52">
        <v>20.34</v>
      </c>
      <c r="BN52">
        <v>155.93</v>
      </c>
      <c r="BO52">
        <v>155.93</v>
      </c>
      <c r="BQ52" t="s">
        <v>314</v>
      </c>
      <c r="BR52" t="s">
        <v>84</v>
      </c>
      <c r="BS52" s="3">
        <v>45811</v>
      </c>
      <c r="BT52" s="4">
        <v>0.49305555555555558</v>
      </c>
      <c r="BU52" t="s">
        <v>315</v>
      </c>
      <c r="BV52" t="s">
        <v>86</v>
      </c>
      <c r="BY52">
        <v>1200</v>
      </c>
      <c r="BZ52" t="s">
        <v>87</v>
      </c>
      <c r="CA52" t="s">
        <v>316</v>
      </c>
      <c r="CC52" t="s">
        <v>312</v>
      </c>
      <c r="CD52">
        <v>1028</v>
      </c>
      <c r="CE52" t="s">
        <v>89</v>
      </c>
      <c r="CF52" s="3">
        <v>45811</v>
      </c>
      <c r="CI52">
        <v>1</v>
      </c>
      <c r="CJ52">
        <v>1</v>
      </c>
      <c r="CK52">
        <v>23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"080065699273"</f>
        <v>080065699273</v>
      </c>
      <c r="F53" s="3">
        <v>45810</v>
      </c>
      <c r="G53">
        <v>202603</v>
      </c>
      <c r="H53" t="s">
        <v>75</v>
      </c>
      <c r="I53" t="s">
        <v>76</v>
      </c>
      <c r="J53" t="s">
        <v>77</v>
      </c>
      <c r="K53" t="s">
        <v>78</v>
      </c>
      <c r="L53" t="s">
        <v>91</v>
      </c>
      <c r="M53" t="s">
        <v>92</v>
      </c>
      <c r="N53" t="s">
        <v>93</v>
      </c>
      <c r="O53" t="s">
        <v>82</v>
      </c>
      <c r="P53" t="str">
        <f>"4170041676                    "</f>
        <v xml:space="preserve">4170041676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37.409999999999997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</v>
      </c>
      <c r="BJ53">
        <v>3.1</v>
      </c>
      <c r="BK53">
        <v>3.5</v>
      </c>
      <c r="BL53">
        <v>122.43</v>
      </c>
      <c r="BM53">
        <v>18.36</v>
      </c>
      <c r="BN53">
        <v>140.79</v>
      </c>
      <c r="BO53">
        <v>140.79</v>
      </c>
      <c r="BQ53" t="s">
        <v>95</v>
      </c>
      <c r="BR53" t="s">
        <v>84</v>
      </c>
      <c r="BS53" s="3">
        <v>45811</v>
      </c>
      <c r="BT53" s="4">
        <v>0.39583333333333331</v>
      </c>
      <c r="BU53" t="s">
        <v>290</v>
      </c>
      <c r="BV53" t="s">
        <v>86</v>
      </c>
      <c r="BY53">
        <v>15360</v>
      </c>
      <c r="BZ53" t="s">
        <v>87</v>
      </c>
      <c r="CA53" t="s">
        <v>291</v>
      </c>
      <c r="CC53" t="s">
        <v>92</v>
      </c>
      <c r="CD53">
        <v>7441</v>
      </c>
      <c r="CE53" t="s">
        <v>99</v>
      </c>
      <c r="CF53" s="3">
        <v>45812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"080065699310"</f>
        <v>080065699310</v>
      </c>
      <c r="F54" s="3">
        <v>45810</v>
      </c>
      <c r="G54">
        <v>202603</v>
      </c>
      <c r="H54" t="s">
        <v>75</v>
      </c>
      <c r="I54" t="s">
        <v>76</v>
      </c>
      <c r="J54" t="s">
        <v>77</v>
      </c>
      <c r="K54" t="s">
        <v>78</v>
      </c>
      <c r="L54" t="s">
        <v>136</v>
      </c>
      <c r="M54" t="s">
        <v>137</v>
      </c>
      <c r="N54" t="s">
        <v>317</v>
      </c>
      <c r="O54" t="s">
        <v>82</v>
      </c>
      <c r="P54" t="str">
        <f>"4170041661                    "</f>
        <v xml:space="preserve">4170041661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21.38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69.98</v>
      </c>
      <c r="BM54">
        <v>10.5</v>
      </c>
      <c r="BN54">
        <v>80.48</v>
      </c>
      <c r="BO54">
        <v>80.48</v>
      </c>
      <c r="BQ54" t="s">
        <v>318</v>
      </c>
      <c r="BR54" t="s">
        <v>84</v>
      </c>
      <c r="BS54" s="3">
        <v>45811</v>
      </c>
      <c r="BT54" s="4">
        <v>0.52708333333333335</v>
      </c>
      <c r="BU54" t="s">
        <v>319</v>
      </c>
      <c r="BV54" t="s">
        <v>90</v>
      </c>
      <c r="BY54">
        <v>1200</v>
      </c>
      <c r="BZ54" t="s">
        <v>87</v>
      </c>
      <c r="CA54" t="s">
        <v>320</v>
      </c>
      <c r="CC54" t="s">
        <v>137</v>
      </c>
      <c r="CD54">
        <v>5201</v>
      </c>
      <c r="CE54" t="s">
        <v>89</v>
      </c>
      <c r="CF54" s="3">
        <v>45811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"080065699341"</f>
        <v>080065699341</v>
      </c>
      <c r="F55" s="3">
        <v>45810</v>
      </c>
      <c r="G55">
        <v>202603</v>
      </c>
      <c r="H55" t="s">
        <v>75</v>
      </c>
      <c r="I55" t="s">
        <v>76</v>
      </c>
      <c r="J55" t="s">
        <v>77</v>
      </c>
      <c r="K55" t="s">
        <v>78</v>
      </c>
      <c r="L55" t="s">
        <v>321</v>
      </c>
      <c r="M55" t="s">
        <v>322</v>
      </c>
      <c r="N55" t="s">
        <v>323</v>
      </c>
      <c r="O55" t="s">
        <v>82</v>
      </c>
      <c r="P55" t="str">
        <f>"4170041694                    "</f>
        <v xml:space="preserve">4170041694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52.04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3.1</v>
      </c>
      <c r="BK55">
        <v>3.5</v>
      </c>
      <c r="BL55">
        <v>170.31</v>
      </c>
      <c r="BM55">
        <v>25.55</v>
      </c>
      <c r="BN55">
        <v>195.86</v>
      </c>
      <c r="BO55">
        <v>195.86</v>
      </c>
      <c r="BQ55" t="s">
        <v>324</v>
      </c>
      <c r="BR55" t="s">
        <v>84</v>
      </c>
      <c r="BS55" s="3">
        <v>45811</v>
      </c>
      <c r="BT55" s="4">
        <v>0.36805555555555558</v>
      </c>
      <c r="BU55" t="s">
        <v>325</v>
      </c>
      <c r="BV55" t="s">
        <v>86</v>
      </c>
      <c r="BY55">
        <v>15360</v>
      </c>
      <c r="BZ55" t="s">
        <v>87</v>
      </c>
      <c r="CA55" t="s">
        <v>326</v>
      </c>
      <c r="CC55" t="s">
        <v>322</v>
      </c>
      <c r="CD55">
        <v>1438</v>
      </c>
      <c r="CE55" t="s">
        <v>99</v>
      </c>
      <c r="CF55" s="3">
        <v>45812</v>
      </c>
      <c r="CI55">
        <v>1</v>
      </c>
      <c r="CJ55">
        <v>1</v>
      </c>
      <c r="CK55">
        <v>24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"080065699351"</f>
        <v>080065699351</v>
      </c>
      <c r="F56" s="3">
        <v>45810</v>
      </c>
      <c r="G56">
        <v>202603</v>
      </c>
      <c r="H56" t="s">
        <v>75</v>
      </c>
      <c r="I56" t="s">
        <v>76</v>
      </c>
      <c r="J56" t="s">
        <v>77</v>
      </c>
      <c r="K56" t="s">
        <v>78</v>
      </c>
      <c r="L56" t="s">
        <v>91</v>
      </c>
      <c r="M56" t="s">
        <v>92</v>
      </c>
      <c r="N56" t="s">
        <v>327</v>
      </c>
      <c r="O56" t="s">
        <v>82</v>
      </c>
      <c r="P56" t="str">
        <f>"4170041606                    "</f>
        <v xml:space="preserve">4170041606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21.38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69.98</v>
      </c>
      <c r="BM56">
        <v>10.5</v>
      </c>
      <c r="BN56">
        <v>80.48</v>
      </c>
      <c r="BO56">
        <v>80.48</v>
      </c>
      <c r="BQ56" t="s">
        <v>328</v>
      </c>
      <c r="BR56" t="s">
        <v>84</v>
      </c>
      <c r="BS56" s="3">
        <v>45811</v>
      </c>
      <c r="BT56" s="4">
        <v>0.36805555555555558</v>
      </c>
      <c r="BU56" t="s">
        <v>329</v>
      </c>
      <c r="BV56" t="s">
        <v>86</v>
      </c>
      <c r="BY56">
        <v>1200</v>
      </c>
      <c r="BZ56" t="s">
        <v>87</v>
      </c>
      <c r="CA56" t="s">
        <v>330</v>
      </c>
      <c r="CC56" t="s">
        <v>92</v>
      </c>
      <c r="CD56">
        <v>7530</v>
      </c>
      <c r="CE56" t="s">
        <v>89</v>
      </c>
      <c r="CF56" s="3">
        <v>45812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"080065699388"</f>
        <v>080065699388</v>
      </c>
      <c r="F57" s="3">
        <v>45810</v>
      </c>
      <c r="G57">
        <v>202603</v>
      </c>
      <c r="H57" t="s">
        <v>75</v>
      </c>
      <c r="I57" t="s">
        <v>76</v>
      </c>
      <c r="J57" t="s">
        <v>77</v>
      </c>
      <c r="K57" t="s">
        <v>78</v>
      </c>
      <c r="L57" t="s">
        <v>331</v>
      </c>
      <c r="M57" t="s">
        <v>332</v>
      </c>
      <c r="N57" t="s">
        <v>333</v>
      </c>
      <c r="O57" t="s">
        <v>82</v>
      </c>
      <c r="P57" t="str">
        <f>"4170041704                    "</f>
        <v xml:space="preserve">4170041704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21.38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69.98</v>
      </c>
      <c r="BM57">
        <v>10.5</v>
      </c>
      <c r="BN57">
        <v>80.48</v>
      </c>
      <c r="BO57">
        <v>80.48</v>
      </c>
      <c r="BQ57" t="s">
        <v>334</v>
      </c>
      <c r="BR57" t="s">
        <v>84</v>
      </c>
      <c r="BS57" s="3">
        <v>45811</v>
      </c>
      <c r="BT57" s="4">
        <v>0.34791666666666665</v>
      </c>
      <c r="BU57" t="s">
        <v>335</v>
      </c>
      <c r="BV57" t="s">
        <v>86</v>
      </c>
      <c r="BY57">
        <v>1200</v>
      </c>
      <c r="BZ57" t="s">
        <v>87</v>
      </c>
      <c r="CA57" t="s">
        <v>336</v>
      </c>
      <c r="CC57" t="s">
        <v>332</v>
      </c>
      <c r="CD57">
        <v>4000</v>
      </c>
      <c r="CE57" t="s">
        <v>89</v>
      </c>
      <c r="CF57" s="3">
        <v>45811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"080065699416"</f>
        <v>080065699416</v>
      </c>
      <c r="F58" s="3">
        <v>45810</v>
      </c>
      <c r="G58">
        <v>202603</v>
      </c>
      <c r="H58" t="s">
        <v>75</v>
      </c>
      <c r="I58" t="s">
        <v>76</v>
      </c>
      <c r="J58" t="s">
        <v>77</v>
      </c>
      <c r="K58" t="s">
        <v>78</v>
      </c>
      <c r="L58" t="s">
        <v>106</v>
      </c>
      <c r="M58" t="s">
        <v>107</v>
      </c>
      <c r="N58" t="s">
        <v>236</v>
      </c>
      <c r="O58" t="s">
        <v>82</v>
      </c>
      <c r="P58" t="str">
        <f>"4170041609                    "</f>
        <v xml:space="preserve">4170041609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1.5</v>
      </c>
      <c r="BK58">
        <v>2</v>
      </c>
      <c r="BL58">
        <v>69.98</v>
      </c>
      <c r="BM58">
        <v>10.5</v>
      </c>
      <c r="BN58">
        <v>80.48</v>
      </c>
      <c r="BO58">
        <v>80.48</v>
      </c>
      <c r="BQ58" t="s">
        <v>237</v>
      </c>
      <c r="BR58" t="s">
        <v>84</v>
      </c>
      <c r="BS58" s="3">
        <v>45811</v>
      </c>
      <c r="BT58" s="4">
        <v>0.36458333333333331</v>
      </c>
      <c r="BU58" t="s">
        <v>238</v>
      </c>
      <c r="BV58" t="s">
        <v>86</v>
      </c>
      <c r="BY58">
        <v>7560</v>
      </c>
      <c r="BZ58" t="s">
        <v>87</v>
      </c>
      <c r="CA58" t="s">
        <v>111</v>
      </c>
      <c r="CC58" t="s">
        <v>107</v>
      </c>
      <c r="CD58">
        <v>200</v>
      </c>
      <c r="CE58" t="s">
        <v>166</v>
      </c>
      <c r="CF58" s="3">
        <v>45811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"080065699430"</f>
        <v>080065699430</v>
      </c>
      <c r="F59" s="3">
        <v>45810</v>
      </c>
      <c r="G59">
        <v>202603</v>
      </c>
      <c r="H59" t="s">
        <v>75</v>
      </c>
      <c r="I59" t="s">
        <v>76</v>
      </c>
      <c r="J59" t="s">
        <v>77</v>
      </c>
      <c r="K59" t="s">
        <v>78</v>
      </c>
      <c r="L59" t="s">
        <v>154</v>
      </c>
      <c r="M59" t="s">
        <v>154</v>
      </c>
      <c r="N59" t="s">
        <v>155</v>
      </c>
      <c r="O59" t="s">
        <v>82</v>
      </c>
      <c r="P59" t="str">
        <f>"4170041738                    "</f>
        <v xml:space="preserve">4170041738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41.43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135.59</v>
      </c>
      <c r="BM59">
        <v>20.34</v>
      </c>
      <c r="BN59">
        <v>155.93</v>
      </c>
      <c r="BO59">
        <v>155.93</v>
      </c>
      <c r="BQ59" t="s">
        <v>156</v>
      </c>
      <c r="BR59" t="s">
        <v>84</v>
      </c>
      <c r="BS59" s="3">
        <v>45811</v>
      </c>
      <c r="BT59" s="4">
        <v>0.45833333333333331</v>
      </c>
      <c r="BU59" t="s">
        <v>157</v>
      </c>
      <c r="BV59" t="s">
        <v>86</v>
      </c>
      <c r="BY59">
        <v>1200</v>
      </c>
      <c r="BZ59" t="s">
        <v>87</v>
      </c>
      <c r="CA59" t="s">
        <v>158</v>
      </c>
      <c r="CC59" t="s">
        <v>154</v>
      </c>
      <c r="CD59">
        <v>7646</v>
      </c>
      <c r="CE59" t="s">
        <v>89</v>
      </c>
      <c r="CF59" s="3">
        <v>45812</v>
      </c>
      <c r="CI59">
        <v>1</v>
      </c>
      <c r="CJ59">
        <v>1</v>
      </c>
      <c r="CK59">
        <v>23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"080065699475"</f>
        <v>080065699475</v>
      </c>
      <c r="F60" s="3">
        <v>45810</v>
      </c>
      <c r="G60">
        <v>202603</v>
      </c>
      <c r="H60" t="s">
        <v>75</v>
      </c>
      <c r="I60" t="s">
        <v>76</v>
      </c>
      <c r="J60" t="s">
        <v>77</v>
      </c>
      <c r="K60" t="s">
        <v>78</v>
      </c>
      <c r="L60" t="s">
        <v>174</v>
      </c>
      <c r="M60" t="s">
        <v>175</v>
      </c>
      <c r="N60" t="s">
        <v>337</v>
      </c>
      <c r="O60" t="s">
        <v>82</v>
      </c>
      <c r="P60" t="str">
        <f>"4170041700                    "</f>
        <v xml:space="preserve">4170041700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21.38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69.98</v>
      </c>
      <c r="BM60">
        <v>10.5</v>
      </c>
      <c r="BN60">
        <v>80.48</v>
      </c>
      <c r="BO60">
        <v>80.48</v>
      </c>
      <c r="BQ60" t="s">
        <v>338</v>
      </c>
      <c r="BR60" t="s">
        <v>84</v>
      </c>
      <c r="BS60" s="3">
        <v>45811</v>
      </c>
      <c r="BT60" s="4">
        <v>0.40763888888888888</v>
      </c>
      <c r="BU60" t="s">
        <v>339</v>
      </c>
      <c r="BV60" t="s">
        <v>86</v>
      </c>
      <c r="BY60">
        <v>1200</v>
      </c>
      <c r="BZ60" t="s">
        <v>87</v>
      </c>
      <c r="CA60" t="s">
        <v>340</v>
      </c>
      <c r="CC60" t="s">
        <v>175</v>
      </c>
      <c r="CD60">
        <v>3608</v>
      </c>
      <c r="CE60" t="s">
        <v>89</v>
      </c>
      <c r="CF60" s="3">
        <v>45812</v>
      </c>
      <c r="CI60">
        <v>1</v>
      </c>
      <c r="CJ60">
        <v>1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"080065699473"</f>
        <v>080065699473</v>
      </c>
      <c r="F61" s="3">
        <v>45810</v>
      </c>
      <c r="G61">
        <v>202603</v>
      </c>
      <c r="H61" t="s">
        <v>75</v>
      </c>
      <c r="I61" t="s">
        <v>76</v>
      </c>
      <c r="J61" t="s">
        <v>77</v>
      </c>
      <c r="K61" t="s">
        <v>78</v>
      </c>
      <c r="L61" t="s">
        <v>91</v>
      </c>
      <c r="M61" t="s">
        <v>92</v>
      </c>
      <c r="N61" t="s">
        <v>327</v>
      </c>
      <c r="O61" t="s">
        <v>82</v>
      </c>
      <c r="P61" t="str">
        <f>"4170041659                    "</f>
        <v xml:space="preserve">4170041659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90.82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</v>
      </c>
      <c r="BJ61">
        <v>8.5</v>
      </c>
      <c r="BK61">
        <v>8.5</v>
      </c>
      <c r="BL61">
        <v>297.24</v>
      </c>
      <c r="BM61">
        <v>44.59</v>
      </c>
      <c r="BN61">
        <v>341.83</v>
      </c>
      <c r="BO61">
        <v>341.83</v>
      </c>
      <c r="BQ61" t="s">
        <v>328</v>
      </c>
      <c r="BR61" t="s">
        <v>84</v>
      </c>
      <c r="BS61" s="3">
        <v>45811</v>
      </c>
      <c r="BT61" s="4">
        <v>0.36805555555555558</v>
      </c>
      <c r="BU61" t="s">
        <v>329</v>
      </c>
      <c r="BV61" t="s">
        <v>86</v>
      </c>
      <c r="BY61">
        <v>42560</v>
      </c>
      <c r="BZ61" t="s">
        <v>87</v>
      </c>
      <c r="CA61" t="s">
        <v>330</v>
      </c>
      <c r="CC61" t="s">
        <v>92</v>
      </c>
      <c r="CD61">
        <v>7530</v>
      </c>
      <c r="CE61" t="s">
        <v>166</v>
      </c>
      <c r="CF61" s="3">
        <v>45812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"080065699534"</f>
        <v>080065699534</v>
      </c>
      <c r="F62" s="3">
        <v>45810</v>
      </c>
      <c r="G62">
        <v>202603</v>
      </c>
      <c r="H62" t="s">
        <v>75</v>
      </c>
      <c r="I62" t="s">
        <v>76</v>
      </c>
      <c r="J62" t="s">
        <v>77</v>
      </c>
      <c r="K62" t="s">
        <v>78</v>
      </c>
      <c r="L62" t="s">
        <v>91</v>
      </c>
      <c r="M62" t="s">
        <v>92</v>
      </c>
      <c r="N62" t="s">
        <v>341</v>
      </c>
      <c r="O62" t="s">
        <v>82</v>
      </c>
      <c r="P62" t="str">
        <f>"4170041716                    "</f>
        <v xml:space="preserve">4170041716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69.98</v>
      </c>
      <c r="BM62">
        <v>10.5</v>
      </c>
      <c r="BN62">
        <v>80.48</v>
      </c>
      <c r="BO62">
        <v>80.48</v>
      </c>
      <c r="BQ62" t="s">
        <v>342</v>
      </c>
      <c r="BR62" t="s">
        <v>84</v>
      </c>
      <c r="BS62" s="3">
        <v>45811</v>
      </c>
      <c r="BT62" s="4">
        <v>0.50069444444444444</v>
      </c>
      <c r="BU62" t="s">
        <v>343</v>
      </c>
      <c r="BV62" t="s">
        <v>90</v>
      </c>
      <c r="BW62" t="s">
        <v>144</v>
      </c>
      <c r="BX62" t="s">
        <v>344</v>
      </c>
      <c r="BY62">
        <v>1200</v>
      </c>
      <c r="BZ62" t="s">
        <v>87</v>
      </c>
      <c r="CC62" t="s">
        <v>92</v>
      </c>
      <c r="CD62">
        <v>7535</v>
      </c>
      <c r="CE62" t="s">
        <v>89</v>
      </c>
      <c r="CF62" s="3">
        <v>45812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"080065699547"</f>
        <v>080065699547</v>
      </c>
      <c r="F63" s="3">
        <v>45810</v>
      </c>
      <c r="G63">
        <v>202603</v>
      </c>
      <c r="H63" t="s">
        <v>75</v>
      </c>
      <c r="I63" t="s">
        <v>76</v>
      </c>
      <c r="J63" t="s">
        <v>77</v>
      </c>
      <c r="K63" t="s">
        <v>78</v>
      </c>
      <c r="L63" t="s">
        <v>100</v>
      </c>
      <c r="M63" t="s">
        <v>101</v>
      </c>
      <c r="N63" t="s">
        <v>345</v>
      </c>
      <c r="O63" t="s">
        <v>82</v>
      </c>
      <c r="P63" t="str">
        <f>"4170041617                    "</f>
        <v xml:space="preserve">4170041617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1.9</v>
      </c>
      <c r="BK63">
        <v>2</v>
      </c>
      <c r="BL63">
        <v>69.98</v>
      </c>
      <c r="BM63">
        <v>10.5</v>
      </c>
      <c r="BN63">
        <v>80.48</v>
      </c>
      <c r="BO63">
        <v>80.48</v>
      </c>
      <c r="BQ63" t="s">
        <v>346</v>
      </c>
      <c r="BR63" t="s">
        <v>84</v>
      </c>
      <c r="BS63" s="3">
        <v>45811</v>
      </c>
      <c r="BT63" s="4">
        <v>0.39027777777777778</v>
      </c>
      <c r="BU63" t="s">
        <v>347</v>
      </c>
      <c r="BV63" t="s">
        <v>86</v>
      </c>
      <c r="BY63">
        <v>9690</v>
      </c>
      <c r="BZ63" t="s">
        <v>87</v>
      </c>
      <c r="CA63" t="s">
        <v>348</v>
      </c>
      <c r="CC63" t="s">
        <v>101</v>
      </c>
      <c r="CD63">
        <v>6000</v>
      </c>
      <c r="CE63" t="s">
        <v>180</v>
      </c>
      <c r="CF63" s="3">
        <v>45811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"080065699618"</f>
        <v>080065699618</v>
      </c>
      <c r="F64" s="3">
        <v>45810</v>
      </c>
      <c r="G64">
        <v>202603</v>
      </c>
      <c r="H64" t="s">
        <v>75</v>
      </c>
      <c r="I64" t="s">
        <v>76</v>
      </c>
      <c r="J64" t="s">
        <v>77</v>
      </c>
      <c r="K64" t="s">
        <v>78</v>
      </c>
      <c r="L64" t="s">
        <v>284</v>
      </c>
      <c r="M64" t="s">
        <v>285</v>
      </c>
      <c r="N64" t="s">
        <v>286</v>
      </c>
      <c r="O64" t="s">
        <v>276</v>
      </c>
      <c r="P64" t="str">
        <f>"4170041547                    "</f>
        <v xml:space="preserve">4170041547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18.579999999999998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9</v>
      </c>
      <c r="BJ64">
        <v>5.2</v>
      </c>
      <c r="BK64">
        <v>9</v>
      </c>
      <c r="BL64">
        <v>60.81</v>
      </c>
      <c r="BM64">
        <v>9.1199999999999992</v>
      </c>
      <c r="BN64">
        <v>69.930000000000007</v>
      </c>
      <c r="BO64">
        <v>69.930000000000007</v>
      </c>
      <c r="BQ64" t="s">
        <v>287</v>
      </c>
      <c r="BR64" t="s">
        <v>84</v>
      </c>
      <c r="BS64" s="3">
        <v>45811</v>
      </c>
      <c r="BT64" s="4">
        <v>0.50069444444444444</v>
      </c>
      <c r="BU64" t="s">
        <v>349</v>
      </c>
      <c r="BV64" t="s">
        <v>86</v>
      </c>
      <c r="BY64">
        <v>26013</v>
      </c>
      <c r="BZ64" t="s">
        <v>97</v>
      </c>
      <c r="CA64" t="s">
        <v>289</v>
      </c>
      <c r="CC64" t="s">
        <v>285</v>
      </c>
      <c r="CD64">
        <v>1559</v>
      </c>
      <c r="CE64" t="s">
        <v>99</v>
      </c>
      <c r="CF64" s="3">
        <v>45811</v>
      </c>
      <c r="CI64">
        <v>1</v>
      </c>
      <c r="CJ64">
        <v>1</v>
      </c>
      <c r="CK64">
        <v>32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"080065699663"</f>
        <v>080065699663</v>
      </c>
      <c r="F65" s="3">
        <v>45810</v>
      </c>
      <c r="G65">
        <v>202603</v>
      </c>
      <c r="H65" t="s">
        <v>75</v>
      </c>
      <c r="I65" t="s">
        <v>76</v>
      </c>
      <c r="J65" t="s">
        <v>77</v>
      </c>
      <c r="K65" t="s">
        <v>78</v>
      </c>
      <c r="L65" t="s">
        <v>174</v>
      </c>
      <c r="M65" t="s">
        <v>175</v>
      </c>
      <c r="N65" t="s">
        <v>337</v>
      </c>
      <c r="O65" t="s">
        <v>82</v>
      </c>
      <c r="P65" t="str">
        <f>"4170041668                    "</f>
        <v xml:space="preserve">4170041668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53.43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</v>
      </c>
      <c r="BJ65">
        <v>2</v>
      </c>
      <c r="BK65">
        <v>5</v>
      </c>
      <c r="BL65">
        <v>174.87</v>
      </c>
      <c r="BM65">
        <v>26.23</v>
      </c>
      <c r="BN65">
        <v>201.1</v>
      </c>
      <c r="BO65">
        <v>201.1</v>
      </c>
      <c r="BQ65" t="s">
        <v>338</v>
      </c>
      <c r="BR65" t="s">
        <v>84</v>
      </c>
      <c r="BS65" s="3">
        <v>45811</v>
      </c>
      <c r="BT65" s="4">
        <v>0.40763888888888888</v>
      </c>
      <c r="BU65" t="s">
        <v>339</v>
      </c>
      <c r="BV65" t="s">
        <v>86</v>
      </c>
      <c r="BY65">
        <v>10000</v>
      </c>
      <c r="BZ65" t="s">
        <v>87</v>
      </c>
      <c r="CA65" t="s">
        <v>340</v>
      </c>
      <c r="CC65" t="s">
        <v>175</v>
      </c>
      <c r="CD65">
        <v>3608</v>
      </c>
      <c r="CE65" t="s">
        <v>166</v>
      </c>
      <c r="CF65" s="3">
        <v>45812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"080065700043"</f>
        <v>080065700043</v>
      </c>
      <c r="F66" s="3">
        <v>45810</v>
      </c>
      <c r="G66">
        <v>202603</v>
      </c>
      <c r="H66" t="s">
        <v>75</v>
      </c>
      <c r="I66" t="s">
        <v>76</v>
      </c>
      <c r="J66" t="s">
        <v>77</v>
      </c>
      <c r="K66" t="s">
        <v>78</v>
      </c>
      <c r="L66" t="s">
        <v>350</v>
      </c>
      <c r="M66" t="s">
        <v>351</v>
      </c>
      <c r="N66" t="s">
        <v>352</v>
      </c>
      <c r="O66" t="s">
        <v>82</v>
      </c>
      <c r="P66" t="str">
        <f>"4170041770                    "</f>
        <v xml:space="preserve">4170041770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32.07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2</v>
      </c>
      <c r="BJ66">
        <v>2.8</v>
      </c>
      <c r="BK66">
        <v>3</v>
      </c>
      <c r="BL66">
        <v>104.95</v>
      </c>
      <c r="BM66">
        <v>15.74</v>
      </c>
      <c r="BN66">
        <v>120.69</v>
      </c>
      <c r="BO66">
        <v>120.69</v>
      </c>
      <c r="BQ66" t="s">
        <v>353</v>
      </c>
      <c r="BR66" t="s">
        <v>84</v>
      </c>
      <c r="BS66" s="3">
        <v>45811</v>
      </c>
      <c r="BT66" s="4">
        <v>0.36666666666666664</v>
      </c>
      <c r="BU66" t="s">
        <v>354</v>
      </c>
      <c r="BV66" t="s">
        <v>86</v>
      </c>
      <c r="BY66">
        <v>13832</v>
      </c>
      <c r="BZ66" t="s">
        <v>87</v>
      </c>
      <c r="CA66" t="s">
        <v>355</v>
      </c>
      <c r="CC66" t="s">
        <v>351</v>
      </c>
      <c r="CD66">
        <v>157</v>
      </c>
      <c r="CE66" t="s">
        <v>180</v>
      </c>
      <c r="CF66" s="3">
        <v>45811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"080065700113"</f>
        <v>080065700113</v>
      </c>
      <c r="F67" s="3">
        <v>45810</v>
      </c>
      <c r="G67">
        <v>202603</v>
      </c>
      <c r="H67" t="s">
        <v>75</v>
      </c>
      <c r="I67" t="s">
        <v>76</v>
      </c>
      <c r="J67" t="s">
        <v>77</v>
      </c>
      <c r="K67" t="s">
        <v>78</v>
      </c>
      <c r="L67" t="s">
        <v>91</v>
      </c>
      <c r="M67" t="s">
        <v>92</v>
      </c>
      <c r="N67" t="s">
        <v>327</v>
      </c>
      <c r="O67" t="s">
        <v>82</v>
      </c>
      <c r="P67" t="str">
        <f>"4170041764                    "</f>
        <v xml:space="preserve">4170041764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21.38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0.6</v>
      </c>
      <c r="BK67">
        <v>1</v>
      </c>
      <c r="BL67">
        <v>69.98</v>
      </c>
      <c r="BM67">
        <v>10.5</v>
      </c>
      <c r="BN67">
        <v>80.48</v>
      </c>
      <c r="BO67">
        <v>80.48</v>
      </c>
      <c r="BQ67" t="s">
        <v>328</v>
      </c>
      <c r="BR67" t="s">
        <v>84</v>
      </c>
      <c r="BS67" s="3">
        <v>45811</v>
      </c>
      <c r="BT67" s="4">
        <v>0.36805555555555558</v>
      </c>
      <c r="BU67" t="s">
        <v>329</v>
      </c>
      <c r="BV67" t="s">
        <v>86</v>
      </c>
      <c r="BY67">
        <v>3192</v>
      </c>
      <c r="BZ67" t="s">
        <v>87</v>
      </c>
      <c r="CA67" t="s">
        <v>330</v>
      </c>
      <c r="CC67" t="s">
        <v>92</v>
      </c>
      <c r="CD67">
        <v>7530</v>
      </c>
      <c r="CE67" t="s">
        <v>180</v>
      </c>
      <c r="CF67" s="3">
        <v>45812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"080065700085"</f>
        <v>080065700085</v>
      </c>
      <c r="F68" s="3">
        <v>45810</v>
      </c>
      <c r="G68">
        <v>202603</v>
      </c>
      <c r="H68" t="s">
        <v>75</v>
      </c>
      <c r="I68" t="s">
        <v>76</v>
      </c>
      <c r="J68" t="s">
        <v>77</v>
      </c>
      <c r="K68" t="s">
        <v>78</v>
      </c>
      <c r="L68" t="s">
        <v>174</v>
      </c>
      <c r="M68" t="s">
        <v>175</v>
      </c>
      <c r="N68" t="s">
        <v>356</v>
      </c>
      <c r="O68" t="s">
        <v>94</v>
      </c>
      <c r="P68" t="str">
        <f>"4170041757                    "</f>
        <v xml:space="preserve">4170041757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41.35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</v>
      </c>
      <c r="BJ68">
        <v>2.6</v>
      </c>
      <c r="BK68">
        <v>3</v>
      </c>
      <c r="BL68">
        <v>140.9</v>
      </c>
      <c r="BM68">
        <v>21.14</v>
      </c>
      <c r="BN68">
        <v>162.04</v>
      </c>
      <c r="BO68">
        <v>162.04</v>
      </c>
      <c r="BQ68" t="s">
        <v>357</v>
      </c>
      <c r="BR68" t="s">
        <v>84</v>
      </c>
      <c r="BS68" s="3">
        <v>45811</v>
      </c>
      <c r="BT68" s="4">
        <v>0.46458333333333335</v>
      </c>
      <c r="BU68" t="s">
        <v>358</v>
      </c>
      <c r="BV68" t="s">
        <v>86</v>
      </c>
      <c r="BY68">
        <v>12768</v>
      </c>
      <c r="BZ68" t="s">
        <v>97</v>
      </c>
      <c r="CA68" t="s">
        <v>359</v>
      </c>
      <c r="CC68" t="s">
        <v>175</v>
      </c>
      <c r="CD68">
        <v>3610</v>
      </c>
      <c r="CE68" t="s">
        <v>360</v>
      </c>
      <c r="CF68" s="3">
        <v>45811</v>
      </c>
      <c r="CI68">
        <v>1</v>
      </c>
      <c r="CJ68">
        <v>1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"080065700117"</f>
        <v>080065700117</v>
      </c>
      <c r="F69" s="3">
        <v>45810</v>
      </c>
      <c r="G69">
        <v>202603</v>
      </c>
      <c r="H69" t="s">
        <v>75</v>
      </c>
      <c r="I69" t="s">
        <v>76</v>
      </c>
      <c r="J69" t="s">
        <v>77</v>
      </c>
      <c r="K69" t="s">
        <v>78</v>
      </c>
      <c r="L69" t="s">
        <v>91</v>
      </c>
      <c r="M69" t="s">
        <v>92</v>
      </c>
      <c r="N69" t="s">
        <v>93</v>
      </c>
      <c r="O69" t="s">
        <v>82</v>
      </c>
      <c r="P69" t="str">
        <f>"4170041697                    "</f>
        <v xml:space="preserve">4170041697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21.38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69.98</v>
      </c>
      <c r="BM69">
        <v>10.5</v>
      </c>
      <c r="BN69">
        <v>80.48</v>
      </c>
      <c r="BO69">
        <v>80.48</v>
      </c>
      <c r="BQ69" t="s">
        <v>95</v>
      </c>
      <c r="BR69" t="s">
        <v>84</v>
      </c>
      <c r="BS69" s="3">
        <v>45811</v>
      </c>
      <c r="BT69" s="4">
        <v>0.39652777777777776</v>
      </c>
      <c r="BU69" t="s">
        <v>290</v>
      </c>
      <c r="BV69" t="s">
        <v>86</v>
      </c>
      <c r="BY69">
        <v>1200</v>
      </c>
      <c r="BZ69" t="s">
        <v>87</v>
      </c>
      <c r="CA69" t="s">
        <v>291</v>
      </c>
      <c r="CC69" t="s">
        <v>92</v>
      </c>
      <c r="CD69">
        <v>7441</v>
      </c>
      <c r="CE69" t="s">
        <v>89</v>
      </c>
      <c r="CF69" s="3">
        <v>45812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"080065700129"</f>
        <v>080065700129</v>
      </c>
      <c r="F70" s="3">
        <v>45810</v>
      </c>
      <c r="G70">
        <v>202603</v>
      </c>
      <c r="H70" t="s">
        <v>75</v>
      </c>
      <c r="I70" t="s">
        <v>76</v>
      </c>
      <c r="J70" t="s">
        <v>77</v>
      </c>
      <c r="K70" t="s">
        <v>78</v>
      </c>
      <c r="L70" t="s">
        <v>116</v>
      </c>
      <c r="M70" t="s">
        <v>117</v>
      </c>
      <c r="N70" t="s">
        <v>183</v>
      </c>
      <c r="O70" t="s">
        <v>82</v>
      </c>
      <c r="P70" t="str">
        <f>"4170041729                    "</f>
        <v xml:space="preserve">4170041729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21.38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69.98</v>
      </c>
      <c r="BM70">
        <v>10.5</v>
      </c>
      <c r="BN70">
        <v>80.48</v>
      </c>
      <c r="BO70">
        <v>80.48</v>
      </c>
      <c r="BQ70" t="s">
        <v>184</v>
      </c>
      <c r="BR70" t="s">
        <v>84</v>
      </c>
      <c r="BS70" s="3">
        <v>45812</v>
      </c>
      <c r="BT70" s="4">
        <v>0.41666666666666669</v>
      </c>
      <c r="BU70" t="s">
        <v>185</v>
      </c>
      <c r="BV70" t="s">
        <v>86</v>
      </c>
      <c r="BY70">
        <v>1200</v>
      </c>
      <c r="BZ70" t="s">
        <v>87</v>
      </c>
      <c r="CA70" t="s">
        <v>186</v>
      </c>
      <c r="CC70" t="s">
        <v>117</v>
      </c>
      <c r="CD70">
        <v>3212</v>
      </c>
      <c r="CE70" t="s">
        <v>89</v>
      </c>
      <c r="CF70" s="3">
        <v>45813</v>
      </c>
      <c r="CI70">
        <v>2</v>
      </c>
      <c r="CJ70">
        <v>2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"080065700137"</f>
        <v>080065700137</v>
      </c>
      <c r="F71" s="3">
        <v>45810</v>
      </c>
      <c r="G71">
        <v>202603</v>
      </c>
      <c r="H71" t="s">
        <v>75</v>
      </c>
      <c r="I71" t="s">
        <v>76</v>
      </c>
      <c r="J71" t="s">
        <v>77</v>
      </c>
      <c r="K71" t="s">
        <v>78</v>
      </c>
      <c r="L71" t="s">
        <v>116</v>
      </c>
      <c r="M71" t="s">
        <v>117</v>
      </c>
      <c r="N71" t="s">
        <v>183</v>
      </c>
      <c r="O71" t="s">
        <v>82</v>
      </c>
      <c r="P71" t="str">
        <f>"4170041685                    "</f>
        <v xml:space="preserve">4170041685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64.12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6</v>
      </c>
      <c r="BJ71">
        <v>1.7</v>
      </c>
      <c r="BK71">
        <v>6</v>
      </c>
      <c r="BL71">
        <v>209.84</v>
      </c>
      <c r="BM71">
        <v>31.48</v>
      </c>
      <c r="BN71">
        <v>241.32</v>
      </c>
      <c r="BO71">
        <v>241.32</v>
      </c>
      <c r="BQ71" t="s">
        <v>184</v>
      </c>
      <c r="BR71" t="s">
        <v>84</v>
      </c>
      <c r="BS71" s="3">
        <v>45811</v>
      </c>
      <c r="BT71" s="4">
        <v>0.41666666666666669</v>
      </c>
      <c r="BU71" t="s">
        <v>185</v>
      </c>
      <c r="BV71" t="s">
        <v>86</v>
      </c>
      <c r="BY71">
        <v>8512</v>
      </c>
      <c r="BZ71" t="s">
        <v>87</v>
      </c>
      <c r="CA71" t="s">
        <v>186</v>
      </c>
      <c r="CC71" t="s">
        <v>117</v>
      </c>
      <c r="CD71">
        <v>3212</v>
      </c>
      <c r="CE71" t="s">
        <v>180</v>
      </c>
      <c r="CF71" s="3">
        <v>45812</v>
      </c>
      <c r="CI71">
        <v>2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"080065700153"</f>
        <v>080065700153</v>
      </c>
      <c r="F72" s="3">
        <v>45810</v>
      </c>
      <c r="G72">
        <v>202603</v>
      </c>
      <c r="H72" t="s">
        <v>75</v>
      </c>
      <c r="I72" t="s">
        <v>76</v>
      </c>
      <c r="J72" t="s">
        <v>77</v>
      </c>
      <c r="K72" t="s">
        <v>78</v>
      </c>
      <c r="L72" t="s">
        <v>75</v>
      </c>
      <c r="M72" t="s">
        <v>76</v>
      </c>
      <c r="N72" t="s">
        <v>361</v>
      </c>
      <c r="O72" t="s">
        <v>82</v>
      </c>
      <c r="P72" t="str">
        <f>"4170041760                    "</f>
        <v xml:space="preserve">4170041760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16.7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54.66</v>
      </c>
      <c r="BM72">
        <v>8.1999999999999993</v>
      </c>
      <c r="BN72">
        <v>62.86</v>
      </c>
      <c r="BO72">
        <v>62.86</v>
      </c>
      <c r="BQ72" t="s">
        <v>362</v>
      </c>
      <c r="BR72" t="s">
        <v>84</v>
      </c>
      <c r="BS72" s="3">
        <v>45812</v>
      </c>
      <c r="BT72" s="4">
        <v>0.43055555555555558</v>
      </c>
      <c r="BU72" t="s">
        <v>363</v>
      </c>
      <c r="BV72" t="s">
        <v>90</v>
      </c>
      <c r="BW72" t="s">
        <v>144</v>
      </c>
      <c r="BX72" t="s">
        <v>145</v>
      </c>
      <c r="BY72">
        <v>1200</v>
      </c>
      <c r="BZ72" t="s">
        <v>87</v>
      </c>
      <c r="CA72" t="s">
        <v>115</v>
      </c>
      <c r="CC72" t="s">
        <v>76</v>
      </c>
      <c r="CD72">
        <v>1624</v>
      </c>
      <c r="CE72" t="s">
        <v>89</v>
      </c>
      <c r="CF72" s="3">
        <v>45813</v>
      </c>
      <c r="CI72">
        <v>1</v>
      </c>
      <c r="CJ72">
        <v>2</v>
      </c>
      <c r="CK72">
        <v>22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"080065700168"</f>
        <v>080065700168</v>
      </c>
      <c r="F73" s="3">
        <v>45810</v>
      </c>
      <c r="G73">
        <v>202603</v>
      </c>
      <c r="H73" t="s">
        <v>75</v>
      </c>
      <c r="I73" t="s">
        <v>76</v>
      </c>
      <c r="J73" t="s">
        <v>77</v>
      </c>
      <c r="K73" t="s">
        <v>78</v>
      </c>
      <c r="L73" t="s">
        <v>116</v>
      </c>
      <c r="M73" t="s">
        <v>117</v>
      </c>
      <c r="N73" t="s">
        <v>183</v>
      </c>
      <c r="O73" t="s">
        <v>82</v>
      </c>
      <c r="P73" t="str">
        <f>"4170041703                    "</f>
        <v xml:space="preserve">4170041703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96.17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9</v>
      </c>
      <c r="BJ73">
        <v>2</v>
      </c>
      <c r="BK73">
        <v>9</v>
      </c>
      <c r="BL73">
        <v>314.73</v>
      </c>
      <c r="BM73">
        <v>47.21</v>
      </c>
      <c r="BN73">
        <v>361.94</v>
      </c>
      <c r="BO73">
        <v>361.94</v>
      </c>
      <c r="BQ73" t="s">
        <v>184</v>
      </c>
      <c r="BR73" t="s">
        <v>84</v>
      </c>
      <c r="BS73" s="3">
        <v>45811</v>
      </c>
      <c r="BT73" s="4">
        <v>0.41666666666666669</v>
      </c>
      <c r="BU73" t="s">
        <v>185</v>
      </c>
      <c r="BV73" t="s">
        <v>86</v>
      </c>
      <c r="BY73">
        <v>10108</v>
      </c>
      <c r="BZ73" t="s">
        <v>87</v>
      </c>
      <c r="CA73" t="s">
        <v>186</v>
      </c>
      <c r="CC73" t="s">
        <v>117</v>
      </c>
      <c r="CD73">
        <v>3212</v>
      </c>
      <c r="CE73" t="s">
        <v>99</v>
      </c>
      <c r="CF73" s="3">
        <v>45812</v>
      </c>
      <c r="CI73">
        <v>2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"080065700195"</f>
        <v>080065700195</v>
      </c>
      <c r="F74" s="3">
        <v>45810</v>
      </c>
      <c r="G74">
        <v>202603</v>
      </c>
      <c r="H74" t="s">
        <v>75</v>
      </c>
      <c r="I74" t="s">
        <v>76</v>
      </c>
      <c r="J74" t="s">
        <v>77</v>
      </c>
      <c r="K74" t="s">
        <v>78</v>
      </c>
      <c r="L74" t="s">
        <v>116</v>
      </c>
      <c r="M74" t="s">
        <v>117</v>
      </c>
      <c r="N74" t="s">
        <v>183</v>
      </c>
      <c r="O74" t="s">
        <v>82</v>
      </c>
      <c r="P74" t="str">
        <f>"4170041711                    "</f>
        <v xml:space="preserve">4170041711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21.38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69.98</v>
      </c>
      <c r="BM74">
        <v>10.5</v>
      </c>
      <c r="BN74">
        <v>80.48</v>
      </c>
      <c r="BO74">
        <v>80.48</v>
      </c>
      <c r="BQ74" t="s">
        <v>184</v>
      </c>
      <c r="BR74" t="s">
        <v>84</v>
      </c>
      <c r="BS74" s="3">
        <v>45812</v>
      </c>
      <c r="BT74" s="4">
        <v>0.41666666666666669</v>
      </c>
      <c r="BU74" t="s">
        <v>185</v>
      </c>
      <c r="BV74" t="s">
        <v>86</v>
      </c>
      <c r="BY74">
        <v>1200</v>
      </c>
      <c r="BZ74" t="s">
        <v>87</v>
      </c>
      <c r="CA74" t="s">
        <v>186</v>
      </c>
      <c r="CC74" t="s">
        <v>117</v>
      </c>
      <c r="CD74">
        <v>3212</v>
      </c>
      <c r="CE74" t="s">
        <v>89</v>
      </c>
      <c r="CF74" s="3">
        <v>45813</v>
      </c>
      <c r="CI74">
        <v>2</v>
      </c>
      <c r="CJ74">
        <v>2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"080065700225"</f>
        <v>080065700225</v>
      </c>
      <c r="F75" s="3">
        <v>45810</v>
      </c>
      <c r="G75">
        <v>202603</v>
      </c>
      <c r="H75" t="s">
        <v>75</v>
      </c>
      <c r="I75" t="s">
        <v>76</v>
      </c>
      <c r="J75" t="s">
        <v>77</v>
      </c>
      <c r="K75" t="s">
        <v>78</v>
      </c>
      <c r="L75" t="s">
        <v>75</v>
      </c>
      <c r="M75" t="s">
        <v>76</v>
      </c>
      <c r="N75" t="s">
        <v>216</v>
      </c>
      <c r="O75" t="s">
        <v>82</v>
      </c>
      <c r="P75" t="str">
        <f>"4170041525                    "</f>
        <v xml:space="preserve">4170041525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16.7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1.9</v>
      </c>
      <c r="BK75">
        <v>2</v>
      </c>
      <c r="BL75">
        <v>54.66</v>
      </c>
      <c r="BM75">
        <v>8.1999999999999993</v>
      </c>
      <c r="BN75">
        <v>62.86</v>
      </c>
      <c r="BO75">
        <v>62.86</v>
      </c>
      <c r="BQ75" t="s">
        <v>217</v>
      </c>
      <c r="BR75" t="s">
        <v>84</v>
      </c>
      <c r="BS75" s="3">
        <v>45811</v>
      </c>
      <c r="BT75" s="4">
        <v>0.42222222222222222</v>
      </c>
      <c r="BU75" t="s">
        <v>218</v>
      </c>
      <c r="BV75" t="s">
        <v>86</v>
      </c>
      <c r="BY75">
        <v>9600</v>
      </c>
      <c r="BZ75" t="s">
        <v>87</v>
      </c>
      <c r="CA75" t="s">
        <v>219</v>
      </c>
      <c r="CC75" t="s">
        <v>76</v>
      </c>
      <c r="CD75">
        <v>1610</v>
      </c>
      <c r="CE75" t="s">
        <v>180</v>
      </c>
      <c r="CF75" s="3">
        <v>45811</v>
      </c>
      <c r="CI75">
        <v>1</v>
      </c>
      <c r="CJ75">
        <v>1</v>
      </c>
      <c r="CK75">
        <v>22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"080065700271"</f>
        <v>080065700271</v>
      </c>
      <c r="F76" s="3">
        <v>45810</v>
      </c>
      <c r="G76">
        <v>202603</v>
      </c>
      <c r="H76" t="s">
        <v>75</v>
      </c>
      <c r="I76" t="s">
        <v>76</v>
      </c>
      <c r="J76" t="s">
        <v>77</v>
      </c>
      <c r="K76" t="s">
        <v>78</v>
      </c>
      <c r="L76" t="s">
        <v>106</v>
      </c>
      <c r="M76" t="s">
        <v>107</v>
      </c>
      <c r="N76" t="s">
        <v>364</v>
      </c>
      <c r="O76" t="s">
        <v>82</v>
      </c>
      <c r="P76" t="str">
        <f>"4170041562                    "</f>
        <v xml:space="preserve">4170041562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21.38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69.98</v>
      </c>
      <c r="BM76">
        <v>10.5</v>
      </c>
      <c r="BN76">
        <v>80.48</v>
      </c>
      <c r="BO76">
        <v>80.48</v>
      </c>
      <c r="BQ76" t="s">
        <v>365</v>
      </c>
      <c r="BR76" t="s">
        <v>84</v>
      </c>
      <c r="BS76" s="3">
        <v>45811</v>
      </c>
      <c r="BT76" s="4">
        <v>0.5</v>
      </c>
      <c r="BU76" t="s">
        <v>366</v>
      </c>
      <c r="BV76" t="s">
        <v>90</v>
      </c>
      <c r="BW76" t="s">
        <v>144</v>
      </c>
      <c r="BX76" t="s">
        <v>367</v>
      </c>
      <c r="BY76">
        <v>1200</v>
      </c>
      <c r="BZ76" t="s">
        <v>87</v>
      </c>
      <c r="CA76" t="s">
        <v>368</v>
      </c>
      <c r="CC76" t="s">
        <v>107</v>
      </c>
      <c r="CD76">
        <v>1</v>
      </c>
      <c r="CE76" t="s">
        <v>89</v>
      </c>
      <c r="CF76" s="3">
        <v>45811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"080065700310"</f>
        <v>080065700310</v>
      </c>
      <c r="F77" s="3">
        <v>45810</v>
      </c>
      <c r="G77">
        <v>202603</v>
      </c>
      <c r="H77" t="s">
        <v>75</v>
      </c>
      <c r="I77" t="s">
        <v>76</v>
      </c>
      <c r="J77" t="s">
        <v>77</v>
      </c>
      <c r="K77" t="s">
        <v>78</v>
      </c>
      <c r="L77" t="s">
        <v>369</v>
      </c>
      <c r="M77" t="s">
        <v>370</v>
      </c>
      <c r="N77" t="s">
        <v>371</v>
      </c>
      <c r="O77" t="s">
        <v>82</v>
      </c>
      <c r="P77" t="str">
        <f>"4170041687                    "</f>
        <v xml:space="preserve">4170041687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41.43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</v>
      </c>
      <c r="BJ77">
        <v>1.7</v>
      </c>
      <c r="BK77">
        <v>2</v>
      </c>
      <c r="BL77">
        <v>135.59</v>
      </c>
      <c r="BM77">
        <v>20.34</v>
      </c>
      <c r="BN77">
        <v>155.93</v>
      </c>
      <c r="BO77">
        <v>155.93</v>
      </c>
      <c r="BQ77" t="s">
        <v>372</v>
      </c>
      <c r="BR77" t="s">
        <v>84</v>
      </c>
      <c r="BS77" s="3">
        <v>45811</v>
      </c>
      <c r="BT77" s="4">
        <v>0.36805555555555558</v>
      </c>
      <c r="BU77" t="s">
        <v>373</v>
      </c>
      <c r="BV77" t="s">
        <v>86</v>
      </c>
      <c r="BY77">
        <v>8512</v>
      </c>
      <c r="BZ77" t="s">
        <v>87</v>
      </c>
      <c r="CA77" t="s">
        <v>374</v>
      </c>
      <c r="CC77" t="s">
        <v>370</v>
      </c>
      <c r="CD77">
        <v>7130</v>
      </c>
      <c r="CE77" t="s">
        <v>180</v>
      </c>
      <c r="CF77" s="3">
        <v>45812</v>
      </c>
      <c r="CI77">
        <v>1</v>
      </c>
      <c r="CJ77">
        <v>1</v>
      </c>
      <c r="CK77">
        <v>23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"080065700348"</f>
        <v>080065700348</v>
      </c>
      <c r="F78" s="3">
        <v>45810</v>
      </c>
      <c r="G78">
        <v>202603</v>
      </c>
      <c r="H78" t="s">
        <v>75</v>
      </c>
      <c r="I78" t="s">
        <v>76</v>
      </c>
      <c r="J78" t="s">
        <v>77</v>
      </c>
      <c r="K78" t="s">
        <v>78</v>
      </c>
      <c r="L78" t="s">
        <v>375</v>
      </c>
      <c r="M78" t="s">
        <v>376</v>
      </c>
      <c r="N78" t="s">
        <v>377</v>
      </c>
      <c r="O78" t="s">
        <v>82</v>
      </c>
      <c r="P78" t="str">
        <f>"4170041779                    "</f>
        <v xml:space="preserve">4170041779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16.7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54.66</v>
      </c>
      <c r="BM78">
        <v>8.1999999999999993</v>
      </c>
      <c r="BN78">
        <v>62.86</v>
      </c>
      <c r="BO78">
        <v>62.86</v>
      </c>
      <c r="BQ78" t="s">
        <v>378</v>
      </c>
      <c r="BR78" t="s">
        <v>84</v>
      </c>
      <c r="BS78" s="3">
        <v>45811</v>
      </c>
      <c r="BT78" s="4">
        <v>0.3888888888888889</v>
      </c>
      <c r="BU78" t="s">
        <v>379</v>
      </c>
      <c r="BV78" t="s">
        <v>86</v>
      </c>
      <c r="BY78">
        <v>1200</v>
      </c>
      <c r="BZ78" t="s">
        <v>87</v>
      </c>
      <c r="CA78" t="s">
        <v>380</v>
      </c>
      <c r="CC78" t="s">
        <v>376</v>
      </c>
      <c r="CD78">
        <v>1401</v>
      </c>
      <c r="CE78" t="s">
        <v>89</v>
      </c>
      <c r="CF78" s="3">
        <v>45811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"080065700408"</f>
        <v>080065700408</v>
      </c>
      <c r="F79" s="3">
        <v>45810</v>
      </c>
      <c r="G79">
        <v>202603</v>
      </c>
      <c r="H79" t="s">
        <v>75</v>
      </c>
      <c r="I79" t="s">
        <v>76</v>
      </c>
      <c r="J79" t="s">
        <v>77</v>
      </c>
      <c r="K79" t="s">
        <v>78</v>
      </c>
      <c r="L79" t="s">
        <v>293</v>
      </c>
      <c r="M79" t="s">
        <v>294</v>
      </c>
      <c r="N79" t="s">
        <v>381</v>
      </c>
      <c r="O79" t="s">
        <v>82</v>
      </c>
      <c r="P79" t="str">
        <f>"4170041752                    "</f>
        <v xml:space="preserve">4170041752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41.43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135.59</v>
      </c>
      <c r="BM79">
        <v>20.34</v>
      </c>
      <c r="BN79">
        <v>155.93</v>
      </c>
      <c r="BO79">
        <v>155.93</v>
      </c>
      <c r="BQ79" t="s">
        <v>382</v>
      </c>
      <c r="BR79" t="s">
        <v>84</v>
      </c>
      <c r="BS79" s="3">
        <v>45817</v>
      </c>
      <c r="BT79" s="4">
        <v>0.58263888888888893</v>
      </c>
      <c r="BU79" t="s">
        <v>383</v>
      </c>
      <c r="BV79" t="s">
        <v>90</v>
      </c>
      <c r="BW79" t="s">
        <v>384</v>
      </c>
      <c r="BX79" t="s">
        <v>199</v>
      </c>
      <c r="BY79">
        <v>1200</v>
      </c>
      <c r="BZ79" t="s">
        <v>87</v>
      </c>
      <c r="CA79" t="s">
        <v>385</v>
      </c>
      <c r="CC79" t="s">
        <v>294</v>
      </c>
      <c r="CD79">
        <v>1939</v>
      </c>
      <c r="CE79" t="s">
        <v>89</v>
      </c>
      <c r="CI79">
        <v>1</v>
      </c>
      <c r="CJ79">
        <v>5</v>
      </c>
      <c r="CK79">
        <v>23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"080065700518"</f>
        <v>080065700518</v>
      </c>
      <c r="F80" s="3">
        <v>45810</v>
      </c>
      <c r="G80">
        <v>202603</v>
      </c>
      <c r="H80" t="s">
        <v>75</v>
      </c>
      <c r="I80" t="s">
        <v>76</v>
      </c>
      <c r="J80" t="s">
        <v>77</v>
      </c>
      <c r="K80" t="s">
        <v>78</v>
      </c>
      <c r="L80" t="s">
        <v>375</v>
      </c>
      <c r="M80" t="s">
        <v>376</v>
      </c>
      <c r="N80" t="s">
        <v>386</v>
      </c>
      <c r="O80" t="s">
        <v>82</v>
      </c>
      <c r="P80" t="str">
        <f>"4170041753                    "</f>
        <v xml:space="preserve">4170041753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16.7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54.66</v>
      </c>
      <c r="BM80">
        <v>8.1999999999999993</v>
      </c>
      <c r="BN80">
        <v>62.86</v>
      </c>
      <c r="BO80">
        <v>62.86</v>
      </c>
      <c r="BQ80" t="s">
        <v>387</v>
      </c>
      <c r="BR80" t="s">
        <v>84</v>
      </c>
      <c r="BS80" s="3">
        <v>45811</v>
      </c>
      <c r="BT80" s="4">
        <v>0.50347222222222221</v>
      </c>
      <c r="BU80" t="s">
        <v>388</v>
      </c>
      <c r="BV80" t="s">
        <v>90</v>
      </c>
      <c r="BW80" t="s">
        <v>144</v>
      </c>
      <c r="BX80" t="s">
        <v>389</v>
      </c>
      <c r="BY80">
        <v>1200</v>
      </c>
      <c r="BZ80" t="s">
        <v>87</v>
      </c>
      <c r="CA80" t="s">
        <v>390</v>
      </c>
      <c r="CC80" t="s">
        <v>376</v>
      </c>
      <c r="CD80">
        <v>1401</v>
      </c>
      <c r="CE80" t="s">
        <v>89</v>
      </c>
      <c r="CF80" s="3">
        <v>45811</v>
      </c>
      <c r="CI80">
        <v>1</v>
      </c>
      <c r="CJ80">
        <v>1</v>
      </c>
      <c r="CK80">
        <v>22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"080065700581"</f>
        <v>080065700581</v>
      </c>
      <c r="F81" s="3">
        <v>45810</v>
      </c>
      <c r="G81">
        <v>202603</v>
      </c>
      <c r="H81" t="s">
        <v>75</v>
      </c>
      <c r="I81" t="s">
        <v>76</v>
      </c>
      <c r="J81" t="s">
        <v>77</v>
      </c>
      <c r="K81" t="s">
        <v>78</v>
      </c>
      <c r="L81" t="s">
        <v>100</v>
      </c>
      <c r="M81" t="s">
        <v>101</v>
      </c>
      <c r="N81" t="s">
        <v>391</v>
      </c>
      <c r="O81" t="s">
        <v>82</v>
      </c>
      <c r="P81" t="str">
        <f>"4170041621                    "</f>
        <v xml:space="preserve">4170041621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21.38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69.98</v>
      </c>
      <c r="BM81">
        <v>10.5</v>
      </c>
      <c r="BN81">
        <v>80.48</v>
      </c>
      <c r="BO81">
        <v>80.48</v>
      </c>
      <c r="BQ81" t="s">
        <v>392</v>
      </c>
      <c r="BR81" t="s">
        <v>84</v>
      </c>
      <c r="BS81" s="3">
        <v>45811</v>
      </c>
      <c r="BT81" s="4">
        <v>0.38680555555555557</v>
      </c>
      <c r="BU81" t="s">
        <v>393</v>
      </c>
      <c r="BV81" t="s">
        <v>86</v>
      </c>
      <c r="BY81">
        <v>1200</v>
      </c>
      <c r="BZ81" t="s">
        <v>87</v>
      </c>
      <c r="CA81" t="s">
        <v>394</v>
      </c>
      <c r="CC81" t="s">
        <v>101</v>
      </c>
      <c r="CD81">
        <v>6001</v>
      </c>
      <c r="CE81" t="s">
        <v>89</v>
      </c>
      <c r="CF81" s="3">
        <v>45812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"080065700637"</f>
        <v>080065700637</v>
      </c>
      <c r="F82" s="3">
        <v>45810</v>
      </c>
      <c r="G82">
        <v>202603</v>
      </c>
      <c r="H82" t="s">
        <v>75</v>
      </c>
      <c r="I82" t="s">
        <v>76</v>
      </c>
      <c r="J82" t="s">
        <v>77</v>
      </c>
      <c r="K82" t="s">
        <v>78</v>
      </c>
      <c r="L82" t="s">
        <v>159</v>
      </c>
      <c r="M82" t="s">
        <v>160</v>
      </c>
      <c r="N82" t="s">
        <v>230</v>
      </c>
      <c r="O82" t="s">
        <v>82</v>
      </c>
      <c r="P82" t="str">
        <f>"4170041655                    "</f>
        <v xml:space="preserve">4170041655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16.7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54.66</v>
      </c>
      <c r="BM82">
        <v>8.1999999999999993</v>
      </c>
      <c r="BN82">
        <v>62.86</v>
      </c>
      <c r="BO82">
        <v>62.86</v>
      </c>
      <c r="BQ82" t="s">
        <v>231</v>
      </c>
      <c r="BR82" t="s">
        <v>84</v>
      </c>
      <c r="BS82" s="3">
        <v>45811</v>
      </c>
      <c r="BT82" s="4">
        <v>0.43680555555555556</v>
      </c>
      <c r="BU82" t="s">
        <v>232</v>
      </c>
      <c r="BV82" t="s">
        <v>86</v>
      </c>
      <c r="BY82">
        <v>1200</v>
      </c>
      <c r="BZ82" t="s">
        <v>87</v>
      </c>
      <c r="CA82" t="s">
        <v>233</v>
      </c>
      <c r="CC82" t="s">
        <v>160</v>
      </c>
      <c r="CD82">
        <v>2094</v>
      </c>
      <c r="CE82" t="s">
        <v>89</v>
      </c>
      <c r="CF82" s="3">
        <v>45811</v>
      </c>
      <c r="CI82">
        <v>1</v>
      </c>
      <c r="CJ82">
        <v>1</v>
      </c>
      <c r="CK82">
        <v>22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"080065700701"</f>
        <v>080065700701</v>
      </c>
      <c r="F83" s="3">
        <v>45810</v>
      </c>
      <c r="G83">
        <v>202603</v>
      </c>
      <c r="H83" t="s">
        <v>75</v>
      </c>
      <c r="I83" t="s">
        <v>76</v>
      </c>
      <c r="J83" t="s">
        <v>77</v>
      </c>
      <c r="K83" t="s">
        <v>78</v>
      </c>
      <c r="L83" t="s">
        <v>116</v>
      </c>
      <c r="M83" t="s">
        <v>117</v>
      </c>
      <c r="N83" t="s">
        <v>395</v>
      </c>
      <c r="O83" t="s">
        <v>82</v>
      </c>
      <c r="P83" t="str">
        <f>"4170041766                    "</f>
        <v xml:space="preserve">4170041766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21.38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69.98</v>
      </c>
      <c r="BM83">
        <v>10.5</v>
      </c>
      <c r="BN83">
        <v>80.48</v>
      </c>
      <c r="BO83">
        <v>80.48</v>
      </c>
      <c r="BQ83" t="s">
        <v>396</v>
      </c>
      <c r="BR83" t="s">
        <v>84</v>
      </c>
      <c r="BS83" s="3">
        <v>45812</v>
      </c>
      <c r="BT83" s="4">
        <v>0.41666666666666669</v>
      </c>
      <c r="BU83" t="s">
        <v>397</v>
      </c>
      <c r="BV83" t="s">
        <v>86</v>
      </c>
      <c r="BY83">
        <v>1200</v>
      </c>
      <c r="BZ83" t="s">
        <v>87</v>
      </c>
      <c r="CA83" t="s">
        <v>186</v>
      </c>
      <c r="CC83" t="s">
        <v>117</v>
      </c>
      <c r="CD83">
        <v>3212</v>
      </c>
      <c r="CE83" t="s">
        <v>89</v>
      </c>
      <c r="CF83" s="3">
        <v>45813</v>
      </c>
      <c r="CI83">
        <v>2</v>
      </c>
      <c r="CJ83">
        <v>2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"080065700872"</f>
        <v>080065700872</v>
      </c>
      <c r="F84" s="3">
        <v>45810</v>
      </c>
      <c r="G84">
        <v>202603</v>
      </c>
      <c r="H84" t="s">
        <v>75</v>
      </c>
      <c r="I84" t="s">
        <v>76</v>
      </c>
      <c r="J84" t="s">
        <v>77</v>
      </c>
      <c r="K84" t="s">
        <v>78</v>
      </c>
      <c r="L84" t="s">
        <v>331</v>
      </c>
      <c r="M84" t="s">
        <v>332</v>
      </c>
      <c r="N84" t="s">
        <v>333</v>
      </c>
      <c r="O84" t="s">
        <v>82</v>
      </c>
      <c r="P84" t="str">
        <f>"4170041707                    "</f>
        <v xml:space="preserve">4170041707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21.38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69.98</v>
      </c>
      <c r="BM84">
        <v>10.5</v>
      </c>
      <c r="BN84">
        <v>80.48</v>
      </c>
      <c r="BO84">
        <v>80.48</v>
      </c>
      <c r="BQ84" t="s">
        <v>334</v>
      </c>
      <c r="BR84" t="s">
        <v>84</v>
      </c>
      <c r="BS84" s="3">
        <v>45811</v>
      </c>
      <c r="BT84" s="4">
        <v>0.34791666666666665</v>
      </c>
      <c r="BU84" t="s">
        <v>335</v>
      </c>
      <c r="BV84" t="s">
        <v>86</v>
      </c>
      <c r="BY84">
        <v>1200</v>
      </c>
      <c r="BZ84" t="s">
        <v>87</v>
      </c>
      <c r="CA84" t="s">
        <v>336</v>
      </c>
      <c r="CC84" t="s">
        <v>332</v>
      </c>
      <c r="CD84">
        <v>4000</v>
      </c>
      <c r="CE84" t="s">
        <v>89</v>
      </c>
      <c r="CF84" s="3">
        <v>45811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"080065700894"</f>
        <v>080065700894</v>
      </c>
      <c r="F85" s="3">
        <v>45810</v>
      </c>
      <c r="G85">
        <v>202603</v>
      </c>
      <c r="H85" t="s">
        <v>75</v>
      </c>
      <c r="I85" t="s">
        <v>76</v>
      </c>
      <c r="J85" t="s">
        <v>77</v>
      </c>
      <c r="K85" t="s">
        <v>78</v>
      </c>
      <c r="L85" t="s">
        <v>100</v>
      </c>
      <c r="M85" t="s">
        <v>101</v>
      </c>
      <c r="N85" t="s">
        <v>398</v>
      </c>
      <c r="O85" t="s">
        <v>82</v>
      </c>
      <c r="P85" t="str">
        <f>"4170041692                    "</f>
        <v xml:space="preserve">4170041692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21.38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69.98</v>
      </c>
      <c r="BM85">
        <v>10.5</v>
      </c>
      <c r="BN85">
        <v>80.48</v>
      </c>
      <c r="BO85">
        <v>80.48</v>
      </c>
      <c r="BQ85" t="s">
        <v>399</v>
      </c>
      <c r="BR85" t="s">
        <v>84</v>
      </c>
      <c r="BS85" s="3">
        <v>45811</v>
      </c>
      <c r="BT85" s="4">
        <v>0.35486111111111113</v>
      </c>
      <c r="BU85" t="s">
        <v>400</v>
      </c>
      <c r="BV85" t="s">
        <v>86</v>
      </c>
      <c r="BY85">
        <v>1200</v>
      </c>
      <c r="BZ85" t="s">
        <v>87</v>
      </c>
      <c r="CA85" t="s">
        <v>223</v>
      </c>
      <c r="CC85" t="s">
        <v>101</v>
      </c>
      <c r="CD85">
        <v>6001</v>
      </c>
      <c r="CE85" t="s">
        <v>89</v>
      </c>
      <c r="CF85" s="3">
        <v>45811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"080065700902"</f>
        <v>080065700902</v>
      </c>
      <c r="F86" s="3">
        <v>45810</v>
      </c>
      <c r="G86">
        <v>202603</v>
      </c>
      <c r="H86" t="s">
        <v>75</v>
      </c>
      <c r="I86" t="s">
        <v>76</v>
      </c>
      <c r="J86" t="s">
        <v>77</v>
      </c>
      <c r="K86" t="s">
        <v>78</v>
      </c>
      <c r="L86" t="s">
        <v>369</v>
      </c>
      <c r="M86" t="s">
        <v>370</v>
      </c>
      <c r="N86" t="s">
        <v>371</v>
      </c>
      <c r="O86" t="s">
        <v>82</v>
      </c>
      <c r="P86" t="str">
        <f>"4170041741                    "</f>
        <v xml:space="preserve">4170041741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60.14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1.9</v>
      </c>
      <c r="BK86">
        <v>3</v>
      </c>
      <c r="BL86">
        <v>196.82</v>
      </c>
      <c r="BM86">
        <v>29.52</v>
      </c>
      <c r="BN86">
        <v>226.34</v>
      </c>
      <c r="BO86">
        <v>226.34</v>
      </c>
      <c r="BQ86" t="s">
        <v>372</v>
      </c>
      <c r="BR86" t="s">
        <v>84</v>
      </c>
      <c r="BS86" s="3">
        <v>45811</v>
      </c>
      <c r="BT86" s="4">
        <v>0.36805555555555558</v>
      </c>
      <c r="BU86" t="s">
        <v>373</v>
      </c>
      <c r="BV86" t="s">
        <v>86</v>
      </c>
      <c r="BY86">
        <v>9600</v>
      </c>
      <c r="BZ86" t="s">
        <v>87</v>
      </c>
      <c r="CA86" t="s">
        <v>374</v>
      </c>
      <c r="CC86" t="s">
        <v>370</v>
      </c>
      <c r="CD86">
        <v>7130</v>
      </c>
      <c r="CE86" t="s">
        <v>99</v>
      </c>
      <c r="CF86" s="3">
        <v>45812</v>
      </c>
      <c r="CI86">
        <v>1</v>
      </c>
      <c r="CJ86">
        <v>1</v>
      </c>
      <c r="CK86">
        <v>23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"080065700909"</f>
        <v>080065700909</v>
      </c>
      <c r="F87" s="3">
        <v>45810</v>
      </c>
      <c r="G87">
        <v>202603</v>
      </c>
      <c r="H87" t="s">
        <v>75</v>
      </c>
      <c r="I87" t="s">
        <v>76</v>
      </c>
      <c r="J87" t="s">
        <v>77</v>
      </c>
      <c r="K87" t="s">
        <v>78</v>
      </c>
      <c r="L87" t="s">
        <v>106</v>
      </c>
      <c r="M87" t="s">
        <v>107</v>
      </c>
      <c r="N87" t="s">
        <v>401</v>
      </c>
      <c r="O87" t="s">
        <v>82</v>
      </c>
      <c r="P87" t="str">
        <f>"4170041583                    "</f>
        <v xml:space="preserve">4170041583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21.38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69.98</v>
      </c>
      <c r="BM87">
        <v>10.5</v>
      </c>
      <c r="BN87">
        <v>80.48</v>
      </c>
      <c r="BO87">
        <v>80.48</v>
      </c>
      <c r="BQ87" t="s">
        <v>402</v>
      </c>
      <c r="BR87" t="s">
        <v>84</v>
      </c>
      <c r="BS87" s="3">
        <v>45811</v>
      </c>
      <c r="BT87" s="4">
        <v>0.38541666666666669</v>
      </c>
      <c r="BU87" t="s">
        <v>403</v>
      </c>
      <c r="BV87" t="s">
        <v>86</v>
      </c>
      <c r="BY87">
        <v>1200</v>
      </c>
      <c r="BZ87" t="s">
        <v>87</v>
      </c>
      <c r="CA87" t="s">
        <v>404</v>
      </c>
      <c r="CC87" t="s">
        <v>107</v>
      </c>
      <c r="CD87">
        <v>184</v>
      </c>
      <c r="CE87" t="s">
        <v>89</v>
      </c>
      <c r="CF87" s="3">
        <v>45811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"080065700926"</f>
        <v>080065700926</v>
      </c>
      <c r="F88" s="3">
        <v>45810</v>
      </c>
      <c r="G88">
        <v>202603</v>
      </c>
      <c r="H88" t="s">
        <v>75</v>
      </c>
      <c r="I88" t="s">
        <v>76</v>
      </c>
      <c r="J88" t="s">
        <v>77</v>
      </c>
      <c r="K88" t="s">
        <v>78</v>
      </c>
      <c r="L88" t="s">
        <v>106</v>
      </c>
      <c r="M88" t="s">
        <v>107</v>
      </c>
      <c r="N88" t="s">
        <v>405</v>
      </c>
      <c r="O88" t="s">
        <v>94</v>
      </c>
      <c r="P88" t="str">
        <f>"4170041743                    "</f>
        <v xml:space="preserve">4170041743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41.35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12</v>
      </c>
      <c r="BJ88">
        <v>4.3</v>
      </c>
      <c r="BK88">
        <v>12</v>
      </c>
      <c r="BL88">
        <v>140.9</v>
      </c>
      <c r="BM88">
        <v>21.14</v>
      </c>
      <c r="BN88">
        <v>162.04</v>
      </c>
      <c r="BO88">
        <v>162.04</v>
      </c>
      <c r="BQ88" t="s">
        <v>406</v>
      </c>
      <c r="BR88" t="s">
        <v>84</v>
      </c>
      <c r="BS88" s="3">
        <v>45811</v>
      </c>
      <c r="BT88" s="4">
        <v>0.73263888888888884</v>
      </c>
      <c r="BU88" t="s">
        <v>407</v>
      </c>
      <c r="BV88" t="s">
        <v>86</v>
      </c>
      <c r="BY88">
        <v>21489</v>
      </c>
      <c r="BZ88" t="s">
        <v>97</v>
      </c>
      <c r="CA88" t="s">
        <v>368</v>
      </c>
      <c r="CC88" t="s">
        <v>107</v>
      </c>
      <c r="CD88">
        <v>186</v>
      </c>
      <c r="CE88" t="s">
        <v>99</v>
      </c>
      <c r="CF88" s="3">
        <v>45811</v>
      </c>
      <c r="CI88">
        <v>1</v>
      </c>
      <c r="CJ88">
        <v>1</v>
      </c>
      <c r="CK88">
        <v>41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"080065700931"</f>
        <v>080065700931</v>
      </c>
      <c r="F89" s="3">
        <v>45810</v>
      </c>
      <c r="G89">
        <v>202603</v>
      </c>
      <c r="H89" t="s">
        <v>75</v>
      </c>
      <c r="I89" t="s">
        <v>76</v>
      </c>
      <c r="J89" t="s">
        <v>77</v>
      </c>
      <c r="K89" t="s">
        <v>78</v>
      </c>
      <c r="L89" t="s">
        <v>154</v>
      </c>
      <c r="M89" t="s">
        <v>154</v>
      </c>
      <c r="N89" t="s">
        <v>155</v>
      </c>
      <c r="O89" t="s">
        <v>82</v>
      </c>
      <c r="P89" t="str">
        <f>"4170041721                    "</f>
        <v xml:space="preserve">4170041721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41.43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135.59</v>
      </c>
      <c r="BM89">
        <v>20.34</v>
      </c>
      <c r="BN89">
        <v>155.93</v>
      </c>
      <c r="BO89">
        <v>155.93</v>
      </c>
      <c r="BQ89" t="s">
        <v>156</v>
      </c>
      <c r="BR89" t="s">
        <v>84</v>
      </c>
      <c r="BS89" s="3">
        <v>45811</v>
      </c>
      <c r="BT89" s="4">
        <v>0.45833333333333331</v>
      </c>
      <c r="BU89" t="s">
        <v>157</v>
      </c>
      <c r="BV89" t="s">
        <v>86</v>
      </c>
      <c r="BY89">
        <v>1200</v>
      </c>
      <c r="BZ89" t="s">
        <v>87</v>
      </c>
      <c r="CA89" t="s">
        <v>158</v>
      </c>
      <c r="CC89" t="s">
        <v>154</v>
      </c>
      <c r="CD89">
        <v>7646</v>
      </c>
      <c r="CE89" t="s">
        <v>89</v>
      </c>
      <c r="CF89" s="3">
        <v>45812</v>
      </c>
      <c r="CI89">
        <v>1</v>
      </c>
      <c r="CJ89">
        <v>1</v>
      </c>
      <c r="CK89">
        <v>23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"080065700952"</f>
        <v>080065700952</v>
      </c>
      <c r="F90" s="3">
        <v>45810</v>
      </c>
      <c r="G90">
        <v>202603</v>
      </c>
      <c r="H90" t="s">
        <v>75</v>
      </c>
      <c r="I90" t="s">
        <v>76</v>
      </c>
      <c r="J90" t="s">
        <v>77</v>
      </c>
      <c r="K90" t="s">
        <v>78</v>
      </c>
      <c r="L90" t="s">
        <v>331</v>
      </c>
      <c r="M90" t="s">
        <v>332</v>
      </c>
      <c r="N90" t="s">
        <v>333</v>
      </c>
      <c r="O90" t="s">
        <v>82</v>
      </c>
      <c r="P90" t="str">
        <f>"4170041713                    "</f>
        <v xml:space="preserve">4170041713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21.38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69.98</v>
      </c>
      <c r="BM90">
        <v>10.5</v>
      </c>
      <c r="BN90">
        <v>80.48</v>
      </c>
      <c r="BO90">
        <v>80.48</v>
      </c>
      <c r="BQ90" t="s">
        <v>334</v>
      </c>
      <c r="BR90" t="s">
        <v>84</v>
      </c>
      <c r="BS90" s="3">
        <v>45811</v>
      </c>
      <c r="BT90" s="4">
        <v>0.34791666666666665</v>
      </c>
      <c r="BU90" t="s">
        <v>335</v>
      </c>
      <c r="BV90" t="s">
        <v>86</v>
      </c>
      <c r="BY90">
        <v>1200</v>
      </c>
      <c r="BZ90" t="s">
        <v>87</v>
      </c>
      <c r="CA90" t="s">
        <v>336</v>
      </c>
      <c r="CC90" t="s">
        <v>332</v>
      </c>
      <c r="CD90">
        <v>4000</v>
      </c>
      <c r="CE90" t="s">
        <v>89</v>
      </c>
      <c r="CF90" s="3">
        <v>45811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"080065700953"</f>
        <v>080065700953</v>
      </c>
      <c r="F91" s="3">
        <v>45810</v>
      </c>
      <c r="G91">
        <v>202603</v>
      </c>
      <c r="H91" t="s">
        <v>75</v>
      </c>
      <c r="I91" t="s">
        <v>76</v>
      </c>
      <c r="J91" t="s">
        <v>77</v>
      </c>
      <c r="K91" t="s">
        <v>78</v>
      </c>
      <c r="L91" t="s">
        <v>239</v>
      </c>
      <c r="M91" t="s">
        <v>240</v>
      </c>
      <c r="N91" t="s">
        <v>241</v>
      </c>
      <c r="O91" t="s">
        <v>82</v>
      </c>
      <c r="P91" t="str">
        <f>"4170041682                    "</f>
        <v xml:space="preserve">4170041682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116.27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6</v>
      </c>
      <c r="BJ91">
        <v>3.4</v>
      </c>
      <c r="BK91">
        <v>6</v>
      </c>
      <c r="BL91">
        <v>380.51</v>
      </c>
      <c r="BM91">
        <v>57.08</v>
      </c>
      <c r="BN91">
        <v>437.59</v>
      </c>
      <c r="BO91">
        <v>437.59</v>
      </c>
      <c r="BQ91" t="s">
        <v>242</v>
      </c>
      <c r="BR91" t="s">
        <v>84</v>
      </c>
      <c r="BS91" s="3">
        <v>45811</v>
      </c>
      <c r="BT91" s="4">
        <v>0.52569444444444446</v>
      </c>
      <c r="BU91" t="s">
        <v>408</v>
      </c>
      <c r="BV91" t="s">
        <v>86</v>
      </c>
      <c r="BY91">
        <v>16965</v>
      </c>
      <c r="BZ91" t="s">
        <v>87</v>
      </c>
      <c r="CA91" t="s">
        <v>244</v>
      </c>
      <c r="CC91" t="s">
        <v>240</v>
      </c>
      <c r="CD91">
        <v>2531</v>
      </c>
      <c r="CE91" t="s">
        <v>99</v>
      </c>
      <c r="CF91" s="3">
        <v>45812</v>
      </c>
      <c r="CI91">
        <v>1</v>
      </c>
      <c r="CJ91">
        <v>1</v>
      </c>
      <c r="CK91">
        <v>23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"080065700969"</f>
        <v>080065700969</v>
      </c>
      <c r="F92" s="3">
        <v>45810</v>
      </c>
      <c r="G92">
        <v>202603</v>
      </c>
      <c r="H92" t="s">
        <v>75</v>
      </c>
      <c r="I92" t="s">
        <v>76</v>
      </c>
      <c r="J92" t="s">
        <v>77</v>
      </c>
      <c r="K92" t="s">
        <v>78</v>
      </c>
      <c r="L92" t="s">
        <v>91</v>
      </c>
      <c r="M92" t="s">
        <v>92</v>
      </c>
      <c r="N92" t="s">
        <v>409</v>
      </c>
      <c r="O92" t="s">
        <v>82</v>
      </c>
      <c r="P92" t="str">
        <f>"4170041695                    "</f>
        <v xml:space="preserve">4170041695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21.38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69.98</v>
      </c>
      <c r="BM92">
        <v>10.5</v>
      </c>
      <c r="BN92">
        <v>80.48</v>
      </c>
      <c r="BO92">
        <v>80.48</v>
      </c>
      <c r="BQ92" t="s">
        <v>410</v>
      </c>
      <c r="BR92" t="s">
        <v>84</v>
      </c>
      <c r="BS92" s="3">
        <v>45811</v>
      </c>
      <c r="BT92" s="4">
        <v>0.41249999999999998</v>
      </c>
      <c r="BU92" t="s">
        <v>411</v>
      </c>
      <c r="BV92" t="s">
        <v>86</v>
      </c>
      <c r="BY92">
        <v>1200</v>
      </c>
      <c r="BZ92" t="s">
        <v>87</v>
      </c>
      <c r="CA92" t="s">
        <v>412</v>
      </c>
      <c r="CC92" t="s">
        <v>92</v>
      </c>
      <c r="CD92">
        <v>7490</v>
      </c>
      <c r="CE92" t="s">
        <v>89</v>
      </c>
      <c r="CF92" s="3">
        <v>45812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"080065700990"</f>
        <v>080065700990</v>
      </c>
      <c r="F93" s="3">
        <v>45810</v>
      </c>
      <c r="G93">
        <v>202603</v>
      </c>
      <c r="H93" t="s">
        <v>75</v>
      </c>
      <c r="I93" t="s">
        <v>76</v>
      </c>
      <c r="J93" t="s">
        <v>77</v>
      </c>
      <c r="K93" t="s">
        <v>78</v>
      </c>
      <c r="L93" t="s">
        <v>413</v>
      </c>
      <c r="M93" t="s">
        <v>414</v>
      </c>
      <c r="N93" t="s">
        <v>236</v>
      </c>
      <c r="O93" t="s">
        <v>82</v>
      </c>
      <c r="P93" t="str">
        <f>"4170041734                    "</f>
        <v xml:space="preserve">4170041734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42.75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4</v>
      </c>
      <c r="BJ93">
        <v>2.1</v>
      </c>
      <c r="BK93">
        <v>4</v>
      </c>
      <c r="BL93">
        <v>139.91</v>
      </c>
      <c r="BM93">
        <v>20.99</v>
      </c>
      <c r="BN93">
        <v>160.9</v>
      </c>
      <c r="BO93">
        <v>160.9</v>
      </c>
      <c r="BQ93" t="s">
        <v>237</v>
      </c>
      <c r="BR93" t="s">
        <v>84</v>
      </c>
      <c r="BS93" s="3">
        <v>45811</v>
      </c>
      <c r="BT93" s="4">
        <v>0.54374999999999996</v>
      </c>
      <c r="BU93" t="s">
        <v>415</v>
      </c>
      <c r="BV93" t="s">
        <v>90</v>
      </c>
      <c r="BW93" t="s">
        <v>416</v>
      </c>
      <c r="BX93" t="s">
        <v>417</v>
      </c>
      <c r="BY93">
        <v>10560</v>
      </c>
      <c r="BZ93" t="s">
        <v>87</v>
      </c>
      <c r="CA93" t="s">
        <v>418</v>
      </c>
      <c r="CC93" t="s">
        <v>414</v>
      </c>
      <c r="CD93">
        <v>4133</v>
      </c>
      <c r="CE93" t="s">
        <v>166</v>
      </c>
      <c r="CF93" s="3">
        <v>45811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"080065701007"</f>
        <v>080065701007</v>
      </c>
      <c r="F94" s="3">
        <v>45810</v>
      </c>
      <c r="G94">
        <v>202603</v>
      </c>
      <c r="H94" t="s">
        <v>75</v>
      </c>
      <c r="I94" t="s">
        <v>76</v>
      </c>
      <c r="J94" t="s">
        <v>77</v>
      </c>
      <c r="K94" t="s">
        <v>78</v>
      </c>
      <c r="L94" t="s">
        <v>91</v>
      </c>
      <c r="M94" t="s">
        <v>92</v>
      </c>
      <c r="N94" t="s">
        <v>419</v>
      </c>
      <c r="O94" t="s">
        <v>82</v>
      </c>
      <c r="P94" t="str">
        <f>"4170041763                    "</f>
        <v xml:space="preserve">4170041763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21.38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69.98</v>
      </c>
      <c r="BM94">
        <v>10.5</v>
      </c>
      <c r="BN94">
        <v>80.48</v>
      </c>
      <c r="BO94">
        <v>80.48</v>
      </c>
      <c r="BQ94" t="s">
        <v>420</v>
      </c>
      <c r="BR94" t="s">
        <v>84</v>
      </c>
      <c r="BS94" s="3">
        <v>45811</v>
      </c>
      <c r="BT94" s="4">
        <v>0.37916666666666665</v>
      </c>
      <c r="BU94" t="s">
        <v>421</v>
      </c>
      <c r="BV94" t="s">
        <v>86</v>
      </c>
      <c r="BY94">
        <v>1200</v>
      </c>
      <c r="BZ94" t="s">
        <v>87</v>
      </c>
      <c r="CA94" t="s">
        <v>310</v>
      </c>
      <c r="CC94" t="s">
        <v>92</v>
      </c>
      <c r="CD94">
        <v>7480</v>
      </c>
      <c r="CE94" t="s">
        <v>89</v>
      </c>
      <c r="CF94" s="3">
        <v>45812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"080065701023"</f>
        <v>080065701023</v>
      </c>
      <c r="F95" s="3">
        <v>45810</v>
      </c>
      <c r="G95">
        <v>202603</v>
      </c>
      <c r="H95" t="s">
        <v>75</v>
      </c>
      <c r="I95" t="s">
        <v>76</v>
      </c>
      <c r="J95" t="s">
        <v>77</v>
      </c>
      <c r="K95" t="s">
        <v>78</v>
      </c>
      <c r="L95" t="s">
        <v>130</v>
      </c>
      <c r="M95" t="s">
        <v>131</v>
      </c>
      <c r="N95" t="s">
        <v>422</v>
      </c>
      <c r="O95" t="s">
        <v>82</v>
      </c>
      <c r="P95" t="str">
        <f>"4170041715                    "</f>
        <v xml:space="preserve">4170041715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16.7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54.66</v>
      </c>
      <c r="BM95">
        <v>8.1999999999999993</v>
      </c>
      <c r="BN95">
        <v>62.86</v>
      </c>
      <c r="BO95">
        <v>62.86</v>
      </c>
      <c r="BQ95" t="s">
        <v>423</v>
      </c>
      <c r="BR95" t="s">
        <v>84</v>
      </c>
      <c r="BS95" s="3">
        <v>45811</v>
      </c>
      <c r="BT95" s="4">
        <v>0.35416666666666669</v>
      </c>
      <c r="BU95" t="s">
        <v>424</v>
      </c>
      <c r="BV95" t="s">
        <v>86</v>
      </c>
      <c r="BY95">
        <v>1200</v>
      </c>
      <c r="BZ95" t="s">
        <v>87</v>
      </c>
      <c r="CA95" t="s">
        <v>425</v>
      </c>
      <c r="CC95" t="s">
        <v>131</v>
      </c>
      <c r="CD95">
        <v>1459</v>
      </c>
      <c r="CE95" t="s">
        <v>89</v>
      </c>
      <c r="CF95" s="3">
        <v>45811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"080065701037"</f>
        <v>080065701037</v>
      </c>
      <c r="F96" s="3">
        <v>45810</v>
      </c>
      <c r="G96">
        <v>202603</v>
      </c>
      <c r="H96" t="s">
        <v>75</v>
      </c>
      <c r="I96" t="s">
        <v>76</v>
      </c>
      <c r="J96" t="s">
        <v>77</v>
      </c>
      <c r="K96" t="s">
        <v>78</v>
      </c>
      <c r="L96" t="s">
        <v>426</v>
      </c>
      <c r="M96" t="s">
        <v>427</v>
      </c>
      <c r="N96" t="s">
        <v>428</v>
      </c>
      <c r="O96" t="s">
        <v>82</v>
      </c>
      <c r="P96" t="str">
        <f>"4170041740                    "</f>
        <v xml:space="preserve">4170041740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30.07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16.739999999999998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0.6</v>
      </c>
      <c r="BK96">
        <v>1</v>
      </c>
      <c r="BL96">
        <v>115.16</v>
      </c>
      <c r="BM96">
        <v>17.27</v>
      </c>
      <c r="BN96">
        <v>132.43</v>
      </c>
      <c r="BO96">
        <v>132.43</v>
      </c>
      <c r="BQ96" t="s">
        <v>429</v>
      </c>
      <c r="BR96" t="s">
        <v>84</v>
      </c>
      <c r="BS96" s="3">
        <v>45811</v>
      </c>
      <c r="BT96" s="4">
        <v>0.65694444444444444</v>
      </c>
      <c r="BU96" t="s">
        <v>430</v>
      </c>
      <c r="BV96" t="s">
        <v>86</v>
      </c>
      <c r="BY96">
        <v>3192</v>
      </c>
      <c r="BZ96" t="s">
        <v>431</v>
      </c>
      <c r="CA96" t="s">
        <v>432</v>
      </c>
      <c r="CC96" t="s">
        <v>427</v>
      </c>
      <c r="CD96">
        <v>1759</v>
      </c>
      <c r="CE96" t="s">
        <v>180</v>
      </c>
      <c r="CF96" s="3">
        <v>45811</v>
      </c>
      <c r="CI96">
        <v>1</v>
      </c>
      <c r="CJ96">
        <v>1</v>
      </c>
      <c r="CK96">
        <v>24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"080065701047"</f>
        <v>080065701047</v>
      </c>
      <c r="F97" s="3">
        <v>45810</v>
      </c>
      <c r="G97">
        <v>202603</v>
      </c>
      <c r="H97" t="s">
        <v>75</v>
      </c>
      <c r="I97" t="s">
        <v>76</v>
      </c>
      <c r="J97" t="s">
        <v>77</v>
      </c>
      <c r="K97" t="s">
        <v>78</v>
      </c>
      <c r="L97" t="s">
        <v>91</v>
      </c>
      <c r="M97" t="s">
        <v>92</v>
      </c>
      <c r="N97" t="s">
        <v>419</v>
      </c>
      <c r="O97" t="s">
        <v>82</v>
      </c>
      <c r="P97" t="str">
        <f>"4170041762                    "</f>
        <v xml:space="preserve">4170041762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21.38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69.98</v>
      </c>
      <c r="BM97">
        <v>10.5</v>
      </c>
      <c r="BN97">
        <v>80.48</v>
      </c>
      <c r="BO97">
        <v>80.48</v>
      </c>
      <c r="BQ97" t="s">
        <v>420</v>
      </c>
      <c r="BR97" t="s">
        <v>84</v>
      </c>
      <c r="BS97" s="3">
        <v>45811</v>
      </c>
      <c r="BT97" s="4">
        <v>0.36180555555555555</v>
      </c>
      <c r="BU97" t="s">
        <v>433</v>
      </c>
      <c r="BV97" t="s">
        <v>86</v>
      </c>
      <c r="BY97">
        <v>1200</v>
      </c>
      <c r="BZ97" t="s">
        <v>87</v>
      </c>
      <c r="CA97" t="s">
        <v>310</v>
      </c>
      <c r="CC97" t="s">
        <v>92</v>
      </c>
      <c r="CD97">
        <v>7480</v>
      </c>
      <c r="CE97" t="s">
        <v>89</v>
      </c>
      <c r="CF97" s="3">
        <v>45812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"080065701066"</f>
        <v>080065701066</v>
      </c>
      <c r="F98" s="3">
        <v>45810</v>
      </c>
      <c r="G98">
        <v>202603</v>
      </c>
      <c r="H98" t="s">
        <v>75</v>
      </c>
      <c r="I98" t="s">
        <v>76</v>
      </c>
      <c r="J98" t="s">
        <v>77</v>
      </c>
      <c r="K98" t="s">
        <v>78</v>
      </c>
      <c r="L98" t="s">
        <v>75</v>
      </c>
      <c r="M98" t="s">
        <v>76</v>
      </c>
      <c r="N98" t="s">
        <v>112</v>
      </c>
      <c r="O98" t="s">
        <v>82</v>
      </c>
      <c r="P98" t="str">
        <f>"4170041769                    "</f>
        <v xml:space="preserve">4170041769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16.7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4</v>
      </c>
      <c r="BJ98">
        <v>7.5</v>
      </c>
      <c r="BK98">
        <v>8</v>
      </c>
      <c r="BL98">
        <v>54.66</v>
      </c>
      <c r="BM98">
        <v>8.1999999999999993</v>
      </c>
      <c r="BN98">
        <v>62.86</v>
      </c>
      <c r="BO98">
        <v>62.86</v>
      </c>
      <c r="BQ98" t="s">
        <v>113</v>
      </c>
      <c r="BR98" t="s">
        <v>84</v>
      </c>
      <c r="BS98" s="3">
        <v>45811</v>
      </c>
      <c r="BT98" s="4">
        <v>0.45208333333333334</v>
      </c>
      <c r="BU98" t="s">
        <v>434</v>
      </c>
      <c r="BV98" t="s">
        <v>90</v>
      </c>
      <c r="BW98" t="s">
        <v>144</v>
      </c>
      <c r="BX98" t="s">
        <v>145</v>
      </c>
      <c r="BY98">
        <v>37323</v>
      </c>
      <c r="BZ98" t="s">
        <v>87</v>
      </c>
      <c r="CA98" t="s">
        <v>435</v>
      </c>
      <c r="CC98" t="s">
        <v>76</v>
      </c>
      <c r="CD98">
        <v>1600</v>
      </c>
      <c r="CE98" t="s">
        <v>99</v>
      </c>
      <c r="CF98" s="3">
        <v>45812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"080065701115"</f>
        <v>080065701115</v>
      </c>
      <c r="F99" s="3">
        <v>45810</v>
      </c>
      <c r="G99">
        <v>202603</v>
      </c>
      <c r="H99" t="s">
        <v>75</v>
      </c>
      <c r="I99" t="s">
        <v>76</v>
      </c>
      <c r="J99" t="s">
        <v>77</v>
      </c>
      <c r="K99" t="s">
        <v>78</v>
      </c>
      <c r="L99" t="s">
        <v>436</v>
      </c>
      <c r="M99" t="s">
        <v>437</v>
      </c>
      <c r="N99" t="s">
        <v>438</v>
      </c>
      <c r="O99" t="s">
        <v>82</v>
      </c>
      <c r="P99" t="str">
        <f>"4170041690                    "</f>
        <v xml:space="preserve">4170041690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16.7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7</v>
      </c>
      <c r="BJ99">
        <v>7.4</v>
      </c>
      <c r="BK99">
        <v>8</v>
      </c>
      <c r="BL99">
        <v>54.66</v>
      </c>
      <c r="BM99">
        <v>8.1999999999999993</v>
      </c>
      <c r="BN99">
        <v>62.86</v>
      </c>
      <c r="BO99">
        <v>62.86</v>
      </c>
      <c r="BQ99" t="s">
        <v>439</v>
      </c>
      <c r="BR99" t="s">
        <v>84</v>
      </c>
      <c r="BS99" s="3">
        <v>45811</v>
      </c>
      <c r="BT99" s="4">
        <v>0.43263888888888891</v>
      </c>
      <c r="BU99" t="s">
        <v>440</v>
      </c>
      <c r="BV99" t="s">
        <v>86</v>
      </c>
      <c r="BY99">
        <v>37126</v>
      </c>
      <c r="BZ99" t="s">
        <v>87</v>
      </c>
      <c r="CA99" t="s">
        <v>441</v>
      </c>
      <c r="CC99" t="s">
        <v>437</v>
      </c>
      <c r="CD99">
        <v>1500</v>
      </c>
      <c r="CE99" t="s">
        <v>89</v>
      </c>
      <c r="CF99" s="3">
        <v>45811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"080065701350"</f>
        <v>080065701350</v>
      </c>
      <c r="F100" s="3">
        <v>45810</v>
      </c>
      <c r="G100">
        <v>202603</v>
      </c>
      <c r="H100" t="s">
        <v>75</v>
      </c>
      <c r="I100" t="s">
        <v>76</v>
      </c>
      <c r="J100" t="s">
        <v>77</v>
      </c>
      <c r="K100" t="s">
        <v>78</v>
      </c>
      <c r="L100" t="s">
        <v>100</v>
      </c>
      <c r="M100" t="s">
        <v>101</v>
      </c>
      <c r="N100" t="s">
        <v>102</v>
      </c>
      <c r="O100" t="s">
        <v>82</v>
      </c>
      <c r="P100" t="str">
        <f>"4170041624                    "</f>
        <v xml:space="preserve">4170041624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21.38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1.7</v>
      </c>
      <c r="BK100">
        <v>2</v>
      </c>
      <c r="BL100">
        <v>69.98</v>
      </c>
      <c r="BM100">
        <v>10.5</v>
      </c>
      <c r="BN100">
        <v>80.48</v>
      </c>
      <c r="BO100">
        <v>80.48</v>
      </c>
      <c r="BQ100" t="s">
        <v>103</v>
      </c>
      <c r="BR100" t="s">
        <v>84</v>
      </c>
      <c r="BS100" s="3">
        <v>45811</v>
      </c>
      <c r="BT100" s="4">
        <v>0.39861111111111114</v>
      </c>
      <c r="BU100" t="s">
        <v>442</v>
      </c>
      <c r="BV100" t="s">
        <v>86</v>
      </c>
      <c r="BY100">
        <v>8512</v>
      </c>
      <c r="BZ100" t="s">
        <v>87</v>
      </c>
      <c r="CA100" t="s">
        <v>235</v>
      </c>
      <c r="CC100" t="s">
        <v>101</v>
      </c>
      <c r="CD100">
        <v>6056</v>
      </c>
      <c r="CE100" t="s">
        <v>180</v>
      </c>
      <c r="CF100" s="3">
        <v>45811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"080065701396"</f>
        <v>080065701396</v>
      </c>
      <c r="F101" s="3">
        <v>45810</v>
      </c>
      <c r="G101">
        <v>202603</v>
      </c>
      <c r="H101" t="s">
        <v>75</v>
      </c>
      <c r="I101" t="s">
        <v>76</v>
      </c>
      <c r="J101" t="s">
        <v>77</v>
      </c>
      <c r="K101" t="s">
        <v>78</v>
      </c>
      <c r="L101" t="s">
        <v>159</v>
      </c>
      <c r="M101" t="s">
        <v>160</v>
      </c>
      <c r="N101" t="s">
        <v>409</v>
      </c>
      <c r="O101" t="s">
        <v>82</v>
      </c>
      <c r="P101" t="str">
        <f>"4170041696                    "</f>
        <v xml:space="preserve">4170041696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16.7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54.66</v>
      </c>
      <c r="BM101">
        <v>8.1999999999999993</v>
      </c>
      <c r="BN101">
        <v>62.86</v>
      </c>
      <c r="BO101">
        <v>62.86</v>
      </c>
      <c r="BQ101" t="s">
        <v>410</v>
      </c>
      <c r="BR101" t="s">
        <v>84</v>
      </c>
      <c r="BS101" s="3">
        <v>45811</v>
      </c>
      <c r="BT101" s="4">
        <v>0.33750000000000002</v>
      </c>
      <c r="BU101" t="s">
        <v>443</v>
      </c>
      <c r="BV101" t="s">
        <v>86</v>
      </c>
      <c r="BY101">
        <v>1200</v>
      </c>
      <c r="BZ101" t="s">
        <v>87</v>
      </c>
      <c r="CA101" t="s">
        <v>444</v>
      </c>
      <c r="CC101" t="s">
        <v>160</v>
      </c>
      <c r="CD101">
        <v>2091</v>
      </c>
      <c r="CE101" t="s">
        <v>89</v>
      </c>
      <c r="CF101" s="3">
        <v>45812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"080065701412"</f>
        <v>080065701412</v>
      </c>
      <c r="F102" s="3">
        <v>45810</v>
      </c>
      <c r="G102">
        <v>202603</v>
      </c>
      <c r="H102" t="s">
        <v>75</v>
      </c>
      <c r="I102" t="s">
        <v>76</v>
      </c>
      <c r="J102" t="s">
        <v>77</v>
      </c>
      <c r="K102" t="s">
        <v>78</v>
      </c>
      <c r="L102" t="s">
        <v>284</v>
      </c>
      <c r="M102" t="s">
        <v>285</v>
      </c>
      <c r="N102" t="s">
        <v>286</v>
      </c>
      <c r="O102" t="s">
        <v>82</v>
      </c>
      <c r="P102" t="str">
        <f>"4170041622                    "</f>
        <v xml:space="preserve">4170041622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16.7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54.66</v>
      </c>
      <c r="BM102">
        <v>8.1999999999999993</v>
      </c>
      <c r="BN102">
        <v>62.86</v>
      </c>
      <c r="BO102">
        <v>62.86</v>
      </c>
      <c r="BQ102" t="s">
        <v>287</v>
      </c>
      <c r="BR102" t="s">
        <v>84</v>
      </c>
      <c r="BS102" s="3">
        <v>45811</v>
      </c>
      <c r="BT102" s="4">
        <v>0.5</v>
      </c>
      <c r="BU102" t="s">
        <v>288</v>
      </c>
      <c r="BV102" t="s">
        <v>86</v>
      </c>
      <c r="BY102">
        <v>1200</v>
      </c>
      <c r="BZ102" t="s">
        <v>87</v>
      </c>
      <c r="CA102" t="s">
        <v>289</v>
      </c>
      <c r="CC102" t="s">
        <v>285</v>
      </c>
      <c r="CD102">
        <v>1559</v>
      </c>
      <c r="CE102" t="s">
        <v>89</v>
      </c>
      <c r="CF102" s="3">
        <v>45811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"080065701445"</f>
        <v>080065701445</v>
      </c>
      <c r="F103" s="3">
        <v>45810</v>
      </c>
      <c r="G103">
        <v>202603</v>
      </c>
      <c r="H103" t="s">
        <v>75</v>
      </c>
      <c r="I103" t="s">
        <v>76</v>
      </c>
      <c r="J103" t="s">
        <v>77</v>
      </c>
      <c r="K103" t="s">
        <v>78</v>
      </c>
      <c r="L103" t="s">
        <v>445</v>
      </c>
      <c r="M103" t="s">
        <v>446</v>
      </c>
      <c r="N103" t="s">
        <v>447</v>
      </c>
      <c r="O103" t="s">
        <v>82</v>
      </c>
      <c r="P103" t="str">
        <f>"4170041737                    "</f>
        <v xml:space="preserve">4170041737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21.38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69.98</v>
      </c>
      <c r="BM103">
        <v>10.5</v>
      </c>
      <c r="BN103">
        <v>80.48</v>
      </c>
      <c r="BO103">
        <v>80.48</v>
      </c>
      <c r="BQ103" t="s">
        <v>448</v>
      </c>
      <c r="BR103" t="s">
        <v>84</v>
      </c>
      <c r="BS103" s="3">
        <v>45811</v>
      </c>
      <c r="BT103" s="4">
        <v>0.43263888888888891</v>
      </c>
      <c r="BU103" t="s">
        <v>449</v>
      </c>
      <c r="BV103" t="s">
        <v>86</v>
      </c>
      <c r="BY103">
        <v>1200</v>
      </c>
      <c r="BZ103" t="s">
        <v>87</v>
      </c>
      <c r="CA103" t="s">
        <v>450</v>
      </c>
      <c r="CC103" t="s">
        <v>446</v>
      </c>
      <c r="CD103">
        <v>4126</v>
      </c>
      <c r="CE103" t="s">
        <v>89</v>
      </c>
      <c r="CF103" s="3">
        <v>45812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"080065701532"</f>
        <v>080065701532</v>
      </c>
      <c r="F104" s="3">
        <v>45810</v>
      </c>
      <c r="G104">
        <v>202603</v>
      </c>
      <c r="H104" t="s">
        <v>75</v>
      </c>
      <c r="I104" t="s">
        <v>76</v>
      </c>
      <c r="J104" t="s">
        <v>77</v>
      </c>
      <c r="K104" t="s">
        <v>78</v>
      </c>
      <c r="L104" t="s">
        <v>130</v>
      </c>
      <c r="M104" t="s">
        <v>131</v>
      </c>
      <c r="N104" t="s">
        <v>451</v>
      </c>
      <c r="O104" t="s">
        <v>276</v>
      </c>
      <c r="P104" t="str">
        <f>"4170041742                    "</f>
        <v xml:space="preserve">4170041742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11</v>
      </c>
      <c r="BJ104">
        <v>3.8</v>
      </c>
      <c r="BK104">
        <v>11</v>
      </c>
      <c r="BL104">
        <v>73.08</v>
      </c>
      <c r="BM104">
        <v>10.96</v>
      </c>
      <c r="BN104">
        <v>84.04</v>
      </c>
      <c r="BO104">
        <v>84.04</v>
      </c>
      <c r="BQ104" t="s">
        <v>452</v>
      </c>
      <c r="BR104" t="s">
        <v>84</v>
      </c>
      <c r="BS104" s="3">
        <v>45811</v>
      </c>
      <c r="BT104" s="4">
        <v>0.44444444444444442</v>
      </c>
      <c r="BU104" t="s">
        <v>453</v>
      </c>
      <c r="BV104" t="s">
        <v>86</v>
      </c>
      <c r="BY104">
        <v>19227</v>
      </c>
      <c r="BZ104" t="s">
        <v>97</v>
      </c>
      <c r="CA104" t="s">
        <v>454</v>
      </c>
      <c r="CC104" t="s">
        <v>131</v>
      </c>
      <c r="CD104">
        <v>1459</v>
      </c>
      <c r="CE104" t="s">
        <v>99</v>
      </c>
      <c r="CF104" s="3">
        <v>45811</v>
      </c>
      <c r="CI104">
        <v>1</v>
      </c>
      <c r="CJ104">
        <v>1</v>
      </c>
      <c r="CK104">
        <v>32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"080065701734"</f>
        <v>080065701734</v>
      </c>
      <c r="F105" s="3">
        <v>45810</v>
      </c>
      <c r="G105">
        <v>202603</v>
      </c>
      <c r="H105" t="s">
        <v>75</v>
      </c>
      <c r="I105" t="s">
        <v>76</v>
      </c>
      <c r="J105" t="s">
        <v>77</v>
      </c>
      <c r="K105" t="s">
        <v>78</v>
      </c>
      <c r="L105" t="s">
        <v>455</v>
      </c>
      <c r="M105" t="s">
        <v>456</v>
      </c>
      <c r="N105" t="s">
        <v>457</v>
      </c>
      <c r="O105" t="s">
        <v>82</v>
      </c>
      <c r="P105" t="str">
        <f>"4170041751                    "</f>
        <v xml:space="preserve">4170041751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41.43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2</v>
      </c>
      <c r="BK105">
        <v>2</v>
      </c>
      <c r="BL105">
        <v>135.59</v>
      </c>
      <c r="BM105">
        <v>20.34</v>
      </c>
      <c r="BN105">
        <v>155.93</v>
      </c>
      <c r="BO105">
        <v>155.93</v>
      </c>
      <c r="BQ105" t="s">
        <v>458</v>
      </c>
      <c r="BR105" t="s">
        <v>84</v>
      </c>
      <c r="BS105" s="3">
        <v>45813</v>
      </c>
      <c r="BT105" s="4">
        <v>0.43680555555555556</v>
      </c>
      <c r="BU105" t="s">
        <v>459</v>
      </c>
      <c r="BV105" t="s">
        <v>90</v>
      </c>
      <c r="BW105" t="s">
        <v>144</v>
      </c>
      <c r="BX105" t="s">
        <v>460</v>
      </c>
      <c r="BY105">
        <v>9900</v>
      </c>
      <c r="BZ105" t="s">
        <v>87</v>
      </c>
      <c r="CC105" t="s">
        <v>456</v>
      </c>
      <c r="CD105">
        <v>4240</v>
      </c>
      <c r="CE105" t="s">
        <v>99</v>
      </c>
      <c r="CF105" s="3">
        <v>45813</v>
      </c>
      <c r="CI105">
        <v>2</v>
      </c>
      <c r="CJ105">
        <v>3</v>
      </c>
      <c r="CK105">
        <v>23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"080065701763"</f>
        <v>080065701763</v>
      </c>
      <c r="F106" s="3">
        <v>45810</v>
      </c>
      <c r="G106">
        <v>202603</v>
      </c>
      <c r="H106" t="s">
        <v>75</v>
      </c>
      <c r="I106" t="s">
        <v>76</v>
      </c>
      <c r="J106" t="s">
        <v>77</v>
      </c>
      <c r="K106" t="s">
        <v>78</v>
      </c>
      <c r="L106" t="s">
        <v>461</v>
      </c>
      <c r="M106" t="s">
        <v>462</v>
      </c>
      <c r="N106" t="s">
        <v>463</v>
      </c>
      <c r="O106" t="s">
        <v>82</v>
      </c>
      <c r="P106" t="str">
        <f>"4170041750                    "</f>
        <v xml:space="preserve">4170041750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16.7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54.66</v>
      </c>
      <c r="BM106">
        <v>8.1999999999999993</v>
      </c>
      <c r="BN106">
        <v>62.86</v>
      </c>
      <c r="BO106">
        <v>62.86</v>
      </c>
      <c r="BQ106" t="s">
        <v>464</v>
      </c>
      <c r="BR106" t="s">
        <v>84</v>
      </c>
      <c r="BS106" s="3">
        <v>45811</v>
      </c>
      <c r="BT106" s="4">
        <v>0.40277777777777779</v>
      </c>
      <c r="BU106" t="s">
        <v>465</v>
      </c>
      <c r="BV106" t="s">
        <v>86</v>
      </c>
      <c r="BY106">
        <v>1200</v>
      </c>
      <c r="BZ106" t="s">
        <v>87</v>
      </c>
      <c r="CA106" t="s">
        <v>466</v>
      </c>
      <c r="CC106" t="s">
        <v>462</v>
      </c>
      <c r="CD106">
        <v>1682</v>
      </c>
      <c r="CE106" t="s">
        <v>89</v>
      </c>
      <c r="CF106" s="3">
        <v>45812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"080065701791"</f>
        <v>080065701791</v>
      </c>
      <c r="F107" s="3">
        <v>45810</v>
      </c>
      <c r="G107">
        <v>202603</v>
      </c>
      <c r="H107" t="s">
        <v>75</v>
      </c>
      <c r="I107" t="s">
        <v>76</v>
      </c>
      <c r="J107" t="s">
        <v>77</v>
      </c>
      <c r="K107" t="s">
        <v>78</v>
      </c>
      <c r="L107" t="s">
        <v>100</v>
      </c>
      <c r="M107" t="s">
        <v>101</v>
      </c>
      <c r="N107" t="s">
        <v>467</v>
      </c>
      <c r="O107" t="s">
        <v>82</v>
      </c>
      <c r="P107" t="str">
        <f>"4170041739                    "</f>
        <v xml:space="preserve">4170041739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21.38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69.98</v>
      </c>
      <c r="BM107">
        <v>10.5</v>
      </c>
      <c r="BN107">
        <v>80.48</v>
      </c>
      <c r="BO107">
        <v>80.48</v>
      </c>
      <c r="BQ107" t="s">
        <v>468</v>
      </c>
      <c r="BR107" t="s">
        <v>84</v>
      </c>
      <c r="BS107" s="3">
        <v>45811</v>
      </c>
      <c r="BT107" s="4">
        <v>0.33402777777777776</v>
      </c>
      <c r="BU107" t="s">
        <v>469</v>
      </c>
      <c r="BV107" t="s">
        <v>86</v>
      </c>
      <c r="BY107">
        <v>1200</v>
      </c>
      <c r="BZ107" t="s">
        <v>87</v>
      </c>
      <c r="CA107" t="s">
        <v>394</v>
      </c>
      <c r="CC107" t="s">
        <v>101</v>
      </c>
      <c r="CD107">
        <v>6045</v>
      </c>
      <c r="CE107" t="s">
        <v>89</v>
      </c>
      <c r="CF107" s="3">
        <v>45811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"080065702440"</f>
        <v>080065702440</v>
      </c>
      <c r="F108" s="3">
        <v>45810</v>
      </c>
      <c r="G108">
        <v>202603</v>
      </c>
      <c r="H108" t="s">
        <v>75</v>
      </c>
      <c r="I108" t="s">
        <v>76</v>
      </c>
      <c r="J108" t="s">
        <v>77</v>
      </c>
      <c r="K108" t="s">
        <v>78</v>
      </c>
      <c r="L108" t="s">
        <v>331</v>
      </c>
      <c r="M108" t="s">
        <v>332</v>
      </c>
      <c r="N108" t="s">
        <v>470</v>
      </c>
      <c r="O108" t="s">
        <v>82</v>
      </c>
      <c r="P108" t="str">
        <f>"4170041758                    "</f>
        <v xml:space="preserve">4170041758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149.58000000000001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7</v>
      </c>
      <c r="BJ108">
        <v>14</v>
      </c>
      <c r="BK108">
        <v>14</v>
      </c>
      <c r="BL108">
        <v>489.54</v>
      </c>
      <c r="BM108">
        <v>73.430000000000007</v>
      </c>
      <c r="BN108">
        <v>562.97</v>
      </c>
      <c r="BO108">
        <v>562.97</v>
      </c>
      <c r="BQ108" t="s">
        <v>471</v>
      </c>
      <c r="BR108" t="s">
        <v>84</v>
      </c>
      <c r="BS108" s="3">
        <v>45811</v>
      </c>
      <c r="BT108" s="4">
        <v>0.38194444444444442</v>
      </c>
      <c r="BU108" t="s">
        <v>472</v>
      </c>
      <c r="BV108" t="s">
        <v>86</v>
      </c>
      <c r="BY108">
        <v>70000</v>
      </c>
      <c r="BZ108" t="s">
        <v>87</v>
      </c>
      <c r="CA108" t="s">
        <v>473</v>
      </c>
      <c r="CC108" t="s">
        <v>332</v>
      </c>
      <c r="CD108">
        <v>4068</v>
      </c>
      <c r="CE108" t="s">
        <v>166</v>
      </c>
      <c r="CF108" s="3">
        <v>45812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"080065702518"</f>
        <v>080065702518</v>
      </c>
      <c r="F109" s="3">
        <v>45810</v>
      </c>
      <c r="G109">
        <v>202603</v>
      </c>
      <c r="H109" t="s">
        <v>75</v>
      </c>
      <c r="I109" t="s">
        <v>76</v>
      </c>
      <c r="J109" t="s">
        <v>77</v>
      </c>
      <c r="K109" t="s">
        <v>78</v>
      </c>
      <c r="L109" t="s">
        <v>474</v>
      </c>
      <c r="M109" t="s">
        <v>475</v>
      </c>
      <c r="N109" t="s">
        <v>476</v>
      </c>
      <c r="O109" t="s">
        <v>82</v>
      </c>
      <c r="P109" t="str">
        <f>"4170041725                    "</f>
        <v xml:space="preserve">4170041725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41.43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135.59</v>
      </c>
      <c r="BM109">
        <v>20.34</v>
      </c>
      <c r="BN109">
        <v>155.93</v>
      </c>
      <c r="BO109">
        <v>155.93</v>
      </c>
      <c r="BQ109" t="s">
        <v>477</v>
      </c>
      <c r="BR109" t="s">
        <v>84</v>
      </c>
      <c r="BS109" s="3">
        <v>45811</v>
      </c>
      <c r="BT109" s="4">
        <v>0.46458333333333335</v>
      </c>
      <c r="BU109" t="s">
        <v>478</v>
      </c>
      <c r="BV109" t="s">
        <v>86</v>
      </c>
      <c r="BY109">
        <v>1200</v>
      </c>
      <c r="BZ109" t="s">
        <v>87</v>
      </c>
      <c r="CA109" t="s">
        <v>479</v>
      </c>
      <c r="CC109" t="s">
        <v>475</v>
      </c>
      <c r="CD109">
        <v>6715</v>
      </c>
      <c r="CE109" t="s">
        <v>89</v>
      </c>
      <c r="CF109" s="3">
        <v>45812</v>
      </c>
      <c r="CI109">
        <v>2</v>
      </c>
      <c r="CJ109">
        <v>1</v>
      </c>
      <c r="CK109">
        <v>23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"080065702551"</f>
        <v>080065702551</v>
      </c>
      <c r="F110" s="3">
        <v>45810</v>
      </c>
      <c r="G110">
        <v>202603</v>
      </c>
      <c r="H110" t="s">
        <v>75</v>
      </c>
      <c r="I110" t="s">
        <v>76</v>
      </c>
      <c r="J110" t="s">
        <v>77</v>
      </c>
      <c r="K110" t="s">
        <v>78</v>
      </c>
      <c r="L110" t="s">
        <v>331</v>
      </c>
      <c r="M110" t="s">
        <v>332</v>
      </c>
      <c r="N110" t="s">
        <v>480</v>
      </c>
      <c r="O110" t="s">
        <v>82</v>
      </c>
      <c r="P110" t="str">
        <f>"4170041689                    "</f>
        <v xml:space="preserve">4170041689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117.53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11</v>
      </c>
      <c r="BJ110">
        <v>4.3</v>
      </c>
      <c r="BK110">
        <v>11</v>
      </c>
      <c r="BL110">
        <v>384.65</v>
      </c>
      <c r="BM110">
        <v>57.7</v>
      </c>
      <c r="BN110">
        <v>442.35</v>
      </c>
      <c r="BO110">
        <v>442.35</v>
      </c>
      <c r="BQ110" t="s">
        <v>481</v>
      </c>
      <c r="BR110" t="s">
        <v>84</v>
      </c>
      <c r="BS110" s="3">
        <v>45811</v>
      </c>
      <c r="BT110" s="4">
        <v>0.39305555555555555</v>
      </c>
      <c r="BU110" t="s">
        <v>482</v>
      </c>
      <c r="BV110" t="s">
        <v>86</v>
      </c>
      <c r="BY110">
        <v>21489</v>
      </c>
      <c r="BZ110" t="s">
        <v>87</v>
      </c>
      <c r="CA110" t="s">
        <v>483</v>
      </c>
      <c r="CC110" t="s">
        <v>332</v>
      </c>
      <c r="CD110">
        <v>4001</v>
      </c>
      <c r="CE110" t="s">
        <v>99</v>
      </c>
      <c r="CF110" s="3">
        <v>45811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"080065702549"</f>
        <v>080065702549</v>
      </c>
      <c r="F111" s="3">
        <v>45810</v>
      </c>
      <c r="G111">
        <v>202603</v>
      </c>
      <c r="H111" t="s">
        <v>75</v>
      </c>
      <c r="I111" t="s">
        <v>76</v>
      </c>
      <c r="J111" t="s">
        <v>77</v>
      </c>
      <c r="K111" t="s">
        <v>78</v>
      </c>
      <c r="L111" t="s">
        <v>159</v>
      </c>
      <c r="M111" t="s">
        <v>160</v>
      </c>
      <c r="N111" t="s">
        <v>230</v>
      </c>
      <c r="O111" t="s">
        <v>82</v>
      </c>
      <c r="P111" t="str">
        <f>"4170041726                    "</f>
        <v xml:space="preserve">4170041726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16.7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54.66</v>
      </c>
      <c r="BM111">
        <v>8.1999999999999993</v>
      </c>
      <c r="BN111">
        <v>62.86</v>
      </c>
      <c r="BO111">
        <v>62.86</v>
      </c>
      <c r="BQ111" t="s">
        <v>231</v>
      </c>
      <c r="BR111" t="s">
        <v>84</v>
      </c>
      <c r="BS111" s="3">
        <v>45811</v>
      </c>
      <c r="BT111" s="4">
        <v>0.43680555555555556</v>
      </c>
      <c r="BU111" t="s">
        <v>232</v>
      </c>
      <c r="BV111" t="s">
        <v>86</v>
      </c>
      <c r="BY111">
        <v>1200</v>
      </c>
      <c r="BZ111" t="s">
        <v>87</v>
      </c>
      <c r="CA111" t="s">
        <v>233</v>
      </c>
      <c r="CC111" t="s">
        <v>160</v>
      </c>
      <c r="CD111">
        <v>2094</v>
      </c>
      <c r="CE111" t="s">
        <v>89</v>
      </c>
      <c r="CF111" s="3">
        <v>45811</v>
      </c>
      <c r="CI111">
        <v>1</v>
      </c>
      <c r="CJ111">
        <v>1</v>
      </c>
      <c r="CK111">
        <v>22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"080065702581"</f>
        <v>080065702581</v>
      </c>
      <c r="F112" s="3">
        <v>45810</v>
      </c>
      <c r="G112">
        <v>202603</v>
      </c>
      <c r="H112" t="s">
        <v>75</v>
      </c>
      <c r="I112" t="s">
        <v>76</v>
      </c>
      <c r="J112" t="s">
        <v>77</v>
      </c>
      <c r="K112" t="s">
        <v>78</v>
      </c>
      <c r="L112" t="s">
        <v>91</v>
      </c>
      <c r="M112" t="s">
        <v>92</v>
      </c>
      <c r="N112" t="s">
        <v>341</v>
      </c>
      <c r="O112" t="s">
        <v>82</v>
      </c>
      <c r="P112" t="str">
        <f>"4170041727                    "</f>
        <v xml:space="preserve">4170041727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21.38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69.98</v>
      </c>
      <c r="BM112">
        <v>10.5</v>
      </c>
      <c r="BN112">
        <v>80.48</v>
      </c>
      <c r="BO112">
        <v>80.48</v>
      </c>
      <c r="BQ112" t="s">
        <v>342</v>
      </c>
      <c r="BR112" t="s">
        <v>84</v>
      </c>
      <c r="BS112" s="3">
        <v>45811</v>
      </c>
      <c r="BT112" s="4">
        <v>0.50069444444444444</v>
      </c>
      <c r="BU112" t="s">
        <v>343</v>
      </c>
      <c r="BV112" t="s">
        <v>90</v>
      </c>
      <c r="BW112" t="s">
        <v>144</v>
      </c>
      <c r="BX112" t="s">
        <v>344</v>
      </c>
      <c r="BY112">
        <v>1200</v>
      </c>
      <c r="BZ112" t="s">
        <v>87</v>
      </c>
      <c r="CC112" t="s">
        <v>92</v>
      </c>
      <c r="CD112">
        <v>7535</v>
      </c>
      <c r="CE112" t="s">
        <v>89</v>
      </c>
      <c r="CF112" s="3">
        <v>45812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"080065702594"</f>
        <v>080065702594</v>
      </c>
      <c r="F113" s="3">
        <v>45810</v>
      </c>
      <c r="G113">
        <v>202603</v>
      </c>
      <c r="H113" t="s">
        <v>75</v>
      </c>
      <c r="I113" t="s">
        <v>76</v>
      </c>
      <c r="J113" t="s">
        <v>77</v>
      </c>
      <c r="K113" t="s">
        <v>78</v>
      </c>
      <c r="L113" t="s">
        <v>331</v>
      </c>
      <c r="M113" t="s">
        <v>332</v>
      </c>
      <c r="N113" t="s">
        <v>484</v>
      </c>
      <c r="O113" t="s">
        <v>82</v>
      </c>
      <c r="P113" t="str">
        <f>"4170041736                    "</f>
        <v xml:space="preserve">4170041736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53.43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5</v>
      </c>
      <c r="BJ113">
        <v>2.2000000000000002</v>
      </c>
      <c r="BK113">
        <v>5</v>
      </c>
      <c r="BL113">
        <v>174.87</v>
      </c>
      <c r="BM113">
        <v>26.23</v>
      </c>
      <c r="BN113">
        <v>201.1</v>
      </c>
      <c r="BO113">
        <v>201.1</v>
      </c>
      <c r="BQ113" t="s">
        <v>485</v>
      </c>
      <c r="BR113" t="s">
        <v>84</v>
      </c>
      <c r="BS113" s="3">
        <v>45811</v>
      </c>
      <c r="BT113" s="4">
        <v>0.40138888888888891</v>
      </c>
      <c r="BU113" t="s">
        <v>486</v>
      </c>
      <c r="BV113" t="s">
        <v>86</v>
      </c>
      <c r="BY113">
        <v>11200</v>
      </c>
      <c r="BZ113" t="s">
        <v>87</v>
      </c>
      <c r="CA113" t="s">
        <v>487</v>
      </c>
      <c r="CC113" t="s">
        <v>332</v>
      </c>
      <c r="CD113">
        <v>4052</v>
      </c>
      <c r="CE113" t="s">
        <v>180</v>
      </c>
      <c r="CF113" s="3">
        <v>45812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"080065702602"</f>
        <v>080065702602</v>
      </c>
      <c r="F114" s="3">
        <v>45810</v>
      </c>
      <c r="G114">
        <v>202603</v>
      </c>
      <c r="H114" t="s">
        <v>75</v>
      </c>
      <c r="I114" t="s">
        <v>76</v>
      </c>
      <c r="J114" t="s">
        <v>77</v>
      </c>
      <c r="K114" t="s">
        <v>78</v>
      </c>
      <c r="L114" t="s">
        <v>116</v>
      </c>
      <c r="M114" t="s">
        <v>117</v>
      </c>
      <c r="N114" t="s">
        <v>488</v>
      </c>
      <c r="O114" t="s">
        <v>82</v>
      </c>
      <c r="P114" t="str">
        <f>"4170041749                    "</f>
        <v xml:space="preserve">4170041749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21.38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69.98</v>
      </c>
      <c r="BM114">
        <v>10.5</v>
      </c>
      <c r="BN114">
        <v>80.48</v>
      </c>
      <c r="BO114">
        <v>80.48</v>
      </c>
      <c r="BQ114" t="s">
        <v>489</v>
      </c>
      <c r="BR114" t="s">
        <v>84</v>
      </c>
      <c r="BS114" s="3">
        <v>45812</v>
      </c>
      <c r="BT114" s="4">
        <v>0.41666666666666669</v>
      </c>
      <c r="BU114" t="s">
        <v>490</v>
      </c>
      <c r="BV114" t="s">
        <v>90</v>
      </c>
      <c r="BY114">
        <v>1200</v>
      </c>
      <c r="BZ114" t="s">
        <v>87</v>
      </c>
      <c r="CA114" t="s">
        <v>491</v>
      </c>
      <c r="CC114" t="s">
        <v>117</v>
      </c>
      <c r="CD114">
        <v>3201</v>
      </c>
      <c r="CE114" t="s">
        <v>89</v>
      </c>
      <c r="CF114" s="3">
        <v>45813</v>
      </c>
      <c r="CI114">
        <v>1</v>
      </c>
      <c r="CJ114">
        <v>2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"080065702617"</f>
        <v>080065702617</v>
      </c>
      <c r="F115" s="3">
        <v>45810</v>
      </c>
      <c r="G115">
        <v>202603</v>
      </c>
      <c r="H115" t="s">
        <v>75</v>
      </c>
      <c r="I115" t="s">
        <v>76</v>
      </c>
      <c r="J115" t="s">
        <v>77</v>
      </c>
      <c r="K115" t="s">
        <v>78</v>
      </c>
      <c r="L115" t="s">
        <v>100</v>
      </c>
      <c r="M115" t="s">
        <v>101</v>
      </c>
      <c r="N115" t="s">
        <v>492</v>
      </c>
      <c r="O115" t="s">
        <v>82</v>
      </c>
      <c r="P115" t="str">
        <f>"4170041735                    "</f>
        <v xml:space="preserve">4170041735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21.38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69.98</v>
      </c>
      <c r="BM115">
        <v>10.5</v>
      </c>
      <c r="BN115">
        <v>80.48</v>
      </c>
      <c r="BO115">
        <v>80.48</v>
      </c>
      <c r="BQ115" t="s">
        <v>493</v>
      </c>
      <c r="BR115" t="s">
        <v>84</v>
      </c>
      <c r="BS115" s="3">
        <v>45811</v>
      </c>
      <c r="BT115" s="4">
        <v>0.37569444444444444</v>
      </c>
      <c r="BU115" t="s">
        <v>494</v>
      </c>
      <c r="BV115" t="s">
        <v>86</v>
      </c>
      <c r="BY115">
        <v>1200</v>
      </c>
      <c r="BZ115" t="s">
        <v>87</v>
      </c>
      <c r="CA115" t="s">
        <v>348</v>
      </c>
      <c r="CC115" t="s">
        <v>101</v>
      </c>
      <c r="CD115">
        <v>6001</v>
      </c>
      <c r="CE115" t="s">
        <v>89</v>
      </c>
      <c r="CF115" s="3">
        <v>45811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"080065702629"</f>
        <v>080065702629</v>
      </c>
      <c r="F116" s="3">
        <v>45810</v>
      </c>
      <c r="G116">
        <v>202603</v>
      </c>
      <c r="H116" t="s">
        <v>75</v>
      </c>
      <c r="I116" t="s">
        <v>76</v>
      </c>
      <c r="J116" t="s">
        <v>77</v>
      </c>
      <c r="K116" t="s">
        <v>78</v>
      </c>
      <c r="L116" t="s">
        <v>106</v>
      </c>
      <c r="M116" t="s">
        <v>107</v>
      </c>
      <c r="N116" t="s">
        <v>495</v>
      </c>
      <c r="O116" t="s">
        <v>82</v>
      </c>
      <c r="P116" t="str">
        <f>"4170041701                    "</f>
        <v xml:space="preserve">4170041701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21.38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0.9</v>
      </c>
      <c r="BK116">
        <v>1</v>
      </c>
      <c r="BL116">
        <v>69.98</v>
      </c>
      <c r="BM116">
        <v>10.5</v>
      </c>
      <c r="BN116">
        <v>80.48</v>
      </c>
      <c r="BO116">
        <v>80.48</v>
      </c>
      <c r="BQ116" t="s">
        <v>496</v>
      </c>
      <c r="BR116" t="s">
        <v>84</v>
      </c>
      <c r="BS116" s="3">
        <v>45811</v>
      </c>
      <c r="BT116" s="4">
        <v>0.2986111111111111</v>
      </c>
      <c r="BU116" t="s">
        <v>497</v>
      </c>
      <c r="BV116" t="s">
        <v>86</v>
      </c>
      <c r="BY116">
        <v>4275</v>
      </c>
      <c r="BZ116" t="s">
        <v>87</v>
      </c>
      <c r="CA116" t="s">
        <v>316</v>
      </c>
      <c r="CC116" t="s">
        <v>107</v>
      </c>
      <c r="CD116">
        <v>2</v>
      </c>
      <c r="CE116" t="s">
        <v>180</v>
      </c>
      <c r="CF116" s="3">
        <v>45811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"080065702656"</f>
        <v>080065702656</v>
      </c>
      <c r="F117" s="3">
        <v>45810</v>
      </c>
      <c r="G117">
        <v>202603</v>
      </c>
      <c r="H117" t="s">
        <v>75</v>
      </c>
      <c r="I117" t="s">
        <v>76</v>
      </c>
      <c r="J117" t="s">
        <v>77</v>
      </c>
      <c r="K117" t="s">
        <v>78</v>
      </c>
      <c r="L117" t="s">
        <v>375</v>
      </c>
      <c r="M117" t="s">
        <v>376</v>
      </c>
      <c r="N117" t="s">
        <v>498</v>
      </c>
      <c r="O117" t="s">
        <v>82</v>
      </c>
      <c r="P117" t="str">
        <f>"4170041759                    "</f>
        <v xml:space="preserve">4170041759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16.7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54.66</v>
      </c>
      <c r="BM117">
        <v>8.1999999999999993</v>
      </c>
      <c r="BN117">
        <v>62.86</v>
      </c>
      <c r="BO117">
        <v>62.86</v>
      </c>
      <c r="BQ117" t="s">
        <v>499</v>
      </c>
      <c r="BR117" t="s">
        <v>84</v>
      </c>
      <c r="BS117" s="3">
        <v>45811</v>
      </c>
      <c r="BT117" s="4">
        <v>0.4375</v>
      </c>
      <c r="BU117" t="s">
        <v>500</v>
      </c>
      <c r="BV117" t="s">
        <v>86</v>
      </c>
      <c r="BY117">
        <v>1200</v>
      </c>
      <c r="BZ117" t="s">
        <v>87</v>
      </c>
      <c r="CA117" t="s">
        <v>501</v>
      </c>
      <c r="CC117" t="s">
        <v>376</v>
      </c>
      <c r="CD117">
        <v>1428</v>
      </c>
      <c r="CE117" t="s">
        <v>89</v>
      </c>
      <c r="CF117" s="3">
        <v>45812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"080065702707"</f>
        <v>080065702707</v>
      </c>
      <c r="F118" s="3">
        <v>45810</v>
      </c>
      <c r="G118">
        <v>202603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147</v>
      </c>
      <c r="O118" t="s">
        <v>82</v>
      </c>
      <c r="P118" t="str">
        <f>"4170041723                    "</f>
        <v xml:space="preserve">4170041723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16.7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54.66</v>
      </c>
      <c r="BM118">
        <v>8.1999999999999993</v>
      </c>
      <c r="BN118">
        <v>62.86</v>
      </c>
      <c r="BO118">
        <v>62.86</v>
      </c>
      <c r="BQ118" t="s">
        <v>148</v>
      </c>
      <c r="BR118" t="s">
        <v>84</v>
      </c>
      <c r="BS118" s="3">
        <v>45811</v>
      </c>
      <c r="BT118" s="4">
        <v>0.42708333333333331</v>
      </c>
      <c r="BU118" t="s">
        <v>502</v>
      </c>
      <c r="BV118" t="s">
        <v>86</v>
      </c>
      <c r="BY118">
        <v>1200</v>
      </c>
      <c r="BZ118" t="s">
        <v>87</v>
      </c>
      <c r="CA118" t="s">
        <v>503</v>
      </c>
      <c r="CC118" t="s">
        <v>76</v>
      </c>
      <c r="CD118">
        <v>1600</v>
      </c>
      <c r="CE118" t="s">
        <v>89</v>
      </c>
      <c r="CF118" s="3">
        <v>45812</v>
      </c>
      <c r="CI118">
        <v>1</v>
      </c>
      <c r="CJ118">
        <v>1</v>
      </c>
      <c r="CK118">
        <v>22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"080065702748"</f>
        <v>080065702748</v>
      </c>
      <c r="F119" s="3">
        <v>45810</v>
      </c>
      <c r="G119">
        <v>202603</v>
      </c>
      <c r="H119" t="s">
        <v>75</v>
      </c>
      <c r="I119" t="s">
        <v>76</v>
      </c>
      <c r="J119" t="s">
        <v>77</v>
      </c>
      <c r="K119" t="s">
        <v>78</v>
      </c>
      <c r="L119" t="s">
        <v>504</v>
      </c>
      <c r="M119" t="s">
        <v>505</v>
      </c>
      <c r="N119" t="s">
        <v>506</v>
      </c>
      <c r="O119" t="s">
        <v>82</v>
      </c>
      <c r="P119" t="str">
        <f>"4170041693                    "</f>
        <v xml:space="preserve">4170041693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41.43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135.59</v>
      </c>
      <c r="BM119">
        <v>20.34</v>
      </c>
      <c r="BN119">
        <v>155.93</v>
      </c>
      <c r="BO119">
        <v>155.93</v>
      </c>
      <c r="BQ119" t="s">
        <v>507</v>
      </c>
      <c r="BR119" t="s">
        <v>84</v>
      </c>
      <c r="BS119" s="3">
        <v>45811</v>
      </c>
      <c r="BT119" s="4">
        <v>0.38194444444444442</v>
      </c>
      <c r="BU119" t="s">
        <v>508</v>
      </c>
      <c r="BV119" t="s">
        <v>86</v>
      </c>
      <c r="BY119">
        <v>1200</v>
      </c>
      <c r="BZ119" t="s">
        <v>87</v>
      </c>
      <c r="CC119" t="s">
        <v>505</v>
      </c>
      <c r="CD119">
        <v>2740</v>
      </c>
      <c r="CE119" t="s">
        <v>89</v>
      </c>
      <c r="CF119" s="3">
        <v>45812</v>
      </c>
      <c r="CI119">
        <v>1</v>
      </c>
      <c r="CJ119">
        <v>1</v>
      </c>
      <c r="CK119">
        <v>23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"080065702767"</f>
        <v>080065702767</v>
      </c>
      <c r="F120" s="3">
        <v>45810</v>
      </c>
      <c r="G120">
        <v>202603</v>
      </c>
      <c r="H120" t="s">
        <v>75</v>
      </c>
      <c r="I120" t="s">
        <v>76</v>
      </c>
      <c r="J120" t="s">
        <v>77</v>
      </c>
      <c r="K120" t="s">
        <v>78</v>
      </c>
      <c r="L120" t="s">
        <v>106</v>
      </c>
      <c r="M120" t="s">
        <v>107</v>
      </c>
      <c r="N120" t="s">
        <v>509</v>
      </c>
      <c r="O120" t="s">
        <v>82</v>
      </c>
      <c r="P120" t="str">
        <f>"4170041699                    "</f>
        <v xml:space="preserve">4170041699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21.38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69.98</v>
      </c>
      <c r="BM120">
        <v>10.5</v>
      </c>
      <c r="BN120">
        <v>80.48</v>
      </c>
      <c r="BO120">
        <v>80.48</v>
      </c>
      <c r="BQ120" t="s">
        <v>510</v>
      </c>
      <c r="BR120" t="s">
        <v>84</v>
      </c>
      <c r="BS120" s="3">
        <v>45811</v>
      </c>
      <c r="BT120" s="4">
        <v>0.3659722222222222</v>
      </c>
      <c r="BU120" t="s">
        <v>511</v>
      </c>
      <c r="BV120" t="s">
        <v>86</v>
      </c>
      <c r="BY120">
        <v>1200</v>
      </c>
      <c r="BZ120" t="s">
        <v>87</v>
      </c>
      <c r="CA120" t="s">
        <v>355</v>
      </c>
      <c r="CC120" t="s">
        <v>107</v>
      </c>
      <c r="CD120">
        <v>2</v>
      </c>
      <c r="CE120" t="s">
        <v>89</v>
      </c>
      <c r="CF120" s="3">
        <v>45811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"080065702784"</f>
        <v>080065702784</v>
      </c>
      <c r="F121" s="3">
        <v>45810</v>
      </c>
      <c r="G121">
        <v>202603</v>
      </c>
      <c r="H121" t="s">
        <v>75</v>
      </c>
      <c r="I121" t="s">
        <v>76</v>
      </c>
      <c r="J121" t="s">
        <v>77</v>
      </c>
      <c r="K121" t="s">
        <v>78</v>
      </c>
      <c r="L121" t="s">
        <v>350</v>
      </c>
      <c r="M121" t="s">
        <v>351</v>
      </c>
      <c r="N121" t="s">
        <v>512</v>
      </c>
      <c r="O121" t="s">
        <v>82</v>
      </c>
      <c r="P121" t="str">
        <f>"4170041744                    "</f>
        <v xml:space="preserve">4170041744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21.38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69.98</v>
      </c>
      <c r="BM121">
        <v>10.5</v>
      </c>
      <c r="BN121">
        <v>80.48</v>
      </c>
      <c r="BO121">
        <v>80.48</v>
      </c>
      <c r="BQ121" t="s">
        <v>513</v>
      </c>
      <c r="BR121" t="s">
        <v>84</v>
      </c>
      <c r="BS121" s="3">
        <v>45811</v>
      </c>
      <c r="BT121" s="4">
        <v>0.40486111111111112</v>
      </c>
      <c r="BU121" t="s">
        <v>514</v>
      </c>
      <c r="BV121" t="s">
        <v>86</v>
      </c>
      <c r="BY121">
        <v>1200</v>
      </c>
      <c r="BZ121" t="s">
        <v>87</v>
      </c>
      <c r="CA121" t="s">
        <v>515</v>
      </c>
      <c r="CC121" t="s">
        <v>351</v>
      </c>
      <c r="CD121">
        <v>157</v>
      </c>
      <c r="CE121" t="s">
        <v>89</v>
      </c>
      <c r="CF121" s="3">
        <v>45811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"080065702801"</f>
        <v>080065702801</v>
      </c>
      <c r="F122" s="3">
        <v>45810</v>
      </c>
      <c r="G122">
        <v>202603</v>
      </c>
      <c r="H122" t="s">
        <v>75</v>
      </c>
      <c r="I122" t="s">
        <v>76</v>
      </c>
      <c r="J122" t="s">
        <v>77</v>
      </c>
      <c r="K122" t="s">
        <v>78</v>
      </c>
      <c r="L122" t="s">
        <v>100</v>
      </c>
      <c r="M122" t="s">
        <v>101</v>
      </c>
      <c r="N122" t="s">
        <v>516</v>
      </c>
      <c r="O122" t="s">
        <v>82</v>
      </c>
      <c r="P122" t="str">
        <f>"4170041728                    "</f>
        <v xml:space="preserve">4170041728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21.38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69.98</v>
      </c>
      <c r="BM122">
        <v>10.5</v>
      </c>
      <c r="BN122">
        <v>80.48</v>
      </c>
      <c r="BO122">
        <v>80.48</v>
      </c>
      <c r="BQ122" t="s">
        <v>517</v>
      </c>
      <c r="BR122" t="s">
        <v>84</v>
      </c>
      <c r="BS122" s="3">
        <v>45811</v>
      </c>
      <c r="BT122" s="4">
        <v>0.33194444444444443</v>
      </c>
      <c r="BU122" t="s">
        <v>518</v>
      </c>
      <c r="BV122" t="s">
        <v>86</v>
      </c>
      <c r="BY122">
        <v>1200</v>
      </c>
      <c r="BZ122" t="s">
        <v>87</v>
      </c>
      <c r="CA122" t="s">
        <v>283</v>
      </c>
      <c r="CC122" t="s">
        <v>101</v>
      </c>
      <c r="CD122">
        <v>6001</v>
      </c>
      <c r="CE122" t="s">
        <v>89</v>
      </c>
      <c r="CF122" s="3">
        <v>45811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"080065702821"</f>
        <v>080065702821</v>
      </c>
      <c r="F123" s="3">
        <v>45810</v>
      </c>
      <c r="G123">
        <v>202603</v>
      </c>
      <c r="H123" t="s">
        <v>75</v>
      </c>
      <c r="I123" t="s">
        <v>76</v>
      </c>
      <c r="J123" t="s">
        <v>77</v>
      </c>
      <c r="K123" t="s">
        <v>78</v>
      </c>
      <c r="L123" t="s">
        <v>224</v>
      </c>
      <c r="M123" t="s">
        <v>225</v>
      </c>
      <c r="N123" t="s">
        <v>226</v>
      </c>
      <c r="O123" t="s">
        <v>82</v>
      </c>
      <c r="P123" t="str">
        <f>"4170041754                    "</f>
        <v xml:space="preserve">4170041754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41.43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135.59</v>
      </c>
      <c r="BM123">
        <v>20.34</v>
      </c>
      <c r="BN123">
        <v>155.93</v>
      </c>
      <c r="BO123">
        <v>155.93</v>
      </c>
      <c r="BQ123" t="s">
        <v>227</v>
      </c>
      <c r="BR123" t="s">
        <v>84</v>
      </c>
      <c r="BS123" s="3">
        <v>45811</v>
      </c>
      <c r="BT123" s="4">
        <v>0.47430555555555554</v>
      </c>
      <c r="BU123" t="s">
        <v>228</v>
      </c>
      <c r="BV123" t="s">
        <v>86</v>
      </c>
      <c r="BY123">
        <v>1200</v>
      </c>
      <c r="BZ123" t="s">
        <v>87</v>
      </c>
      <c r="CA123" t="s">
        <v>229</v>
      </c>
      <c r="CC123" t="s">
        <v>225</v>
      </c>
      <c r="CD123">
        <v>6300</v>
      </c>
      <c r="CE123" t="s">
        <v>89</v>
      </c>
      <c r="CF123" s="3">
        <v>45811</v>
      </c>
      <c r="CI123">
        <v>2</v>
      </c>
      <c r="CJ123">
        <v>1</v>
      </c>
      <c r="CK123">
        <v>23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"080065702845"</f>
        <v>080065702845</v>
      </c>
      <c r="F124" s="3">
        <v>45810</v>
      </c>
      <c r="G124">
        <v>202603</v>
      </c>
      <c r="H124" t="s">
        <v>75</v>
      </c>
      <c r="I124" t="s">
        <v>76</v>
      </c>
      <c r="J124" t="s">
        <v>77</v>
      </c>
      <c r="K124" t="s">
        <v>78</v>
      </c>
      <c r="L124" t="s">
        <v>331</v>
      </c>
      <c r="M124" t="s">
        <v>332</v>
      </c>
      <c r="N124" t="s">
        <v>333</v>
      </c>
      <c r="O124" t="s">
        <v>82</v>
      </c>
      <c r="P124" t="str">
        <f>"4170041719                    "</f>
        <v xml:space="preserve">4170041719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21.38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69.98</v>
      </c>
      <c r="BM124">
        <v>10.5</v>
      </c>
      <c r="BN124">
        <v>80.48</v>
      </c>
      <c r="BO124">
        <v>80.48</v>
      </c>
      <c r="BQ124" t="s">
        <v>334</v>
      </c>
      <c r="BR124" t="s">
        <v>84</v>
      </c>
      <c r="BS124" s="3">
        <v>45811</v>
      </c>
      <c r="BT124" s="4">
        <v>0.34791666666666665</v>
      </c>
      <c r="BU124" t="s">
        <v>335</v>
      </c>
      <c r="BV124" t="s">
        <v>86</v>
      </c>
      <c r="BY124">
        <v>1200</v>
      </c>
      <c r="BZ124" t="s">
        <v>87</v>
      </c>
      <c r="CA124" t="s">
        <v>336</v>
      </c>
      <c r="CC124" t="s">
        <v>332</v>
      </c>
      <c r="CD124">
        <v>4000</v>
      </c>
      <c r="CE124" t="s">
        <v>89</v>
      </c>
      <c r="CF124" s="3">
        <v>45811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"080065702896"</f>
        <v>080065702896</v>
      </c>
      <c r="F125" s="3">
        <v>45810</v>
      </c>
      <c r="G125">
        <v>202603</v>
      </c>
      <c r="H125" t="s">
        <v>75</v>
      </c>
      <c r="I125" t="s">
        <v>76</v>
      </c>
      <c r="J125" t="s">
        <v>77</v>
      </c>
      <c r="K125" t="s">
        <v>78</v>
      </c>
      <c r="L125" t="s">
        <v>130</v>
      </c>
      <c r="M125" t="s">
        <v>131</v>
      </c>
      <c r="N125" t="s">
        <v>519</v>
      </c>
      <c r="O125" t="s">
        <v>82</v>
      </c>
      <c r="P125" t="str">
        <f>"4170041747                    "</f>
        <v xml:space="preserve">4170041747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16.7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54.66</v>
      </c>
      <c r="BM125">
        <v>8.1999999999999993</v>
      </c>
      <c r="BN125">
        <v>62.86</v>
      </c>
      <c r="BO125">
        <v>62.86</v>
      </c>
      <c r="BQ125" t="s">
        <v>520</v>
      </c>
      <c r="BR125" t="s">
        <v>84</v>
      </c>
      <c r="BS125" s="3">
        <v>45811</v>
      </c>
      <c r="BT125" s="4">
        <v>0.39305555555555555</v>
      </c>
      <c r="BU125" t="s">
        <v>521</v>
      </c>
      <c r="BV125" t="s">
        <v>86</v>
      </c>
      <c r="BY125">
        <v>1200</v>
      </c>
      <c r="BZ125" t="s">
        <v>87</v>
      </c>
      <c r="CA125" t="s">
        <v>425</v>
      </c>
      <c r="CC125" t="s">
        <v>131</v>
      </c>
      <c r="CD125">
        <v>1459</v>
      </c>
      <c r="CE125" t="s">
        <v>89</v>
      </c>
      <c r="CF125" s="3">
        <v>45811</v>
      </c>
      <c r="CI125">
        <v>1</v>
      </c>
      <c r="CJ125">
        <v>1</v>
      </c>
      <c r="CK125">
        <v>22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"080065702912"</f>
        <v>080065702912</v>
      </c>
      <c r="F126" s="3">
        <v>45810</v>
      </c>
      <c r="G126">
        <v>202603</v>
      </c>
      <c r="H126" t="s">
        <v>75</v>
      </c>
      <c r="I126" t="s">
        <v>76</v>
      </c>
      <c r="J126" t="s">
        <v>77</v>
      </c>
      <c r="K126" t="s">
        <v>78</v>
      </c>
      <c r="L126" t="s">
        <v>375</v>
      </c>
      <c r="M126" t="s">
        <v>376</v>
      </c>
      <c r="N126" t="s">
        <v>498</v>
      </c>
      <c r="O126" t="s">
        <v>82</v>
      </c>
      <c r="P126" t="str">
        <f>"4170041780                    "</f>
        <v xml:space="preserve">4170041780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16.7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54.66</v>
      </c>
      <c r="BM126">
        <v>8.1999999999999993</v>
      </c>
      <c r="BN126">
        <v>62.86</v>
      </c>
      <c r="BO126">
        <v>62.86</v>
      </c>
      <c r="BQ126" t="s">
        <v>499</v>
      </c>
      <c r="BR126" t="s">
        <v>84</v>
      </c>
      <c r="BS126" s="3">
        <v>45811</v>
      </c>
      <c r="BT126" s="4">
        <v>0.4375</v>
      </c>
      <c r="BU126" t="s">
        <v>500</v>
      </c>
      <c r="BV126" t="s">
        <v>86</v>
      </c>
      <c r="BY126">
        <v>1200</v>
      </c>
      <c r="BZ126" t="s">
        <v>87</v>
      </c>
      <c r="CA126" t="s">
        <v>501</v>
      </c>
      <c r="CC126" t="s">
        <v>376</v>
      </c>
      <c r="CD126">
        <v>1428</v>
      </c>
      <c r="CE126" t="s">
        <v>89</v>
      </c>
      <c r="CF126" s="3">
        <v>45812</v>
      </c>
      <c r="CI126">
        <v>1</v>
      </c>
      <c r="CJ126">
        <v>1</v>
      </c>
      <c r="CK126">
        <v>22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"080065702931"</f>
        <v>080065702931</v>
      </c>
      <c r="F127" s="3">
        <v>45810</v>
      </c>
      <c r="G127">
        <v>202603</v>
      </c>
      <c r="H127" t="s">
        <v>75</v>
      </c>
      <c r="I127" t="s">
        <v>76</v>
      </c>
      <c r="J127" t="s">
        <v>77</v>
      </c>
      <c r="K127" t="s">
        <v>78</v>
      </c>
      <c r="L127" t="s">
        <v>436</v>
      </c>
      <c r="M127" t="s">
        <v>437</v>
      </c>
      <c r="N127" t="s">
        <v>522</v>
      </c>
      <c r="O127" t="s">
        <v>82</v>
      </c>
      <c r="P127" t="str">
        <f>"4170041802                    "</f>
        <v xml:space="preserve">4170041802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16.7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54.66</v>
      </c>
      <c r="BM127">
        <v>8.1999999999999993</v>
      </c>
      <c r="BN127">
        <v>62.86</v>
      </c>
      <c r="BO127">
        <v>62.86</v>
      </c>
      <c r="BQ127" t="s">
        <v>523</v>
      </c>
      <c r="BR127" t="s">
        <v>84</v>
      </c>
      <c r="BS127" s="3">
        <v>45811</v>
      </c>
      <c r="BT127" s="4">
        <v>0.46388888888888891</v>
      </c>
      <c r="BU127" t="s">
        <v>524</v>
      </c>
      <c r="BV127" t="s">
        <v>90</v>
      </c>
      <c r="BW127" t="s">
        <v>144</v>
      </c>
      <c r="BX127" t="s">
        <v>145</v>
      </c>
      <c r="BY127">
        <v>1200</v>
      </c>
      <c r="BZ127" t="s">
        <v>87</v>
      </c>
      <c r="CA127" t="s">
        <v>441</v>
      </c>
      <c r="CC127" t="s">
        <v>437</v>
      </c>
      <c r="CD127">
        <v>1501</v>
      </c>
      <c r="CE127" t="s">
        <v>89</v>
      </c>
      <c r="CF127" s="3">
        <v>45811</v>
      </c>
      <c r="CI127">
        <v>1</v>
      </c>
      <c r="CJ127">
        <v>1</v>
      </c>
      <c r="CK127">
        <v>22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"080065702961"</f>
        <v>080065702961</v>
      </c>
      <c r="F128" s="3">
        <v>45810</v>
      </c>
      <c r="G128">
        <v>202603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525</v>
      </c>
      <c r="O128" t="s">
        <v>276</v>
      </c>
      <c r="P128" t="str">
        <f>"4170041761                    "</f>
        <v xml:space="preserve">4170041761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24.2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12</v>
      </c>
      <c r="BJ128">
        <v>11.6</v>
      </c>
      <c r="BK128">
        <v>12</v>
      </c>
      <c r="BL128">
        <v>79.209999999999994</v>
      </c>
      <c r="BM128">
        <v>11.88</v>
      </c>
      <c r="BN128">
        <v>91.09</v>
      </c>
      <c r="BO128">
        <v>91.09</v>
      </c>
      <c r="BQ128" t="s">
        <v>526</v>
      </c>
      <c r="BR128" t="s">
        <v>84</v>
      </c>
      <c r="BS128" s="3">
        <v>45811</v>
      </c>
      <c r="BT128" s="4">
        <v>0.58333333333333337</v>
      </c>
      <c r="BU128" t="s">
        <v>527</v>
      </c>
      <c r="BV128" t="s">
        <v>86</v>
      </c>
      <c r="BY128">
        <v>57760</v>
      </c>
      <c r="BZ128" t="s">
        <v>97</v>
      </c>
      <c r="CA128" t="s">
        <v>528</v>
      </c>
      <c r="CC128" t="s">
        <v>76</v>
      </c>
      <c r="CD128">
        <v>1645</v>
      </c>
      <c r="CE128" t="s">
        <v>529</v>
      </c>
      <c r="CF128" s="3">
        <v>45811</v>
      </c>
      <c r="CI128">
        <v>1</v>
      </c>
      <c r="CJ128">
        <v>1</v>
      </c>
      <c r="CK128">
        <v>32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"080065703012"</f>
        <v>080065703012</v>
      </c>
      <c r="F129" s="3">
        <v>45810</v>
      </c>
      <c r="G129">
        <v>202603</v>
      </c>
      <c r="H129" t="s">
        <v>75</v>
      </c>
      <c r="I129" t="s">
        <v>76</v>
      </c>
      <c r="J129" t="s">
        <v>77</v>
      </c>
      <c r="K129" t="s">
        <v>78</v>
      </c>
      <c r="L129" t="s">
        <v>154</v>
      </c>
      <c r="M129" t="s">
        <v>154</v>
      </c>
      <c r="N129" t="s">
        <v>530</v>
      </c>
      <c r="O129" t="s">
        <v>94</v>
      </c>
      <c r="P129" t="str">
        <f>"4170041771                    "</f>
        <v xml:space="preserve">4170041771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70.239999999999995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5</v>
      </c>
      <c r="BJ129">
        <v>18.7</v>
      </c>
      <c r="BK129">
        <v>19</v>
      </c>
      <c r="BL129">
        <v>235.44</v>
      </c>
      <c r="BM129">
        <v>35.32</v>
      </c>
      <c r="BN129">
        <v>270.76</v>
      </c>
      <c r="BO129">
        <v>270.76</v>
      </c>
      <c r="BQ129" t="s">
        <v>531</v>
      </c>
      <c r="BR129" t="s">
        <v>84</v>
      </c>
      <c r="BS129" s="3">
        <v>45812</v>
      </c>
      <c r="BT129" s="4">
        <v>0.52430555555555558</v>
      </c>
      <c r="BU129" t="s">
        <v>532</v>
      </c>
      <c r="BV129" t="s">
        <v>86</v>
      </c>
      <c r="BY129">
        <v>93600</v>
      </c>
      <c r="BZ129" t="s">
        <v>97</v>
      </c>
      <c r="CA129" t="s">
        <v>158</v>
      </c>
      <c r="CC129" t="s">
        <v>154</v>
      </c>
      <c r="CD129">
        <v>7646</v>
      </c>
      <c r="CE129" t="s">
        <v>99</v>
      </c>
      <c r="CF129" s="3">
        <v>45813</v>
      </c>
      <c r="CI129">
        <v>3</v>
      </c>
      <c r="CJ129">
        <v>2</v>
      </c>
      <c r="CK129">
        <v>43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"080065703039"</f>
        <v>080065703039</v>
      </c>
      <c r="F130" s="3">
        <v>45810</v>
      </c>
      <c r="G130">
        <v>202603</v>
      </c>
      <c r="H130" t="s">
        <v>75</v>
      </c>
      <c r="I130" t="s">
        <v>76</v>
      </c>
      <c r="J130" t="s">
        <v>77</v>
      </c>
      <c r="K130" t="s">
        <v>78</v>
      </c>
      <c r="L130" t="s">
        <v>100</v>
      </c>
      <c r="M130" t="s">
        <v>101</v>
      </c>
      <c r="N130" t="s">
        <v>516</v>
      </c>
      <c r="O130" t="s">
        <v>82</v>
      </c>
      <c r="P130" t="str">
        <f>"4170041705                    "</f>
        <v xml:space="preserve">4170041705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74.8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7</v>
      </c>
      <c r="BJ130">
        <v>1.9</v>
      </c>
      <c r="BK130">
        <v>7</v>
      </c>
      <c r="BL130">
        <v>244.8</v>
      </c>
      <c r="BM130">
        <v>36.72</v>
      </c>
      <c r="BN130">
        <v>281.52</v>
      </c>
      <c r="BO130">
        <v>281.52</v>
      </c>
      <c r="BQ130" t="s">
        <v>517</v>
      </c>
      <c r="BR130" t="s">
        <v>84</v>
      </c>
      <c r="BS130" s="3">
        <v>45811</v>
      </c>
      <c r="BT130" s="4">
        <v>0.33194444444444443</v>
      </c>
      <c r="BU130" t="s">
        <v>518</v>
      </c>
      <c r="BV130" t="s">
        <v>86</v>
      </c>
      <c r="BY130">
        <v>9600</v>
      </c>
      <c r="BZ130" t="s">
        <v>87</v>
      </c>
      <c r="CA130" t="s">
        <v>283</v>
      </c>
      <c r="CC130" t="s">
        <v>101</v>
      </c>
      <c r="CD130">
        <v>6001</v>
      </c>
      <c r="CE130" t="s">
        <v>99</v>
      </c>
      <c r="CF130" s="3">
        <v>45811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"080065703077"</f>
        <v>080065703077</v>
      </c>
      <c r="F131" s="3">
        <v>45810</v>
      </c>
      <c r="G131">
        <v>202603</v>
      </c>
      <c r="H131" t="s">
        <v>75</v>
      </c>
      <c r="I131" t="s">
        <v>76</v>
      </c>
      <c r="J131" t="s">
        <v>77</v>
      </c>
      <c r="K131" t="s">
        <v>78</v>
      </c>
      <c r="L131" t="s">
        <v>321</v>
      </c>
      <c r="M131" t="s">
        <v>322</v>
      </c>
      <c r="N131" t="s">
        <v>533</v>
      </c>
      <c r="O131" t="s">
        <v>94</v>
      </c>
      <c r="P131" t="str">
        <f>"4170041681                    "</f>
        <v xml:space="preserve">4170041681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52.82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21</v>
      </c>
      <c r="BJ131">
        <v>4.7</v>
      </c>
      <c r="BK131">
        <v>21</v>
      </c>
      <c r="BL131">
        <v>178.44</v>
      </c>
      <c r="BM131">
        <v>26.77</v>
      </c>
      <c r="BN131">
        <v>205.21</v>
      </c>
      <c r="BO131">
        <v>205.21</v>
      </c>
      <c r="BQ131" t="s">
        <v>534</v>
      </c>
      <c r="BR131" t="s">
        <v>84</v>
      </c>
      <c r="BS131" s="3">
        <v>45811</v>
      </c>
      <c r="BT131" s="4">
        <v>0.68958333333333333</v>
      </c>
      <c r="BU131" t="s">
        <v>535</v>
      </c>
      <c r="BV131" t="s">
        <v>86</v>
      </c>
      <c r="BY131">
        <v>23600</v>
      </c>
      <c r="BZ131" t="s">
        <v>97</v>
      </c>
      <c r="CA131" t="s">
        <v>326</v>
      </c>
      <c r="CC131" t="s">
        <v>322</v>
      </c>
      <c r="CD131">
        <v>1438</v>
      </c>
      <c r="CE131" t="s">
        <v>99</v>
      </c>
      <c r="CF131" s="3">
        <v>45812</v>
      </c>
      <c r="CI131">
        <v>1</v>
      </c>
      <c r="CJ131">
        <v>1</v>
      </c>
      <c r="CK131">
        <v>44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"080065703137"</f>
        <v>080065703137</v>
      </c>
      <c r="F132" s="3">
        <v>45810</v>
      </c>
      <c r="G132">
        <v>202603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525</v>
      </c>
      <c r="O132" t="s">
        <v>94</v>
      </c>
      <c r="P132" t="str">
        <f>"4170041767                    "</f>
        <v xml:space="preserve">4170041767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42.17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26</v>
      </c>
      <c r="BJ132">
        <v>24</v>
      </c>
      <c r="BK132">
        <v>26</v>
      </c>
      <c r="BL132">
        <v>143.58000000000001</v>
      </c>
      <c r="BM132">
        <v>21.54</v>
      </c>
      <c r="BN132">
        <v>165.12</v>
      </c>
      <c r="BO132">
        <v>165.12</v>
      </c>
      <c r="BQ132" t="s">
        <v>526</v>
      </c>
      <c r="BR132" t="s">
        <v>84</v>
      </c>
      <c r="BS132" s="3">
        <v>45811</v>
      </c>
      <c r="BT132" s="4">
        <v>0.58402777777777781</v>
      </c>
      <c r="BU132" t="s">
        <v>536</v>
      </c>
      <c r="BV132" t="s">
        <v>86</v>
      </c>
      <c r="BY132">
        <v>60000</v>
      </c>
      <c r="BZ132" t="s">
        <v>97</v>
      </c>
      <c r="CA132" t="s">
        <v>528</v>
      </c>
      <c r="CC132" t="s">
        <v>76</v>
      </c>
      <c r="CD132">
        <v>1645</v>
      </c>
      <c r="CE132" t="s">
        <v>99</v>
      </c>
      <c r="CF132" s="3">
        <v>45811</v>
      </c>
      <c r="CI132">
        <v>1</v>
      </c>
      <c r="CJ132">
        <v>1</v>
      </c>
      <c r="CK132">
        <v>42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"080065703171"</f>
        <v>080065703171</v>
      </c>
      <c r="F133" s="3">
        <v>45810</v>
      </c>
      <c r="G133">
        <v>202603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537</v>
      </c>
      <c r="O133" t="s">
        <v>82</v>
      </c>
      <c r="P133" t="str">
        <f>"4170041813                    "</f>
        <v xml:space="preserve">4170041813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16.7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54.66</v>
      </c>
      <c r="BM133">
        <v>8.1999999999999993</v>
      </c>
      <c r="BN133">
        <v>62.86</v>
      </c>
      <c r="BO133">
        <v>62.86</v>
      </c>
      <c r="BQ133" t="s">
        <v>538</v>
      </c>
      <c r="BR133" t="s">
        <v>84</v>
      </c>
      <c r="BS133" s="3">
        <v>45811</v>
      </c>
      <c r="BT133" s="4">
        <v>0.55000000000000004</v>
      </c>
      <c r="BU133" t="s">
        <v>539</v>
      </c>
      <c r="BV133" t="s">
        <v>90</v>
      </c>
      <c r="BW133" t="s">
        <v>144</v>
      </c>
      <c r="BX133" t="s">
        <v>145</v>
      </c>
      <c r="BY133">
        <v>1200</v>
      </c>
      <c r="BZ133" t="s">
        <v>87</v>
      </c>
      <c r="CC133" t="s">
        <v>76</v>
      </c>
      <c r="CD133">
        <v>1624</v>
      </c>
      <c r="CE133" t="s">
        <v>89</v>
      </c>
      <c r="CF133" s="3">
        <v>45812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"080065703199"</f>
        <v>080065703199</v>
      </c>
      <c r="F134" s="3">
        <v>45810</v>
      </c>
      <c r="G134">
        <v>202603</v>
      </c>
      <c r="H134" t="s">
        <v>75</v>
      </c>
      <c r="I134" t="s">
        <v>76</v>
      </c>
      <c r="J134" t="s">
        <v>77</v>
      </c>
      <c r="K134" t="s">
        <v>78</v>
      </c>
      <c r="L134" t="s">
        <v>91</v>
      </c>
      <c r="M134" t="s">
        <v>92</v>
      </c>
      <c r="N134" t="s">
        <v>540</v>
      </c>
      <c r="O134" t="s">
        <v>82</v>
      </c>
      <c r="P134" t="str">
        <f>"4170041799                    "</f>
        <v xml:space="preserve">4170041799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21.38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69.98</v>
      </c>
      <c r="BM134">
        <v>10.5</v>
      </c>
      <c r="BN134">
        <v>80.48</v>
      </c>
      <c r="BO134">
        <v>80.48</v>
      </c>
      <c r="BQ134" t="s">
        <v>541</v>
      </c>
      <c r="BR134" t="s">
        <v>84</v>
      </c>
      <c r="BS134" s="3">
        <v>45811</v>
      </c>
      <c r="BT134" s="4">
        <v>0.3840277777777778</v>
      </c>
      <c r="BU134" t="s">
        <v>542</v>
      </c>
      <c r="BV134" t="s">
        <v>86</v>
      </c>
      <c r="BY134">
        <v>1200</v>
      </c>
      <c r="BZ134" t="s">
        <v>87</v>
      </c>
      <c r="CA134" t="s">
        <v>543</v>
      </c>
      <c r="CC134" t="s">
        <v>92</v>
      </c>
      <c r="CD134">
        <v>7441</v>
      </c>
      <c r="CE134" t="s">
        <v>89</v>
      </c>
      <c r="CF134" s="3">
        <v>45812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"080065704540"</f>
        <v>080065704540</v>
      </c>
      <c r="F135" s="3">
        <v>45810</v>
      </c>
      <c r="G135">
        <v>202603</v>
      </c>
      <c r="H135" t="s">
        <v>75</v>
      </c>
      <c r="I135" t="s">
        <v>76</v>
      </c>
      <c r="J135" t="s">
        <v>77</v>
      </c>
      <c r="K135" t="s">
        <v>78</v>
      </c>
      <c r="L135" t="s">
        <v>174</v>
      </c>
      <c r="M135" t="s">
        <v>175</v>
      </c>
      <c r="N135" t="s">
        <v>544</v>
      </c>
      <c r="O135" t="s">
        <v>82</v>
      </c>
      <c r="P135" t="str">
        <f>"4170041821                    "</f>
        <v xml:space="preserve">4170041821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21.38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69.98</v>
      </c>
      <c r="BM135">
        <v>10.5</v>
      </c>
      <c r="BN135">
        <v>80.48</v>
      </c>
      <c r="BO135">
        <v>80.48</v>
      </c>
      <c r="BQ135" t="s">
        <v>545</v>
      </c>
      <c r="BR135" t="s">
        <v>84</v>
      </c>
      <c r="BS135" s="3">
        <v>45811</v>
      </c>
      <c r="BT135" s="4">
        <v>0.4201388888888889</v>
      </c>
      <c r="BU135" t="s">
        <v>546</v>
      </c>
      <c r="BV135" t="s">
        <v>86</v>
      </c>
      <c r="BY135">
        <v>1200</v>
      </c>
      <c r="BZ135" t="s">
        <v>87</v>
      </c>
      <c r="CA135" t="s">
        <v>340</v>
      </c>
      <c r="CC135" t="s">
        <v>175</v>
      </c>
      <c r="CD135">
        <v>3608</v>
      </c>
      <c r="CE135" t="s">
        <v>89</v>
      </c>
      <c r="CF135" s="3">
        <v>45812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"080065704559"</f>
        <v>080065704559</v>
      </c>
      <c r="F136" s="3">
        <v>45810</v>
      </c>
      <c r="G136">
        <v>202603</v>
      </c>
      <c r="H136" t="s">
        <v>75</v>
      </c>
      <c r="I136" t="s">
        <v>76</v>
      </c>
      <c r="J136" t="s">
        <v>77</v>
      </c>
      <c r="K136" t="s">
        <v>78</v>
      </c>
      <c r="L136" t="s">
        <v>91</v>
      </c>
      <c r="M136" t="s">
        <v>92</v>
      </c>
      <c r="N136" t="s">
        <v>540</v>
      </c>
      <c r="O136" t="s">
        <v>82</v>
      </c>
      <c r="P136" t="str">
        <f>"4170041781                    "</f>
        <v xml:space="preserve">4170041781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21.38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69.98</v>
      </c>
      <c r="BM136">
        <v>10.5</v>
      </c>
      <c r="BN136">
        <v>80.48</v>
      </c>
      <c r="BO136">
        <v>80.48</v>
      </c>
      <c r="BQ136" t="s">
        <v>541</v>
      </c>
      <c r="BR136" t="s">
        <v>84</v>
      </c>
      <c r="BS136" s="3">
        <v>45811</v>
      </c>
      <c r="BT136" s="4">
        <v>0.3840277777777778</v>
      </c>
      <c r="BU136" t="s">
        <v>542</v>
      </c>
      <c r="BV136" t="s">
        <v>86</v>
      </c>
      <c r="BY136">
        <v>1200</v>
      </c>
      <c r="BZ136" t="s">
        <v>87</v>
      </c>
      <c r="CA136" t="s">
        <v>543</v>
      </c>
      <c r="CC136" t="s">
        <v>92</v>
      </c>
      <c r="CD136">
        <v>7441</v>
      </c>
      <c r="CE136" t="s">
        <v>89</v>
      </c>
      <c r="CF136" s="3">
        <v>45812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"080065704603"</f>
        <v>080065704603</v>
      </c>
      <c r="F137" s="3">
        <v>45810</v>
      </c>
      <c r="G137">
        <v>202603</v>
      </c>
      <c r="H137" t="s">
        <v>75</v>
      </c>
      <c r="I137" t="s">
        <v>76</v>
      </c>
      <c r="J137" t="s">
        <v>77</v>
      </c>
      <c r="K137" t="s">
        <v>78</v>
      </c>
      <c r="L137" t="s">
        <v>75</v>
      </c>
      <c r="M137" t="s">
        <v>76</v>
      </c>
      <c r="N137" t="s">
        <v>525</v>
      </c>
      <c r="O137" t="s">
        <v>82</v>
      </c>
      <c r="P137" t="str">
        <f>"4170041815                    "</f>
        <v xml:space="preserve">4170041815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16.7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54.66</v>
      </c>
      <c r="BM137">
        <v>8.1999999999999993</v>
      </c>
      <c r="BN137">
        <v>62.86</v>
      </c>
      <c r="BO137">
        <v>62.86</v>
      </c>
      <c r="BQ137" t="s">
        <v>526</v>
      </c>
      <c r="BR137" t="s">
        <v>84</v>
      </c>
      <c r="BS137" s="3">
        <v>45811</v>
      </c>
      <c r="BT137" s="4">
        <v>0.35416666666666669</v>
      </c>
      <c r="BU137" t="s">
        <v>547</v>
      </c>
      <c r="BV137" t="s">
        <v>86</v>
      </c>
      <c r="BY137">
        <v>1200</v>
      </c>
      <c r="BZ137" t="s">
        <v>87</v>
      </c>
      <c r="CA137" t="s">
        <v>219</v>
      </c>
      <c r="CC137" t="s">
        <v>76</v>
      </c>
      <c r="CD137">
        <v>1645</v>
      </c>
      <c r="CE137" t="s">
        <v>89</v>
      </c>
      <c r="CF137" s="3">
        <v>45811</v>
      </c>
      <c r="CI137">
        <v>1</v>
      </c>
      <c r="CJ137">
        <v>1</v>
      </c>
      <c r="CK137">
        <v>22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"080065704625"</f>
        <v>080065704625</v>
      </c>
      <c r="F138" s="3">
        <v>45810</v>
      </c>
      <c r="G138">
        <v>202603</v>
      </c>
      <c r="H138" t="s">
        <v>75</v>
      </c>
      <c r="I138" t="s">
        <v>76</v>
      </c>
      <c r="J138" t="s">
        <v>77</v>
      </c>
      <c r="K138" t="s">
        <v>78</v>
      </c>
      <c r="L138" t="s">
        <v>91</v>
      </c>
      <c r="M138" t="s">
        <v>92</v>
      </c>
      <c r="N138" t="s">
        <v>540</v>
      </c>
      <c r="O138" t="s">
        <v>82</v>
      </c>
      <c r="P138" t="str">
        <f>"4170041791                    "</f>
        <v xml:space="preserve">4170041791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21.38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1.6</v>
      </c>
      <c r="BK138">
        <v>2</v>
      </c>
      <c r="BL138">
        <v>69.98</v>
      </c>
      <c r="BM138">
        <v>10.5</v>
      </c>
      <c r="BN138">
        <v>80.48</v>
      </c>
      <c r="BO138">
        <v>80.48</v>
      </c>
      <c r="BQ138" t="s">
        <v>541</v>
      </c>
      <c r="BR138" t="s">
        <v>84</v>
      </c>
      <c r="BS138" s="3">
        <v>45811</v>
      </c>
      <c r="BT138" s="4">
        <v>0.3840277777777778</v>
      </c>
      <c r="BU138" t="s">
        <v>542</v>
      </c>
      <c r="BV138" t="s">
        <v>86</v>
      </c>
      <c r="BY138">
        <v>8232</v>
      </c>
      <c r="BZ138" t="s">
        <v>87</v>
      </c>
      <c r="CA138" t="s">
        <v>543</v>
      </c>
      <c r="CC138" t="s">
        <v>92</v>
      </c>
      <c r="CD138">
        <v>7441</v>
      </c>
      <c r="CE138" t="s">
        <v>166</v>
      </c>
      <c r="CF138" s="3">
        <v>45812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"080065704639"</f>
        <v>080065704639</v>
      </c>
      <c r="F139" s="3">
        <v>45810</v>
      </c>
      <c r="G139">
        <v>202603</v>
      </c>
      <c r="H139" t="s">
        <v>75</v>
      </c>
      <c r="I139" t="s">
        <v>76</v>
      </c>
      <c r="J139" t="s">
        <v>77</v>
      </c>
      <c r="K139" t="s">
        <v>78</v>
      </c>
      <c r="L139" t="s">
        <v>548</v>
      </c>
      <c r="M139" t="s">
        <v>549</v>
      </c>
      <c r="N139" t="s">
        <v>550</v>
      </c>
      <c r="O139" t="s">
        <v>82</v>
      </c>
      <c r="P139" t="str">
        <f>"4170041819                    "</f>
        <v xml:space="preserve">4170041819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41.43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135.59</v>
      </c>
      <c r="BM139">
        <v>20.34</v>
      </c>
      <c r="BN139">
        <v>155.93</v>
      </c>
      <c r="BO139">
        <v>155.93</v>
      </c>
      <c r="BQ139" t="s">
        <v>551</v>
      </c>
      <c r="BR139" t="s">
        <v>84</v>
      </c>
      <c r="BS139" s="3">
        <v>45811</v>
      </c>
      <c r="BT139" s="4">
        <v>0.68472222222222223</v>
      </c>
      <c r="BU139" t="s">
        <v>552</v>
      </c>
      <c r="BV139" t="s">
        <v>90</v>
      </c>
      <c r="BW139" t="s">
        <v>416</v>
      </c>
      <c r="BX139" t="s">
        <v>417</v>
      </c>
      <c r="BY139">
        <v>1200</v>
      </c>
      <c r="BZ139" t="s">
        <v>87</v>
      </c>
      <c r="CA139" t="s">
        <v>553</v>
      </c>
      <c r="CC139" t="s">
        <v>549</v>
      </c>
      <c r="CD139">
        <v>4340</v>
      </c>
      <c r="CE139" t="s">
        <v>89</v>
      </c>
      <c r="CF139" s="3">
        <v>45812</v>
      </c>
      <c r="CI139">
        <v>1</v>
      </c>
      <c r="CJ139">
        <v>1</v>
      </c>
      <c r="CK139">
        <v>23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"080065704665"</f>
        <v>080065704665</v>
      </c>
      <c r="F140" s="3">
        <v>45810</v>
      </c>
      <c r="G140">
        <v>202603</v>
      </c>
      <c r="H140" t="s">
        <v>75</v>
      </c>
      <c r="I140" t="s">
        <v>76</v>
      </c>
      <c r="J140" t="s">
        <v>77</v>
      </c>
      <c r="K140" t="s">
        <v>78</v>
      </c>
      <c r="L140" t="s">
        <v>130</v>
      </c>
      <c r="M140" t="s">
        <v>131</v>
      </c>
      <c r="N140" t="s">
        <v>519</v>
      </c>
      <c r="O140" t="s">
        <v>82</v>
      </c>
      <c r="P140" t="str">
        <f>"4170041827                    "</f>
        <v xml:space="preserve">4170041827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16.7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4</v>
      </c>
      <c r="BJ140">
        <v>1.8</v>
      </c>
      <c r="BK140">
        <v>4</v>
      </c>
      <c r="BL140">
        <v>54.66</v>
      </c>
      <c r="BM140">
        <v>8.1999999999999993</v>
      </c>
      <c r="BN140">
        <v>62.86</v>
      </c>
      <c r="BO140">
        <v>62.86</v>
      </c>
      <c r="BQ140" t="s">
        <v>520</v>
      </c>
      <c r="BR140" t="s">
        <v>84</v>
      </c>
      <c r="BS140" s="3">
        <v>45811</v>
      </c>
      <c r="BT140" s="4">
        <v>0.39444444444444443</v>
      </c>
      <c r="BU140" t="s">
        <v>521</v>
      </c>
      <c r="BV140" t="s">
        <v>86</v>
      </c>
      <c r="BY140">
        <v>9016</v>
      </c>
      <c r="BZ140" t="s">
        <v>87</v>
      </c>
      <c r="CA140" t="s">
        <v>425</v>
      </c>
      <c r="CC140" t="s">
        <v>131</v>
      </c>
      <c r="CD140">
        <v>1459</v>
      </c>
      <c r="CE140" t="s">
        <v>166</v>
      </c>
      <c r="CF140" s="3">
        <v>45811</v>
      </c>
      <c r="CI140">
        <v>1</v>
      </c>
      <c r="CJ140">
        <v>1</v>
      </c>
      <c r="CK140">
        <v>22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"080065704669"</f>
        <v>080065704669</v>
      </c>
      <c r="F141" s="3">
        <v>45810</v>
      </c>
      <c r="G141">
        <v>202603</v>
      </c>
      <c r="H141" t="s">
        <v>75</v>
      </c>
      <c r="I141" t="s">
        <v>76</v>
      </c>
      <c r="J141" t="s">
        <v>77</v>
      </c>
      <c r="K141" t="s">
        <v>78</v>
      </c>
      <c r="L141" t="s">
        <v>106</v>
      </c>
      <c r="M141" t="s">
        <v>107</v>
      </c>
      <c r="N141" t="s">
        <v>405</v>
      </c>
      <c r="O141" t="s">
        <v>82</v>
      </c>
      <c r="P141" t="str">
        <f>"4170041746                    "</f>
        <v xml:space="preserve">4170041746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21.38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69.98</v>
      </c>
      <c r="BM141">
        <v>10.5</v>
      </c>
      <c r="BN141">
        <v>80.48</v>
      </c>
      <c r="BO141">
        <v>80.48</v>
      </c>
      <c r="BQ141" t="s">
        <v>406</v>
      </c>
      <c r="BR141" t="s">
        <v>84</v>
      </c>
      <c r="BS141" s="3">
        <v>45811</v>
      </c>
      <c r="BT141" s="4">
        <v>0.7319444444444444</v>
      </c>
      <c r="BU141" t="s">
        <v>554</v>
      </c>
      <c r="BV141" t="s">
        <v>86</v>
      </c>
      <c r="BY141">
        <v>1200</v>
      </c>
      <c r="BZ141" t="s">
        <v>87</v>
      </c>
      <c r="CA141" t="s">
        <v>368</v>
      </c>
      <c r="CC141" t="s">
        <v>107</v>
      </c>
      <c r="CD141">
        <v>186</v>
      </c>
      <c r="CE141" t="s">
        <v>89</v>
      </c>
      <c r="CF141" s="3">
        <v>45811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"080065704741"</f>
        <v>080065704741</v>
      </c>
      <c r="F142" s="3">
        <v>45810</v>
      </c>
      <c r="G142">
        <v>202603</v>
      </c>
      <c r="H142" t="s">
        <v>75</v>
      </c>
      <c r="I142" t="s">
        <v>76</v>
      </c>
      <c r="J142" t="s">
        <v>77</v>
      </c>
      <c r="K142" t="s">
        <v>78</v>
      </c>
      <c r="L142" t="s">
        <v>331</v>
      </c>
      <c r="M142" t="s">
        <v>332</v>
      </c>
      <c r="N142" t="s">
        <v>333</v>
      </c>
      <c r="O142" t="s">
        <v>82</v>
      </c>
      <c r="P142" t="str">
        <f>"4170041818                    "</f>
        <v xml:space="preserve">4170041818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21.38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1.1000000000000001</v>
      </c>
      <c r="BK142">
        <v>1.5</v>
      </c>
      <c r="BL142">
        <v>69.98</v>
      </c>
      <c r="BM142">
        <v>10.5</v>
      </c>
      <c r="BN142">
        <v>80.48</v>
      </c>
      <c r="BO142">
        <v>80.48</v>
      </c>
      <c r="BQ142" t="s">
        <v>334</v>
      </c>
      <c r="BR142" t="s">
        <v>84</v>
      </c>
      <c r="BS142" s="3">
        <v>45811</v>
      </c>
      <c r="BT142" s="4">
        <v>0.34791666666666665</v>
      </c>
      <c r="BU142" t="s">
        <v>335</v>
      </c>
      <c r="BV142" t="s">
        <v>86</v>
      </c>
      <c r="BY142">
        <v>5320</v>
      </c>
      <c r="BZ142" t="s">
        <v>87</v>
      </c>
      <c r="CA142" t="s">
        <v>336</v>
      </c>
      <c r="CC142" t="s">
        <v>332</v>
      </c>
      <c r="CD142">
        <v>4051</v>
      </c>
      <c r="CE142" t="s">
        <v>180</v>
      </c>
      <c r="CF142" s="3">
        <v>45811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"080065704791"</f>
        <v>080065704791</v>
      </c>
      <c r="F143" s="3">
        <v>45810</v>
      </c>
      <c r="G143">
        <v>202603</v>
      </c>
      <c r="H143" t="s">
        <v>75</v>
      </c>
      <c r="I143" t="s">
        <v>76</v>
      </c>
      <c r="J143" t="s">
        <v>77</v>
      </c>
      <c r="K143" t="s">
        <v>78</v>
      </c>
      <c r="L143" t="s">
        <v>555</v>
      </c>
      <c r="M143" t="s">
        <v>556</v>
      </c>
      <c r="N143" t="s">
        <v>557</v>
      </c>
      <c r="O143" t="s">
        <v>82</v>
      </c>
      <c r="P143" t="str">
        <f>"4170041834                    "</f>
        <v xml:space="preserve">4170041834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153.68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8</v>
      </c>
      <c r="BJ143">
        <v>3.4</v>
      </c>
      <c r="BK143">
        <v>8</v>
      </c>
      <c r="BL143">
        <v>502.96</v>
      </c>
      <c r="BM143">
        <v>75.44</v>
      </c>
      <c r="BN143">
        <v>578.4</v>
      </c>
      <c r="BO143">
        <v>578.4</v>
      </c>
      <c r="BQ143" t="s">
        <v>558</v>
      </c>
      <c r="BR143" t="s">
        <v>84</v>
      </c>
      <c r="BS143" s="3">
        <v>45811</v>
      </c>
      <c r="BT143" s="4">
        <v>0.43055555555555558</v>
      </c>
      <c r="BU143" t="s">
        <v>559</v>
      </c>
      <c r="BV143" t="s">
        <v>86</v>
      </c>
      <c r="BY143">
        <v>16965</v>
      </c>
      <c r="BZ143" t="s">
        <v>87</v>
      </c>
      <c r="CA143" t="s">
        <v>560</v>
      </c>
      <c r="CC143" t="s">
        <v>556</v>
      </c>
      <c r="CD143">
        <v>250</v>
      </c>
      <c r="CE143" t="s">
        <v>99</v>
      </c>
      <c r="CF143" s="3">
        <v>45812</v>
      </c>
      <c r="CI143">
        <v>1</v>
      </c>
      <c r="CJ143">
        <v>1</v>
      </c>
      <c r="CK143">
        <v>23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"080065704849"</f>
        <v>080065704849</v>
      </c>
      <c r="F144" s="3">
        <v>45810</v>
      </c>
      <c r="G144">
        <v>202603</v>
      </c>
      <c r="H144" t="s">
        <v>75</v>
      </c>
      <c r="I144" t="s">
        <v>76</v>
      </c>
      <c r="J144" t="s">
        <v>77</v>
      </c>
      <c r="K144" t="s">
        <v>78</v>
      </c>
      <c r="L144" t="s">
        <v>266</v>
      </c>
      <c r="M144" t="s">
        <v>267</v>
      </c>
      <c r="N144" t="s">
        <v>268</v>
      </c>
      <c r="O144" t="s">
        <v>82</v>
      </c>
      <c r="P144" t="str">
        <f>"4170041724                    "</f>
        <v xml:space="preserve">4170041724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42.75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</v>
      </c>
      <c r="BJ144">
        <v>1.8</v>
      </c>
      <c r="BK144">
        <v>4</v>
      </c>
      <c r="BL144">
        <v>139.91</v>
      </c>
      <c r="BM144">
        <v>20.99</v>
      </c>
      <c r="BN144">
        <v>160.9</v>
      </c>
      <c r="BO144">
        <v>160.9</v>
      </c>
      <c r="BQ144" t="s">
        <v>269</v>
      </c>
      <c r="BR144" t="s">
        <v>84</v>
      </c>
      <c r="BS144" s="3">
        <v>45811</v>
      </c>
      <c r="BT144" s="4">
        <v>0.34583333333333333</v>
      </c>
      <c r="BU144" t="s">
        <v>270</v>
      </c>
      <c r="BV144" t="s">
        <v>86</v>
      </c>
      <c r="BY144">
        <v>9216</v>
      </c>
      <c r="BZ144" t="s">
        <v>87</v>
      </c>
      <c r="CA144" t="s">
        <v>271</v>
      </c>
      <c r="CC144" t="s">
        <v>267</v>
      </c>
      <c r="CD144">
        <v>6229</v>
      </c>
      <c r="CE144" t="s">
        <v>166</v>
      </c>
      <c r="CF144" s="3">
        <v>45811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"080065704922"</f>
        <v>080065704922</v>
      </c>
      <c r="F145" s="3">
        <v>45810</v>
      </c>
      <c r="G145">
        <v>202603</v>
      </c>
      <c r="H145" t="s">
        <v>75</v>
      </c>
      <c r="I145" t="s">
        <v>76</v>
      </c>
      <c r="J145" t="s">
        <v>77</v>
      </c>
      <c r="K145" t="s">
        <v>78</v>
      </c>
      <c r="L145" t="s">
        <v>91</v>
      </c>
      <c r="M145" t="s">
        <v>92</v>
      </c>
      <c r="N145" t="s">
        <v>540</v>
      </c>
      <c r="O145" t="s">
        <v>82</v>
      </c>
      <c r="P145" t="str">
        <f>"4170041790                    "</f>
        <v xml:space="preserve">4170041790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21.38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0.6</v>
      </c>
      <c r="BK145">
        <v>1</v>
      </c>
      <c r="BL145">
        <v>69.98</v>
      </c>
      <c r="BM145">
        <v>10.5</v>
      </c>
      <c r="BN145">
        <v>80.48</v>
      </c>
      <c r="BO145">
        <v>80.48</v>
      </c>
      <c r="BQ145" t="s">
        <v>541</v>
      </c>
      <c r="BR145" t="s">
        <v>84</v>
      </c>
      <c r="BS145" s="3">
        <v>45811</v>
      </c>
      <c r="BT145" s="4">
        <v>0.3840277777777778</v>
      </c>
      <c r="BU145" t="s">
        <v>542</v>
      </c>
      <c r="BV145" t="s">
        <v>86</v>
      </c>
      <c r="BY145">
        <v>3192</v>
      </c>
      <c r="BZ145" t="s">
        <v>87</v>
      </c>
      <c r="CA145" t="s">
        <v>543</v>
      </c>
      <c r="CC145" t="s">
        <v>92</v>
      </c>
      <c r="CD145">
        <v>7441</v>
      </c>
      <c r="CE145" t="s">
        <v>180</v>
      </c>
      <c r="CF145" s="3">
        <v>45812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"080065705000"</f>
        <v>080065705000</v>
      </c>
      <c r="F146" s="3">
        <v>45810</v>
      </c>
      <c r="G146">
        <v>202603</v>
      </c>
      <c r="H146" t="s">
        <v>75</v>
      </c>
      <c r="I146" t="s">
        <v>76</v>
      </c>
      <c r="J146" t="s">
        <v>77</v>
      </c>
      <c r="K146" t="s">
        <v>78</v>
      </c>
      <c r="L146" t="s">
        <v>266</v>
      </c>
      <c r="M146" t="s">
        <v>267</v>
      </c>
      <c r="N146" t="s">
        <v>561</v>
      </c>
      <c r="O146" t="s">
        <v>82</v>
      </c>
      <c r="P146" t="str">
        <f>"4170041776                    "</f>
        <v xml:space="preserve">4170041776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21.38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1.3</v>
      </c>
      <c r="BK146">
        <v>1.5</v>
      </c>
      <c r="BL146">
        <v>69.98</v>
      </c>
      <c r="BM146">
        <v>10.5</v>
      </c>
      <c r="BN146">
        <v>80.48</v>
      </c>
      <c r="BO146">
        <v>80.48</v>
      </c>
      <c r="BQ146" t="s">
        <v>562</v>
      </c>
      <c r="BR146" t="s">
        <v>84</v>
      </c>
      <c r="BS146" s="3">
        <v>45811</v>
      </c>
      <c r="BT146" s="4">
        <v>0.33333333333333331</v>
      </c>
      <c r="BU146" t="s">
        <v>563</v>
      </c>
      <c r="BV146" t="s">
        <v>86</v>
      </c>
      <c r="BY146">
        <v>6384</v>
      </c>
      <c r="BZ146" t="s">
        <v>87</v>
      </c>
      <c r="CA146" t="s">
        <v>271</v>
      </c>
      <c r="CC146" t="s">
        <v>267</v>
      </c>
      <c r="CD146">
        <v>6230</v>
      </c>
      <c r="CE146" t="s">
        <v>180</v>
      </c>
      <c r="CF146" s="3">
        <v>45811</v>
      </c>
      <c r="CI146">
        <v>1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"080065705074"</f>
        <v>080065705074</v>
      </c>
      <c r="F147" s="3">
        <v>45810</v>
      </c>
      <c r="G147">
        <v>202603</v>
      </c>
      <c r="H147" t="s">
        <v>75</v>
      </c>
      <c r="I147" t="s">
        <v>76</v>
      </c>
      <c r="J147" t="s">
        <v>77</v>
      </c>
      <c r="K147" t="s">
        <v>78</v>
      </c>
      <c r="L147" t="s">
        <v>100</v>
      </c>
      <c r="M147" t="s">
        <v>101</v>
      </c>
      <c r="N147" t="s">
        <v>564</v>
      </c>
      <c r="O147" t="s">
        <v>82</v>
      </c>
      <c r="P147" t="str">
        <f>"4170041783                    "</f>
        <v xml:space="preserve">4170041783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37.409999999999997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3</v>
      </c>
      <c r="BJ147">
        <v>3.4</v>
      </c>
      <c r="BK147">
        <v>3.5</v>
      </c>
      <c r="BL147">
        <v>122.43</v>
      </c>
      <c r="BM147">
        <v>18.36</v>
      </c>
      <c r="BN147">
        <v>140.79</v>
      </c>
      <c r="BO147">
        <v>140.79</v>
      </c>
      <c r="BQ147" t="s">
        <v>565</v>
      </c>
      <c r="BR147" t="s">
        <v>84</v>
      </c>
      <c r="BS147" s="3">
        <v>45811</v>
      </c>
      <c r="BT147" s="4">
        <v>0.34722222222222221</v>
      </c>
      <c r="BU147" t="s">
        <v>566</v>
      </c>
      <c r="BV147" t="s">
        <v>86</v>
      </c>
      <c r="BY147">
        <v>17034</v>
      </c>
      <c r="BZ147" t="s">
        <v>87</v>
      </c>
      <c r="CA147" t="s">
        <v>223</v>
      </c>
      <c r="CC147" t="s">
        <v>101</v>
      </c>
      <c r="CD147">
        <v>6001</v>
      </c>
      <c r="CE147" t="s">
        <v>89</v>
      </c>
      <c r="CF147" s="3">
        <v>45811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"080065705817"</f>
        <v>080065705817</v>
      </c>
      <c r="F148" s="3">
        <v>45810</v>
      </c>
      <c r="G148">
        <v>202603</v>
      </c>
      <c r="H148" t="s">
        <v>75</v>
      </c>
      <c r="I148" t="s">
        <v>76</v>
      </c>
      <c r="J148" t="s">
        <v>77</v>
      </c>
      <c r="K148" t="s">
        <v>78</v>
      </c>
      <c r="L148" t="s">
        <v>91</v>
      </c>
      <c r="M148" t="s">
        <v>92</v>
      </c>
      <c r="N148" t="s">
        <v>540</v>
      </c>
      <c r="O148" t="s">
        <v>82</v>
      </c>
      <c r="P148" t="str">
        <f>"4170041795                    "</f>
        <v xml:space="preserve">4170041795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21.38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69.98</v>
      </c>
      <c r="BM148">
        <v>10.5</v>
      </c>
      <c r="BN148">
        <v>80.48</v>
      </c>
      <c r="BO148">
        <v>80.48</v>
      </c>
      <c r="BQ148" t="s">
        <v>541</v>
      </c>
      <c r="BR148" t="s">
        <v>84</v>
      </c>
      <c r="BS148" s="3">
        <v>45811</v>
      </c>
      <c r="BT148" s="4">
        <v>0.3840277777777778</v>
      </c>
      <c r="BU148" t="s">
        <v>542</v>
      </c>
      <c r="BV148" t="s">
        <v>86</v>
      </c>
      <c r="BY148">
        <v>1200</v>
      </c>
      <c r="BZ148" t="s">
        <v>87</v>
      </c>
      <c r="CA148" t="s">
        <v>543</v>
      </c>
      <c r="CC148" t="s">
        <v>92</v>
      </c>
      <c r="CD148">
        <v>7441</v>
      </c>
      <c r="CE148" t="s">
        <v>89</v>
      </c>
      <c r="CF148" s="3">
        <v>45812</v>
      </c>
      <c r="CI148">
        <v>1</v>
      </c>
      <c r="CJ148">
        <v>1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"080065705875"</f>
        <v>080065705875</v>
      </c>
      <c r="F149" s="3">
        <v>45810</v>
      </c>
      <c r="G149">
        <v>202603</v>
      </c>
      <c r="H149" t="s">
        <v>75</v>
      </c>
      <c r="I149" t="s">
        <v>76</v>
      </c>
      <c r="J149" t="s">
        <v>77</v>
      </c>
      <c r="K149" t="s">
        <v>78</v>
      </c>
      <c r="L149" t="s">
        <v>331</v>
      </c>
      <c r="M149" t="s">
        <v>332</v>
      </c>
      <c r="N149" t="s">
        <v>333</v>
      </c>
      <c r="O149" t="s">
        <v>82</v>
      </c>
      <c r="P149" t="str">
        <f>"4170041706                    "</f>
        <v xml:space="preserve">4170041706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128.22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12</v>
      </c>
      <c r="BJ149">
        <v>8.9</v>
      </c>
      <c r="BK149">
        <v>12</v>
      </c>
      <c r="BL149">
        <v>419.62</v>
      </c>
      <c r="BM149">
        <v>62.94</v>
      </c>
      <c r="BN149">
        <v>482.56</v>
      </c>
      <c r="BO149">
        <v>482.56</v>
      </c>
      <c r="BQ149" t="s">
        <v>334</v>
      </c>
      <c r="BR149" t="s">
        <v>84</v>
      </c>
      <c r="BS149" s="3">
        <v>45811</v>
      </c>
      <c r="BT149" s="4">
        <v>0.34791666666666665</v>
      </c>
      <c r="BU149" t="s">
        <v>335</v>
      </c>
      <c r="BV149" t="s">
        <v>86</v>
      </c>
      <c r="BY149">
        <v>44640</v>
      </c>
      <c r="BZ149" t="s">
        <v>87</v>
      </c>
      <c r="CA149" t="s">
        <v>336</v>
      </c>
      <c r="CC149" t="s">
        <v>332</v>
      </c>
      <c r="CD149">
        <v>4051</v>
      </c>
      <c r="CE149" t="s">
        <v>99</v>
      </c>
      <c r="CF149" s="3">
        <v>45811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"080065705927"</f>
        <v>080065705927</v>
      </c>
      <c r="F150" s="3">
        <v>45810</v>
      </c>
      <c r="G150">
        <v>202603</v>
      </c>
      <c r="H150" t="s">
        <v>75</v>
      </c>
      <c r="I150" t="s">
        <v>76</v>
      </c>
      <c r="J150" t="s">
        <v>77</v>
      </c>
      <c r="K150" t="s">
        <v>78</v>
      </c>
      <c r="L150" t="s">
        <v>251</v>
      </c>
      <c r="M150" t="s">
        <v>252</v>
      </c>
      <c r="N150" t="s">
        <v>567</v>
      </c>
      <c r="O150" t="s">
        <v>82</v>
      </c>
      <c r="P150" t="str">
        <f>"4170041731                    "</f>
        <v xml:space="preserve">4170041731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21.38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69.98</v>
      </c>
      <c r="BM150">
        <v>10.5</v>
      </c>
      <c r="BN150">
        <v>80.48</v>
      </c>
      <c r="BO150">
        <v>80.48</v>
      </c>
      <c r="BQ150" t="s">
        <v>568</v>
      </c>
      <c r="BR150" t="s">
        <v>84</v>
      </c>
      <c r="BS150" s="3">
        <v>45811</v>
      </c>
      <c r="BT150" s="4">
        <v>0.375</v>
      </c>
      <c r="BU150" t="s">
        <v>569</v>
      </c>
      <c r="BV150" t="s">
        <v>86</v>
      </c>
      <c r="BY150">
        <v>1200</v>
      </c>
      <c r="BZ150" t="s">
        <v>87</v>
      </c>
      <c r="CA150" t="s">
        <v>570</v>
      </c>
      <c r="CC150" t="s">
        <v>252</v>
      </c>
      <c r="CD150">
        <v>4302</v>
      </c>
      <c r="CE150" t="s">
        <v>89</v>
      </c>
      <c r="CF150" s="3">
        <v>45811</v>
      </c>
      <c r="CI150">
        <v>1</v>
      </c>
      <c r="CJ150">
        <v>1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"080065705947"</f>
        <v>080065705947</v>
      </c>
      <c r="F151" s="3">
        <v>45810</v>
      </c>
      <c r="G151">
        <v>202603</v>
      </c>
      <c r="H151" t="s">
        <v>75</v>
      </c>
      <c r="I151" t="s">
        <v>76</v>
      </c>
      <c r="J151" t="s">
        <v>77</v>
      </c>
      <c r="K151" t="s">
        <v>78</v>
      </c>
      <c r="L151" t="s">
        <v>159</v>
      </c>
      <c r="M151" t="s">
        <v>160</v>
      </c>
      <c r="N151" t="s">
        <v>571</v>
      </c>
      <c r="O151" t="s">
        <v>82</v>
      </c>
      <c r="P151" t="str">
        <f>"4170041824                    "</f>
        <v xml:space="preserve">4170041824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16.7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</v>
      </c>
      <c r="BJ151">
        <v>2.1</v>
      </c>
      <c r="BK151">
        <v>3</v>
      </c>
      <c r="BL151">
        <v>54.66</v>
      </c>
      <c r="BM151">
        <v>8.1999999999999993</v>
      </c>
      <c r="BN151">
        <v>62.86</v>
      </c>
      <c r="BO151">
        <v>62.86</v>
      </c>
      <c r="BQ151" t="s">
        <v>572</v>
      </c>
      <c r="BR151" t="s">
        <v>84</v>
      </c>
      <c r="BS151" s="3">
        <v>45811</v>
      </c>
      <c r="BT151" s="4">
        <v>0.40277777777777779</v>
      </c>
      <c r="BU151" t="s">
        <v>573</v>
      </c>
      <c r="BV151" t="s">
        <v>86</v>
      </c>
      <c r="BY151">
        <v>10388</v>
      </c>
      <c r="BZ151" t="s">
        <v>87</v>
      </c>
      <c r="CA151" t="s">
        <v>444</v>
      </c>
      <c r="CC151" t="s">
        <v>160</v>
      </c>
      <c r="CD151">
        <v>2013</v>
      </c>
      <c r="CE151" t="s">
        <v>166</v>
      </c>
      <c r="CF151" s="3">
        <v>45812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"080065705949"</f>
        <v>080065705949</v>
      </c>
      <c r="F152" s="3">
        <v>45810</v>
      </c>
      <c r="G152">
        <v>202603</v>
      </c>
      <c r="H152" t="s">
        <v>75</v>
      </c>
      <c r="I152" t="s">
        <v>76</v>
      </c>
      <c r="J152" t="s">
        <v>77</v>
      </c>
      <c r="K152" t="s">
        <v>78</v>
      </c>
      <c r="L152" t="s">
        <v>91</v>
      </c>
      <c r="M152" t="s">
        <v>92</v>
      </c>
      <c r="N152" t="s">
        <v>327</v>
      </c>
      <c r="O152" t="s">
        <v>82</v>
      </c>
      <c r="P152" t="str">
        <f>"4170041730                    "</f>
        <v xml:space="preserve">4170041730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21.38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69.98</v>
      </c>
      <c r="BM152">
        <v>10.5</v>
      </c>
      <c r="BN152">
        <v>80.48</v>
      </c>
      <c r="BO152">
        <v>80.48</v>
      </c>
      <c r="BQ152" t="s">
        <v>328</v>
      </c>
      <c r="BR152" t="s">
        <v>84</v>
      </c>
      <c r="BS152" s="3">
        <v>45811</v>
      </c>
      <c r="BT152" s="4">
        <v>0.36805555555555558</v>
      </c>
      <c r="BU152" t="s">
        <v>329</v>
      </c>
      <c r="BV152" t="s">
        <v>86</v>
      </c>
      <c r="BY152">
        <v>1200</v>
      </c>
      <c r="BZ152" t="s">
        <v>87</v>
      </c>
      <c r="CA152" t="s">
        <v>330</v>
      </c>
      <c r="CC152" t="s">
        <v>92</v>
      </c>
      <c r="CD152">
        <v>7530</v>
      </c>
      <c r="CE152" t="s">
        <v>89</v>
      </c>
      <c r="CF152" s="3">
        <v>45812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"080065706004"</f>
        <v>080065706004</v>
      </c>
      <c r="F153" s="3">
        <v>45810</v>
      </c>
      <c r="G153">
        <v>202603</v>
      </c>
      <c r="H153" t="s">
        <v>75</v>
      </c>
      <c r="I153" t="s">
        <v>76</v>
      </c>
      <c r="J153" t="s">
        <v>77</v>
      </c>
      <c r="K153" t="s">
        <v>78</v>
      </c>
      <c r="L153" t="s">
        <v>91</v>
      </c>
      <c r="M153" t="s">
        <v>92</v>
      </c>
      <c r="N153" t="s">
        <v>540</v>
      </c>
      <c r="O153" t="s">
        <v>82</v>
      </c>
      <c r="P153" t="str">
        <f>"4170041789                    "</f>
        <v xml:space="preserve">4170041789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21.38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69.98</v>
      </c>
      <c r="BM153">
        <v>10.5</v>
      </c>
      <c r="BN153">
        <v>80.48</v>
      </c>
      <c r="BO153">
        <v>80.48</v>
      </c>
      <c r="BQ153" t="s">
        <v>541</v>
      </c>
      <c r="BR153" t="s">
        <v>84</v>
      </c>
      <c r="BS153" s="3">
        <v>45811</v>
      </c>
      <c r="BT153" s="4">
        <v>0.3840277777777778</v>
      </c>
      <c r="BU153" t="s">
        <v>542</v>
      </c>
      <c r="BV153" t="s">
        <v>86</v>
      </c>
      <c r="BY153">
        <v>1200</v>
      </c>
      <c r="BZ153" t="s">
        <v>87</v>
      </c>
      <c r="CA153" t="s">
        <v>543</v>
      </c>
      <c r="CC153" t="s">
        <v>92</v>
      </c>
      <c r="CD153">
        <v>7441</v>
      </c>
      <c r="CE153" t="s">
        <v>89</v>
      </c>
      <c r="CF153" s="3">
        <v>45812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"080065706008"</f>
        <v>080065706008</v>
      </c>
      <c r="F154" s="3">
        <v>45810</v>
      </c>
      <c r="G154">
        <v>202603</v>
      </c>
      <c r="H154" t="s">
        <v>75</v>
      </c>
      <c r="I154" t="s">
        <v>76</v>
      </c>
      <c r="J154" t="s">
        <v>77</v>
      </c>
      <c r="K154" t="s">
        <v>78</v>
      </c>
      <c r="L154" t="s">
        <v>100</v>
      </c>
      <c r="M154" t="s">
        <v>101</v>
      </c>
      <c r="N154" t="s">
        <v>123</v>
      </c>
      <c r="O154" t="s">
        <v>82</v>
      </c>
      <c r="P154" t="str">
        <f>"4170041798                    "</f>
        <v xml:space="preserve">4170041798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74.8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7</v>
      </c>
      <c r="BJ154">
        <v>5.0999999999999996</v>
      </c>
      <c r="BK154">
        <v>7</v>
      </c>
      <c r="BL154">
        <v>244.8</v>
      </c>
      <c r="BM154">
        <v>36.72</v>
      </c>
      <c r="BN154">
        <v>281.52</v>
      </c>
      <c r="BO154">
        <v>281.52</v>
      </c>
      <c r="BQ154" t="s">
        <v>124</v>
      </c>
      <c r="BR154" t="s">
        <v>84</v>
      </c>
      <c r="BS154" s="3">
        <v>45811</v>
      </c>
      <c r="BT154" s="4">
        <v>0.35902777777777778</v>
      </c>
      <c r="BU154" t="s">
        <v>234</v>
      </c>
      <c r="BV154" t="s">
        <v>86</v>
      </c>
      <c r="BY154">
        <v>25611</v>
      </c>
      <c r="BZ154" t="s">
        <v>87</v>
      </c>
      <c r="CA154" t="s">
        <v>235</v>
      </c>
      <c r="CC154" t="s">
        <v>101</v>
      </c>
      <c r="CD154">
        <v>6001</v>
      </c>
      <c r="CE154" t="s">
        <v>180</v>
      </c>
      <c r="CF154" s="3">
        <v>45811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"080065706040"</f>
        <v>080065706040</v>
      </c>
      <c r="F155" s="3">
        <v>45810</v>
      </c>
      <c r="G155">
        <v>202603</v>
      </c>
      <c r="H155" t="s">
        <v>75</v>
      </c>
      <c r="I155" t="s">
        <v>76</v>
      </c>
      <c r="J155" t="s">
        <v>77</v>
      </c>
      <c r="K155" t="s">
        <v>78</v>
      </c>
      <c r="L155" t="s">
        <v>239</v>
      </c>
      <c r="M155" t="s">
        <v>240</v>
      </c>
      <c r="N155" t="s">
        <v>241</v>
      </c>
      <c r="O155" t="s">
        <v>82</v>
      </c>
      <c r="P155" t="str">
        <f>"4170041817                    "</f>
        <v xml:space="preserve">4170041817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41.43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135.59</v>
      </c>
      <c r="BM155">
        <v>20.34</v>
      </c>
      <c r="BN155">
        <v>155.93</v>
      </c>
      <c r="BO155">
        <v>155.93</v>
      </c>
      <c r="BQ155" t="s">
        <v>242</v>
      </c>
      <c r="BR155" t="s">
        <v>84</v>
      </c>
      <c r="BS155" s="3">
        <v>45811</v>
      </c>
      <c r="BT155" s="4">
        <v>0.52569444444444446</v>
      </c>
      <c r="BU155" t="s">
        <v>574</v>
      </c>
      <c r="BV155" t="s">
        <v>86</v>
      </c>
      <c r="BY155">
        <v>1200</v>
      </c>
      <c r="BZ155" t="s">
        <v>87</v>
      </c>
      <c r="CA155" t="s">
        <v>244</v>
      </c>
      <c r="CC155" t="s">
        <v>240</v>
      </c>
      <c r="CD155">
        <v>2531</v>
      </c>
      <c r="CE155" t="s">
        <v>89</v>
      </c>
      <c r="CF155" s="3">
        <v>45812</v>
      </c>
      <c r="CI155">
        <v>1</v>
      </c>
      <c r="CJ155">
        <v>1</v>
      </c>
      <c r="CK155">
        <v>23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"080065706061"</f>
        <v>080065706061</v>
      </c>
      <c r="F156" s="3">
        <v>45810</v>
      </c>
      <c r="G156">
        <v>202603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275</v>
      </c>
      <c r="O156" t="s">
        <v>82</v>
      </c>
      <c r="P156" t="str">
        <f>"4170041814                    "</f>
        <v xml:space="preserve">4170041814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16.7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5</v>
      </c>
      <c r="BJ156">
        <v>2.5</v>
      </c>
      <c r="BK156">
        <v>5</v>
      </c>
      <c r="BL156">
        <v>54.66</v>
      </c>
      <c r="BM156">
        <v>8.1999999999999993</v>
      </c>
      <c r="BN156">
        <v>62.86</v>
      </c>
      <c r="BO156">
        <v>62.86</v>
      </c>
      <c r="BQ156" t="s">
        <v>277</v>
      </c>
      <c r="BR156" t="s">
        <v>84</v>
      </c>
      <c r="BS156" s="3">
        <v>45811</v>
      </c>
      <c r="BT156" s="4">
        <v>0.4375</v>
      </c>
      <c r="BU156" t="s">
        <v>278</v>
      </c>
      <c r="BV156" t="s">
        <v>86</v>
      </c>
      <c r="BY156">
        <v>12375</v>
      </c>
      <c r="BZ156" t="s">
        <v>87</v>
      </c>
      <c r="CA156" t="s">
        <v>279</v>
      </c>
      <c r="CC156" t="s">
        <v>76</v>
      </c>
      <c r="CD156">
        <v>1614</v>
      </c>
      <c r="CE156" t="s">
        <v>99</v>
      </c>
      <c r="CF156" s="3">
        <v>45812</v>
      </c>
      <c r="CI156">
        <v>1</v>
      </c>
      <c r="CJ156">
        <v>1</v>
      </c>
      <c r="CK156">
        <v>22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"080065706119"</f>
        <v>080065706119</v>
      </c>
      <c r="F157" s="3">
        <v>45810</v>
      </c>
      <c r="G157">
        <v>202603</v>
      </c>
      <c r="H157" t="s">
        <v>75</v>
      </c>
      <c r="I157" t="s">
        <v>76</v>
      </c>
      <c r="J157" t="s">
        <v>77</v>
      </c>
      <c r="K157" t="s">
        <v>78</v>
      </c>
      <c r="L157" t="s">
        <v>575</v>
      </c>
      <c r="M157" t="s">
        <v>576</v>
      </c>
      <c r="N157" t="s">
        <v>577</v>
      </c>
      <c r="O157" t="s">
        <v>82</v>
      </c>
      <c r="P157" t="str">
        <f>"4170041777                    "</f>
        <v xml:space="preserve">4170041777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69.489999999999995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3.2</v>
      </c>
      <c r="BK157">
        <v>3.5</v>
      </c>
      <c r="BL157">
        <v>227.43</v>
      </c>
      <c r="BM157">
        <v>34.11</v>
      </c>
      <c r="BN157">
        <v>261.54000000000002</v>
      </c>
      <c r="BO157">
        <v>261.54000000000002</v>
      </c>
      <c r="BQ157" t="s">
        <v>578</v>
      </c>
      <c r="BR157" t="s">
        <v>84</v>
      </c>
      <c r="BS157" s="3">
        <v>45811</v>
      </c>
      <c r="BT157" s="4">
        <v>0.4375</v>
      </c>
      <c r="BU157" t="s">
        <v>579</v>
      </c>
      <c r="BV157" t="s">
        <v>86</v>
      </c>
      <c r="BY157">
        <v>16128</v>
      </c>
      <c r="BZ157" t="s">
        <v>87</v>
      </c>
      <c r="CC157" t="s">
        <v>576</v>
      </c>
      <c r="CD157">
        <v>1871</v>
      </c>
      <c r="CE157" t="s">
        <v>99</v>
      </c>
      <c r="CF157" s="3">
        <v>45812</v>
      </c>
      <c r="CI157">
        <v>1</v>
      </c>
      <c r="CJ157">
        <v>1</v>
      </c>
      <c r="CK157">
        <v>23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"080065706185"</f>
        <v>080065706185</v>
      </c>
      <c r="F158" s="3">
        <v>45810</v>
      </c>
      <c r="G158">
        <v>202603</v>
      </c>
      <c r="H158" t="s">
        <v>75</v>
      </c>
      <c r="I158" t="s">
        <v>76</v>
      </c>
      <c r="J158" t="s">
        <v>77</v>
      </c>
      <c r="K158" t="s">
        <v>78</v>
      </c>
      <c r="L158" t="s">
        <v>91</v>
      </c>
      <c r="M158" t="s">
        <v>92</v>
      </c>
      <c r="N158" t="s">
        <v>540</v>
      </c>
      <c r="O158" t="s">
        <v>82</v>
      </c>
      <c r="P158" t="str">
        <f>"4170041788                    "</f>
        <v xml:space="preserve">4170041788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32.07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3</v>
      </c>
      <c r="BJ158">
        <v>1.9</v>
      </c>
      <c r="BK158">
        <v>3</v>
      </c>
      <c r="BL158">
        <v>104.95</v>
      </c>
      <c r="BM158">
        <v>15.74</v>
      </c>
      <c r="BN158">
        <v>120.69</v>
      </c>
      <c r="BO158">
        <v>120.69</v>
      </c>
      <c r="BQ158" t="s">
        <v>541</v>
      </c>
      <c r="BR158" t="s">
        <v>84</v>
      </c>
      <c r="BS158" s="3">
        <v>45811</v>
      </c>
      <c r="BT158" s="4">
        <v>0.3840277777777778</v>
      </c>
      <c r="BU158" t="s">
        <v>542</v>
      </c>
      <c r="BV158" t="s">
        <v>86</v>
      </c>
      <c r="BY158">
        <v>9600</v>
      </c>
      <c r="BZ158" t="s">
        <v>87</v>
      </c>
      <c r="CA158" t="s">
        <v>543</v>
      </c>
      <c r="CC158" t="s">
        <v>92</v>
      </c>
      <c r="CD158">
        <v>7441</v>
      </c>
      <c r="CE158" t="s">
        <v>99</v>
      </c>
      <c r="CF158" s="3">
        <v>45812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"080065706235"</f>
        <v>080065706235</v>
      </c>
      <c r="F159" s="3">
        <v>45810</v>
      </c>
      <c r="G159">
        <v>202603</v>
      </c>
      <c r="H159" t="s">
        <v>75</v>
      </c>
      <c r="I159" t="s">
        <v>76</v>
      </c>
      <c r="J159" t="s">
        <v>77</v>
      </c>
      <c r="K159" t="s">
        <v>78</v>
      </c>
      <c r="L159" t="s">
        <v>91</v>
      </c>
      <c r="M159" t="s">
        <v>92</v>
      </c>
      <c r="N159" t="s">
        <v>93</v>
      </c>
      <c r="O159" t="s">
        <v>82</v>
      </c>
      <c r="P159" t="str">
        <f>"4170041784                    "</f>
        <v xml:space="preserve">4170041784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42.75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</v>
      </c>
      <c r="BJ159">
        <v>3.1</v>
      </c>
      <c r="BK159">
        <v>4</v>
      </c>
      <c r="BL159">
        <v>139.91</v>
      </c>
      <c r="BM159">
        <v>20.99</v>
      </c>
      <c r="BN159">
        <v>160.9</v>
      </c>
      <c r="BO159">
        <v>160.9</v>
      </c>
      <c r="BQ159" t="s">
        <v>95</v>
      </c>
      <c r="BR159" t="s">
        <v>84</v>
      </c>
      <c r="BS159" s="3">
        <v>45811</v>
      </c>
      <c r="BT159" s="4">
        <v>0.39583333333333331</v>
      </c>
      <c r="BU159" t="s">
        <v>580</v>
      </c>
      <c r="BV159" t="s">
        <v>86</v>
      </c>
      <c r="BY159">
        <v>15360</v>
      </c>
      <c r="BZ159" t="s">
        <v>87</v>
      </c>
      <c r="CA159" t="s">
        <v>543</v>
      </c>
      <c r="CC159" t="s">
        <v>92</v>
      </c>
      <c r="CD159">
        <v>7441</v>
      </c>
      <c r="CE159" t="s">
        <v>99</v>
      </c>
      <c r="CF159" s="3">
        <v>45812</v>
      </c>
      <c r="CI159">
        <v>1</v>
      </c>
      <c r="CJ159">
        <v>1</v>
      </c>
      <c r="CK159">
        <v>21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"080065706285"</f>
        <v>080065706285</v>
      </c>
      <c r="F160" s="3">
        <v>45810</v>
      </c>
      <c r="G160">
        <v>202603</v>
      </c>
      <c r="H160" t="s">
        <v>75</v>
      </c>
      <c r="I160" t="s">
        <v>76</v>
      </c>
      <c r="J160" t="s">
        <v>77</v>
      </c>
      <c r="K160" t="s">
        <v>78</v>
      </c>
      <c r="L160" t="s">
        <v>100</v>
      </c>
      <c r="M160" t="s">
        <v>101</v>
      </c>
      <c r="N160" t="s">
        <v>581</v>
      </c>
      <c r="O160" t="s">
        <v>82</v>
      </c>
      <c r="P160" t="str">
        <f>"4170041785                    "</f>
        <v xml:space="preserve">4170041785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64.12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</v>
      </c>
      <c r="BJ160">
        <v>5.7</v>
      </c>
      <c r="BK160">
        <v>6</v>
      </c>
      <c r="BL160">
        <v>209.84</v>
      </c>
      <c r="BM160">
        <v>31.48</v>
      </c>
      <c r="BN160">
        <v>241.32</v>
      </c>
      <c r="BO160">
        <v>241.32</v>
      </c>
      <c r="BQ160" t="s">
        <v>582</v>
      </c>
      <c r="BR160" t="s">
        <v>84</v>
      </c>
      <c r="BS160" s="3">
        <v>45811</v>
      </c>
      <c r="BT160" s="4">
        <v>0.38611111111111113</v>
      </c>
      <c r="BU160" t="s">
        <v>583</v>
      </c>
      <c r="BV160" t="s">
        <v>86</v>
      </c>
      <c r="BY160">
        <v>28275</v>
      </c>
      <c r="BZ160" t="s">
        <v>87</v>
      </c>
      <c r="CA160" t="s">
        <v>235</v>
      </c>
      <c r="CC160" t="s">
        <v>101</v>
      </c>
      <c r="CD160">
        <v>6056</v>
      </c>
      <c r="CE160" t="s">
        <v>99</v>
      </c>
      <c r="CF160" s="3">
        <v>45811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"080065706382"</f>
        <v>080065706382</v>
      </c>
      <c r="F161" s="3">
        <v>45810</v>
      </c>
      <c r="G161">
        <v>202603</v>
      </c>
      <c r="H161" t="s">
        <v>75</v>
      </c>
      <c r="I161" t="s">
        <v>76</v>
      </c>
      <c r="J161" t="s">
        <v>77</v>
      </c>
      <c r="K161" t="s">
        <v>78</v>
      </c>
      <c r="L161" t="s">
        <v>239</v>
      </c>
      <c r="M161" t="s">
        <v>240</v>
      </c>
      <c r="N161" t="s">
        <v>241</v>
      </c>
      <c r="O161" t="s">
        <v>82</v>
      </c>
      <c r="P161" t="str">
        <f>"4170041832                    "</f>
        <v xml:space="preserve">4170041832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41.43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135.59</v>
      </c>
      <c r="BM161">
        <v>20.34</v>
      </c>
      <c r="BN161">
        <v>155.93</v>
      </c>
      <c r="BO161">
        <v>155.93</v>
      </c>
      <c r="BQ161" t="s">
        <v>242</v>
      </c>
      <c r="BR161" t="s">
        <v>84</v>
      </c>
      <c r="BS161" s="3">
        <v>45811</v>
      </c>
      <c r="BT161" s="4">
        <v>0.52708333333333335</v>
      </c>
      <c r="BU161" t="s">
        <v>584</v>
      </c>
      <c r="BV161" t="s">
        <v>86</v>
      </c>
      <c r="BY161">
        <v>1200</v>
      </c>
      <c r="BZ161" t="s">
        <v>87</v>
      </c>
      <c r="CA161" t="s">
        <v>244</v>
      </c>
      <c r="CC161" t="s">
        <v>240</v>
      </c>
      <c r="CD161">
        <v>2531</v>
      </c>
      <c r="CE161" t="s">
        <v>89</v>
      </c>
      <c r="CF161" s="3">
        <v>45812</v>
      </c>
      <c r="CI161">
        <v>1</v>
      </c>
      <c r="CJ161">
        <v>1</v>
      </c>
      <c r="CK161">
        <v>23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"080065706410"</f>
        <v>080065706410</v>
      </c>
      <c r="F162" s="3">
        <v>45810</v>
      </c>
      <c r="G162">
        <v>202603</v>
      </c>
      <c r="H162" t="s">
        <v>75</v>
      </c>
      <c r="I162" t="s">
        <v>76</v>
      </c>
      <c r="J162" t="s">
        <v>77</v>
      </c>
      <c r="K162" t="s">
        <v>78</v>
      </c>
      <c r="L162" t="s">
        <v>91</v>
      </c>
      <c r="M162" t="s">
        <v>92</v>
      </c>
      <c r="N162" t="s">
        <v>540</v>
      </c>
      <c r="O162" t="s">
        <v>82</v>
      </c>
      <c r="P162" t="str">
        <f>"4170041792                    "</f>
        <v xml:space="preserve">4170041792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21.38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69.98</v>
      </c>
      <c r="BM162">
        <v>10.5</v>
      </c>
      <c r="BN162">
        <v>80.48</v>
      </c>
      <c r="BO162">
        <v>80.48</v>
      </c>
      <c r="BQ162" t="s">
        <v>541</v>
      </c>
      <c r="BR162" t="s">
        <v>84</v>
      </c>
      <c r="BS162" s="3">
        <v>45811</v>
      </c>
      <c r="BT162" s="4">
        <v>0.3840277777777778</v>
      </c>
      <c r="BU162" t="s">
        <v>542</v>
      </c>
      <c r="BV162" t="s">
        <v>86</v>
      </c>
      <c r="BY162">
        <v>1200</v>
      </c>
      <c r="BZ162" t="s">
        <v>87</v>
      </c>
      <c r="CA162" t="s">
        <v>543</v>
      </c>
      <c r="CC162" t="s">
        <v>92</v>
      </c>
      <c r="CD162">
        <v>7441</v>
      </c>
      <c r="CE162" t="s">
        <v>89</v>
      </c>
      <c r="CF162" s="3">
        <v>45812</v>
      </c>
      <c r="CI162">
        <v>1</v>
      </c>
      <c r="CJ162">
        <v>1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"080065706447"</f>
        <v>080065706447</v>
      </c>
      <c r="F163" s="3">
        <v>45810</v>
      </c>
      <c r="G163">
        <v>202603</v>
      </c>
      <c r="H163" t="s">
        <v>75</v>
      </c>
      <c r="I163" t="s">
        <v>76</v>
      </c>
      <c r="J163" t="s">
        <v>77</v>
      </c>
      <c r="K163" t="s">
        <v>78</v>
      </c>
      <c r="L163" t="s">
        <v>91</v>
      </c>
      <c r="M163" t="s">
        <v>92</v>
      </c>
      <c r="N163" t="s">
        <v>540</v>
      </c>
      <c r="O163" t="s">
        <v>82</v>
      </c>
      <c r="P163" t="str">
        <f>"4170041863                    "</f>
        <v xml:space="preserve">4170041863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21.38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69.98</v>
      </c>
      <c r="BM163">
        <v>10.5</v>
      </c>
      <c r="BN163">
        <v>80.48</v>
      </c>
      <c r="BO163">
        <v>80.48</v>
      </c>
      <c r="BQ163" t="s">
        <v>541</v>
      </c>
      <c r="BR163" t="s">
        <v>84</v>
      </c>
      <c r="BS163" s="3">
        <v>45811</v>
      </c>
      <c r="BT163" s="4">
        <v>0.3840277777777778</v>
      </c>
      <c r="BU163" t="s">
        <v>542</v>
      </c>
      <c r="BV163" t="s">
        <v>86</v>
      </c>
      <c r="BY163">
        <v>1200</v>
      </c>
      <c r="BZ163" t="s">
        <v>87</v>
      </c>
      <c r="CA163" t="s">
        <v>543</v>
      </c>
      <c r="CC163" t="s">
        <v>92</v>
      </c>
      <c r="CD163">
        <v>7441</v>
      </c>
      <c r="CE163" t="s">
        <v>89</v>
      </c>
      <c r="CF163" s="3">
        <v>45812</v>
      </c>
      <c r="CI163">
        <v>1</v>
      </c>
      <c r="CJ163">
        <v>1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"080065706486"</f>
        <v>080065706486</v>
      </c>
      <c r="F164" s="3">
        <v>45810</v>
      </c>
      <c r="G164">
        <v>202603</v>
      </c>
      <c r="H164" t="s">
        <v>75</v>
      </c>
      <c r="I164" t="s">
        <v>76</v>
      </c>
      <c r="J164" t="s">
        <v>77</v>
      </c>
      <c r="K164" t="s">
        <v>78</v>
      </c>
      <c r="L164" t="s">
        <v>369</v>
      </c>
      <c r="M164" t="s">
        <v>370</v>
      </c>
      <c r="N164" t="s">
        <v>371</v>
      </c>
      <c r="O164" t="s">
        <v>82</v>
      </c>
      <c r="P164" t="str">
        <f>"4170041710                    "</f>
        <v xml:space="preserve">4170041710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41.43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</v>
      </c>
      <c r="BJ164">
        <v>1.1000000000000001</v>
      </c>
      <c r="BK164">
        <v>2</v>
      </c>
      <c r="BL164">
        <v>135.59</v>
      </c>
      <c r="BM164">
        <v>20.34</v>
      </c>
      <c r="BN164">
        <v>155.93</v>
      </c>
      <c r="BO164">
        <v>155.93</v>
      </c>
      <c r="BQ164" t="s">
        <v>372</v>
      </c>
      <c r="BR164" t="s">
        <v>84</v>
      </c>
      <c r="BS164" s="3">
        <v>45811</v>
      </c>
      <c r="BT164" s="4">
        <v>0.36805555555555558</v>
      </c>
      <c r="BU164" t="s">
        <v>373</v>
      </c>
      <c r="BV164" t="s">
        <v>86</v>
      </c>
      <c r="BY164">
        <v>5320</v>
      </c>
      <c r="BZ164" t="s">
        <v>87</v>
      </c>
      <c r="CA164" t="s">
        <v>374</v>
      </c>
      <c r="CC164" t="s">
        <v>370</v>
      </c>
      <c r="CD164">
        <v>7130</v>
      </c>
      <c r="CE164" t="s">
        <v>99</v>
      </c>
      <c r="CF164" s="3">
        <v>45812</v>
      </c>
      <c r="CI164">
        <v>1</v>
      </c>
      <c r="CJ164">
        <v>1</v>
      </c>
      <c r="CK164">
        <v>23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"080065706531"</f>
        <v>080065706531</v>
      </c>
      <c r="F165" s="3">
        <v>45810</v>
      </c>
      <c r="G165">
        <v>202603</v>
      </c>
      <c r="H165" t="s">
        <v>75</v>
      </c>
      <c r="I165" t="s">
        <v>76</v>
      </c>
      <c r="J165" t="s">
        <v>77</v>
      </c>
      <c r="K165" t="s">
        <v>78</v>
      </c>
      <c r="L165" t="s">
        <v>369</v>
      </c>
      <c r="M165" t="s">
        <v>370</v>
      </c>
      <c r="N165" t="s">
        <v>371</v>
      </c>
      <c r="O165" t="s">
        <v>82</v>
      </c>
      <c r="P165" t="str">
        <f>"4170041772                    "</f>
        <v xml:space="preserve">4170041772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228.52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12</v>
      </c>
      <c r="BJ165">
        <v>4.5</v>
      </c>
      <c r="BK165">
        <v>12</v>
      </c>
      <c r="BL165">
        <v>747.88</v>
      </c>
      <c r="BM165">
        <v>112.18</v>
      </c>
      <c r="BN165">
        <v>860.06</v>
      </c>
      <c r="BO165">
        <v>860.06</v>
      </c>
      <c r="BQ165" t="s">
        <v>372</v>
      </c>
      <c r="BR165" t="s">
        <v>84</v>
      </c>
      <c r="BS165" s="3">
        <v>45811</v>
      </c>
      <c r="BT165" s="4">
        <v>0.36805555555555558</v>
      </c>
      <c r="BU165" t="s">
        <v>373</v>
      </c>
      <c r="BV165" t="s">
        <v>86</v>
      </c>
      <c r="BY165">
        <v>22620</v>
      </c>
      <c r="BZ165" t="s">
        <v>87</v>
      </c>
      <c r="CA165" t="s">
        <v>374</v>
      </c>
      <c r="CC165" t="s">
        <v>370</v>
      </c>
      <c r="CD165">
        <v>7130</v>
      </c>
      <c r="CE165" t="s">
        <v>99</v>
      </c>
      <c r="CF165" s="3">
        <v>45812</v>
      </c>
      <c r="CI165">
        <v>1</v>
      </c>
      <c r="CJ165">
        <v>1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"080065706578"</f>
        <v>080065706578</v>
      </c>
      <c r="F166" s="3">
        <v>45810</v>
      </c>
      <c r="G166">
        <v>202603</v>
      </c>
      <c r="H166" t="s">
        <v>75</v>
      </c>
      <c r="I166" t="s">
        <v>76</v>
      </c>
      <c r="J166" t="s">
        <v>77</v>
      </c>
      <c r="K166" t="s">
        <v>78</v>
      </c>
      <c r="L166" t="s">
        <v>100</v>
      </c>
      <c r="M166" t="s">
        <v>101</v>
      </c>
      <c r="N166" t="s">
        <v>585</v>
      </c>
      <c r="O166" t="s">
        <v>82</v>
      </c>
      <c r="P166" t="str">
        <f>"4170041774                    "</f>
        <v xml:space="preserve">4170041774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42.75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3.7</v>
      </c>
      <c r="BK166">
        <v>4</v>
      </c>
      <c r="BL166">
        <v>139.91</v>
      </c>
      <c r="BM166">
        <v>20.99</v>
      </c>
      <c r="BN166">
        <v>160.9</v>
      </c>
      <c r="BO166">
        <v>160.9</v>
      </c>
      <c r="BQ166" t="s">
        <v>586</v>
      </c>
      <c r="BR166" t="s">
        <v>84</v>
      </c>
      <c r="BS166" s="3">
        <v>45812</v>
      </c>
      <c r="BT166" s="4">
        <v>0.38263888888888886</v>
      </c>
      <c r="BU166" t="s">
        <v>587</v>
      </c>
      <c r="BV166" t="s">
        <v>90</v>
      </c>
      <c r="BW166" t="s">
        <v>416</v>
      </c>
      <c r="BX166" t="s">
        <v>588</v>
      </c>
      <c r="BY166">
        <v>18304</v>
      </c>
      <c r="BZ166" t="s">
        <v>87</v>
      </c>
      <c r="CA166" t="s">
        <v>589</v>
      </c>
      <c r="CC166" t="s">
        <v>101</v>
      </c>
      <c r="CD166">
        <v>6001</v>
      </c>
      <c r="CE166" t="s">
        <v>99</v>
      </c>
      <c r="CF166" s="3">
        <v>45812</v>
      </c>
      <c r="CI166">
        <v>1</v>
      </c>
      <c r="CJ166">
        <v>2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"080065706698"</f>
        <v>080065706698</v>
      </c>
      <c r="F167" s="3">
        <v>45810</v>
      </c>
      <c r="G167">
        <v>202603</v>
      </c>
      <c r="H167" t="s">
        <v>75</v>
      </c>
      <c r="I167" t="s">
        <v>76</v>
      </c>
      <c r="J167" t="s">
        <v>77</v>
      </c>
      <c r="K167" t="s">
        <v>78</v>
      </c>
      <c r="L167" t="s">
        <v>375</v>
      </c>
      <c r="M167" t="s">
        <v>376</v>
      </c>
      <c r="N167" t="s">
        <v>386</v>
      </c>
      <c r="O167" t="s">
        <v>82</v>
      </c>
      <c r="P167" t="str">
        <f>"4170041756                    "</f>
        <v xml:space="preserve">4170041756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16.7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</v>
      </c>
      <c r="BJ167">
        <v>3.9</v>
      </c>
      <c r="BK167">
        <v>4</v>
      </c>
      <c r="BL167">
        <v>54.66</v>
      </c>
      <c r="BM167">
        <v>8.1999999999999993</v>
      </c>
      <c r="BN167">
        <v>62.86</v>
      </c>
      <c r="BO167">
        <v>62.86</v>
      </c>
      <c r="BQ167" t="s">
        <v>387</v>
      </c>
      <c r="BR167" t="s">
        <v>84</v>
      </c>
      <c r="BS167" s="3">
        <v>45811</v>
      </c>
      <c r="BT167" s="4">
        <v>0.54513888888888884</v>
      </c>
      <c r="BU167" t="s">
        <v>388</v>
      </c>
      <c r="BV167" t="s">
        <v>90</v>
      </c>
      <c r="BW167" t="s">
        <v>144</v>
      </c>
      <c r="BX167" t="s">
        <v>389</v>
      </c>
      <c r="BY167">
        <v>19712</v>
      </c>
      <c r="BZ167" t="s">
        <v>87</v>
      </c>
      <c r="CA167" t="s">
        <v>390</v>
      </c>
      <c r="CC167" t="s">
        <v>376</v>
      </c>
      <c r="CD167">
        <v>1401</v>
      </c>
      <c r="CE167" t="s">
        <v>166</v>
      </c>
      <c r="CF167" s="3">
        <v>45811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"080065706701"</f>
        <v>080065706701</v>
      </c>
      <c r="F168" s="3">
        <v>45810</v>
      </c>
      <c r="G168">
        <v>202603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590</v>
      </c>
      <c r="O168" t="s">
        <v>276</v>
      </c>
      <c r="P168" t="str">
        <f>"4170041816                    "</f>
        <v xml:space="preserve">4170041816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20.46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8</v>
      </c>
      <c r="BJ168">
        <v>10</v>
      </c>
      <c r="BK168">
        <v>10</v>
      </c>
      <c r="BL168">
        <v>66.95</v>
      </c>
      <c r="BM168">
        <v>10.039999999999999</v>
      </c>
      <c r="BN168">
        <v>76.989999999999995</v>
      </c>
      <c r="BO168">
        <v>76.989999999999995</v>
      </c>
      <c r="BQ168" t="s">
        <v>334</v>
      </c>
      <c r="BR168" t="s">
        <v>84</v>
      </c>
      <c r="BS168" s="3">
        <v>45811</v>
      </c>
      <c r="BT168" s="4">
        <v>0.45763888888888887</v>
      </c>
      <c r="BU168" t="s">
        <v>591</v>
      </c>
      <c r="BV168" t="s">
        <v>86</v>
      </c>
      <c r="BY168">
        <v>49918</v>
      </c>
      <c r="BZ168" t="s">
        <v>97</v>
      </c>
      <c r="CA168" t="s">
        <v>279</v>
      </c>
      <c r="CC168" t="s">
        <v>76</v>
      </c>
      <c r="CD168">
        <v>1614</v>
      </c>
      <c r="CE168" t="s">
        <v>99</v>
      </c>
      <c r="CF168" s="3">
        <v>45812</v>
      </c>
      <c r="CI168">
        <v>1</v>
      </c>
      <c r="CJ168">
        <v>1</v>
      </c>
      <c r="CK168">
        <v>32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"080065706760"</f>
        <v>080065706760</v>
      </c>
      <c r="F169" s="3">
        <v>45810</v>
      </c>
      <c r="G169">
        <v>202603</v>
      </c>
      <c r="H169" t="s">
        <v>75</v>
      </c>
      <c r="I169" t="s">
        <v>76</v>
      </c>
      <c r="J169" t="s">
        <v>77</v>
      </c>
      <c r="K169" t="s">
        <v>78</v>
      </c>
      <c r="L169" t="s">
        <v>174</v>
      </c>
      <c r="M169" t="s">
        <v>175</v>
      </c>
      <c r="N169" t="s">
        <v>592</v>
      </c>
      <c r="O169" t="s">
        <v>82</v>
      </c>
      <c r="P169" t="str">
        <f>"4170041843                    "</f>
        <v xml:space="preserve">4170041843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21.38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</v>
      </c>
      <c r="BJ169">
        <v>1.7</v>
      </c>
      <c r="BK169">
        <v>2</v>
      </c>
      <c r="BL169">
        <v>69.98</v>
      </c>
      <c r="BM169">
        <v>10.5</v>
      </c>
      <c r="BN169">
        <v>80.48</v>
      </c>
      <c r="BO169">
        <v>80.48</v>
      </c>
      <c r="BQ169" t="s">
        <v>593</v>
      </c>
      <c r="BR169" t="s">
        <v>84</v>
      </c>
      <c r="BS169" s="3">
        <v>45812</v>
      </c>
      <c r="BT169" s="4">
        <v>0.54652777777777772</v>
      </c>
      <c r="BU169" t="s">
        <v>594</v>
      </c>
      <c r="BV169" t="s">
        <v>90</v>
      </c>
      <c r="BW169" t="s">
        <v>416</v>
      </c>
      <c r="BX169" t="s">
        <v>595</v>
      </c>
      <c r="BY169">
        <v>8512</v>
      </c>
      <c r="BZ169" t="s">
        <v>87</v>
      </c>
      <c r="CA169" t="s">
        <v>596</v>
      </c>
      <c r="CC169" t="s">
        <v>175</v>
      </c>
      <c r="CD169">
        <v>3610</v>
      </c>
      <c r="CE169" t="s">
        <v>180</v>
      </c>
      <c r="CF169" s="3">
        <v>45813</v>
      </c>
      <c r="CI169">
        <v>1</v>
      </c>
      <c r="CJ169">
        <v>2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"080065706810"</f>
        <v>080065706810</v>
      </c>
      <c r="F170" s="3">
        <v>45810</v>
      </c>
      <c r="G170">
        <v>202603</v>
      </c>
      <c r="H170" t="s">
        <v>75</v>
      </c>
      <c r="I170" t="s">
        <v>76</v>
      </c>
      <c r="J170" t="s">
        <v>77</v>
      </c>
      <c r="K170" t="s">
        <v>78</v>
      </c>
      <c r="L170" t="s">
        <v>106</v>
      </c>
      <c r="M170" t="s">
        <v>107</v>
      </c>
      <c r="N170" t="s">
        <v>597</v>
      </c>
      <c r="O170" t="s">
        <v>82</v>
      </c>
      <c r="P170" t="str">
        <f>"4170041820                    "</f>
        <v xml:space="preserve">4170041820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21.38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69.98</v>
      </c>
      <c r="BM170">
        <v>10.5</v>
      </c>
      <c r="BN170">
        <v>80.48</v>
      </c>
      <c r="BO170">
        <v>80.48</v>
      </c>
      <c r="BQ170" t="s">
        <v>598</v>
      </c>
      <c r="BR170" t="s">
        <v>84</v>
      </c>
      <c r="BS170" s="3">
        <v>45811</v>
      </c>
      <c r="BT170" s="4">
        <v>0.37708333333333333</v>
      </c>
      <c r="BU170" t="s">
        <v>599</v>
      </c>
      <c r="BV170" t="s">
        <v>86</v>
      </c>
      <c r="BY170">
        <v>1200</v>
      </c>
      <c r="BZ170" t="s">
        <v>87</v>
      </c>
      <c r="CA170" t="s">
        <v>600</v>
      </c>
      <c r="CC170" t="s">
        <v>107</v>
      </c>
      <c r="CD170">
        <v>2</v>
      </c>
      <c r="CE170" t="s">
        <v>89</v>
      </c>
      <c r="CF170" s="3">
        <v>45811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"080065706856"</f>
        <v>080065706856</v>
      </c>
      <c r="F171" s="3">
        <v>45810</v>
      </c>
      <c r="G171">
        <v>202603</v>
      </c>
      <c r="H171" t="s">
        <v>75</v>
      </c>
      <c r="I171" t="s">
        <v>76</v>
      </c>
      <c r="J171" t="s">
        <v>77</v>
      </c>
      <c r="K171" t="s">
        <v>78</v>
      </c>
      <c r="L171" t="s">
        <v>100</v>
      </c>
      <c r="M171" t="s">
        <v>101</v>
      </c>
      <c r="N171" t="s">
        <v>601</v>
      </c>
      <c r="O171" t="s">
        <v>82</v>
      </c>
      <c r="P171" t="str">
        <f>"4170041860                    "</f>
        <v xml:space="preserve">4170041860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21.38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69.98</v>
      </c>
      <c r="BM171">
        <v>10.5</v>
      </c>
      <c r="BN171">
        <v>80.48</v>
      </c>
      <c r="BO171">
        <v>80.48</v>
      </c>
      <c r="BQ171" t="s">
        <v>602</v>
      </c>
      <c r="BR171" t="s">
        <v>84</v>
      </c>
      <c r="BS171" s="3">
        <v>45811</v>
      </c>
      <c r="BT171" s="4">
        <v>0.36805555555555558</v>
      </c>
      <c r="BU171" t="s">
        <v>603</v>
      </c>
      <c r="BV171" t="s">
        <v>86</v>
      </c>
      <c r="BY171">
        <v>1200</v>
      </c>
      <c r="BZ171" t="s">
        <v>87</v>
      </c>
      <c r="CA171" t="s">
        <v>283</v>
      </c>
      <c r="CC171" t="s">
        <v>101</v>
      </c>
      <c r="CD171">
        <v>6012</v>
      </c>
      <c r="CE171" t="s">
        <v>89</v>
      </c>
      <c r="CF171" s="3">
        <v>45811</v>
      </c>
      <c r="CI171">
        <v>1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"080065707127"</f>
        <v>080065707127</v>
      </c>
      <c r="F172" s="3">
        <v>45810</v>
      </c>
      <c r="G172">
        <v>202603</v>
      </c>
      <c r="H172" t="s">
        <v>75</v>
      </c>
      <c r="I172" t="s">
        <v>76</v>
      </c>
      <c r="J172" t="s">
        <v>77</v>
      </c>
      <c r="K172" t="s">
        <v>78</v>
      </c>
      <c r="L172" t="s">
        <v>604</v>
      </c>
      <c r="M172" t="s">
        <v>605</v>
      </c>
      <c r="N172" t="s">
        <v>606</v>
      </c>
      <c r="O172" t="s">
        <v>82</v>
      </c>
      <c r="P172" t="str">
        <f>"4170041836                    "</f>
        <v xml:space="preserve">4170041836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41.43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135.59</v>
      </c>
      <c r="BM172">
        <v>20.34</v>
      </c>
      <c r="BN172">
        <v>155.93</v>
      </c>
      <c r="BO172">
        <v>155.93</v>
      </c>
      <c r="BQ172" t="s">
        <v>607</v>
      </c>
      <c r="BR172" t="s">
        <v>84</v>
      </c>
      <c r="BS172" s="3">
        <v>45811</v>
      </c>
      <c r="BT172" s="4">
        <v>0.42986111111111114</v>
      </c>
      <c r="BU172" t="s">
        <v>608</v>
      </c>
      <c r="BV172" t="s">
        <v>86</v>
      </c>
      <c r="BY172">
        <v>1200</v>
      </c>
      <c r="BZ172" t="s">
        <v>87</v>
      </c>
      <c r="CA172" t="s">
        <v>609</v>
      </c>
      <c r="CC172" t="s">
        <v>605</v>
      </c>
      <c r="CD172">
        <v>1050</v>
      </c>
      <c r="CE172" t="s">
        <v>89</v>
      </c>
      <c r="CF172" s="3">
        <v>45811</v>
      </c>
      <c r="CI172">
        <v>1</v>
      </c>
      <c r="CJ172">
        <v>1</v>
      </c>
      <c r="CK172">
        <v>23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"080065707169"</f>
        <v>080065707169</v>
      </c>
      <c r="F173" s="3">
        <v>45810</v>
      </c>
      <c r="G173">
        <v>202603</v>
      </c>
      <c r="H173" t="s">
        <v>75</v>
      </c>
      <c r="I173" t="s">
        <v>76</v>
      </c>
      <c r="J173" t="s">
        <v>77</v>
      </c>
      <c r="K173" t="s">
        <v>78</v>
      </c>
      <c r="L173" t="s">
        <v>91</v>
      </c>
      <c r="M173" t="s">
        <v>92</v>
      </c>
      <c r="N173" t="s">
        <v>540</v>
      </c>
      <c r="O173" t="s">
        <v>82</v>
      </c>
      <c r="P173" t="str">
        <f>"4170041852                    "</f>
        <v xml:space="preserve">4170041852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21.38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69.98</v>
      </c>
      <c r="BM173">
        <v>10.5</v>
      </c>
      <c r="BN173">
        <v>80.48</v>
      </c>
      <c r="BO173">
        <v>80.48</v>
      </c>
      <c r="BQ173" t="s">
        <v>541</v>
      </c>
      <c r="BR173" t="s">
        <v>84</v>
      </c>
      <c r="BS173" s="3">
        <v>45811</v>
      </c>
      <c r="BT173" s="4">
        <v>0.3840277777777778</v>
      </c>
      <c r="BU173" t="s">
        <v>542</v>
      </c>
      <c r="BV173" t="s">
        <v>86</v>
      </c>
      <c r="BY173">
        <v>1200</v>
      </c>
      <c r="BZ173" t="s">
        <v>87</v>
      </c>
      <c r="CA173" t="s">
        <v>543</v>
      </c>
      <c r="CC173" t="s">
        <v>92</v>
      </c>
      <c r="CD173">
        <v>7441</v>
      </c>
      <c r="CE173" t="s">
        <v>89</v>
      </c>
      <c r="CF173" s="3">
        <v>45812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"080065707203"</f>
        <v>080065707203</v>
      </c>
      <c r="F174" s="3">
        <v>45810</v>
      </c>
      <c r="G174">
        <v>202603</v>
      </c>
      <c r="H174" t="s">
        <v>75</v>
      </c>
      <c r="I174" t="s">
        <v>76</v>
      </c>
      <c r="J174" t="s">
        <v>77</v>
      </c>
      <c r="K174" t="s">
        <v>78</v>
      </c>
      <c r="L174" t="s">
        <v>91</v>
      </c>
      <c r="M174" t="s">
        <v>92</v>
      </c>
      <c r="N174" t="s">
        <v>610</v>
      </c>
      <c r="O174" t="s">
        <v>82</v>
      </c>
      <c r="P174" t="str">
        <f>"4170041864                    "</f>
        <v xml:space="preserve">4170041864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21.38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69.98</v>
      </c>
      <c r="BM174">
        <v>10.5</v>
      </c>
      <c r="BN174">
        <v>80.48</v>
      </c>
      <c r="BO174">
        <v>80.48</v>
      </c>
      <c r="BQ174" t="s">
        <v>611</v>
      </c>
      <c r="BR174" t="s">
        <v>84</v>
      </c>
      <c r="BS174" s="3">
        <v>45811</v>
      </c>
      <c r="BT174" s="4">
        <v>0.42291666666666666</v>
      </c>
      <c r="BU174" t="s">
        <v>612</v>
      </c>
      <c r="BV174" t="s">
        <v>86</v>
      </c>
      <c r="BY174">
        <v>1200</v>
      </c>
      <c r="BZ174" t="s">
        <v>87</v>
      </c>
      <c r="CA174" t="s">
        <v>613</v>
      </c>
      <c r="CC174" t="s">
        <v>92</v>
      </c>
      <c r="CD174">
        <v>8001</v>
      </c>
      <c r="CE174" t="s">
        <v>89</v>
      </c>
      <c r="CF174" s="3">
        <v>45812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"080065707227"</f>
        <v>080065707227</v>
      </c>
      <c r="F175" s="3">
        <v>45810</v>
      </c>
      <c r="G175">
        <v>202603</v>
      </c>
      <c r="H175" t="s">
        <v>75</v>
      </c>
      <c r="I175" t="s">
        <v>76</v>
      </c>
      <c r="J175" t="s">
        <v>77</v>
      </c>
      <c r="K175" t="s">
        <v>78</v>
      </c>
      <c r="L175" t="s">
        <v>100</v>
      </c>
      <c r="M175" t="s">
        <v>101</v>
      </c>
      <c r="N175" t="s">
        <v>123</v>
      </c>
      <c r="O175" t="s">
        <v>82</v>
      </c>
      <c r="P175" t="str">
        <f>"4170041797                    "</f>
        <v xml:space="preserve">4170041797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160.27000000000001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14</v>
      </c>
      <c r="BJ175">
        <v>14.9</v>
      </c>
      <c r="BK175">
        <v>15</v>
      </c>
      <c r="BL175">
        <v>524.51</v>
      </c>
      <c r="BM175">
        <v>78.680000000000007</v>
      </c>
      <c r="BN175">
        <v>603.19000000000005</v>
      </c>
      <c r="BO175">
        <v>603.19000000000005</v>
      </c>
      <c r="BQ175" t="s">
        <v>124</v>
      </c>
      <c r="BR175" t="s">
        <v>84</v>
      </c>
      <c r="BS175" s="3">
        <v>45811</v>
      </c>
      <c r="BT175" s="4">
        <v>0.65833333333333333</v>
      </c>
      <c r="BU175" t="s">
        <v>234</v>
      </c>
      <c r="BV175" t="s">
        <v>90</v>
      </c>
      <c r="BW175" t="s">
        <v>416</v>
      </c>
      <c r="BX175" t="s">
        <v>614</v>
      </c>
      <c r="BY175">
        <v>74725</v>
      </c>
      <c r="BZ175" t="s">
        <v>87</v>
      </c>
      <c r="CA175" t="s">
        <v>105</v>
      </c>
      <c r="CC175" t="s">
        <v>101</v>
      </c>
      <c r="CD175">
        <v>6001</v>
      </c>
      <c r="CE175" t="s">
        <v>99</v>
      </c>
      <c r="CF175" s="3">
        <v>45811</v>
      </c>
      <c r="CI175">
        <v>1</v>
      </c>
      <c r="CJ175">
        <v>1</v>
      </c>
      <c r="CK175">
        <v>21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"080065707245"</f>
        <v>080065707245</v>
      </c>
      <c r="F176" s="3">
        <v>45810</v>
      </c>
      <c r="G176">
        <v>202603</v>
      </c>
      <c r="H176" t="s">
        <v>75</v>
      </c>
      <c r="I176" t="s">
        <v>76</v>
      </c>
      <c r="J176" t="s">
        <v>77</v>
      </c>
      <c r="K176" t="s">
        <v>78</v>
      </c>
      <c r="L176" t="s">
        <v>615</v>
      </c>
      <c r="M176" t="s">
        <v>616</v>
      </c>
      <c r="N176" t="s">
        <v>617</v>
      </c>
      <c r="O176" t="s">
        <v>82</v>
      </c>
      <c r="P176" t="str">
        <f>"4170041865                    "</f>
        <v xml:space="preserve">4170041865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41.43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135.59</v>
      </c>
      <c r="BM176">
        <v>20.34</v>
      </c>
      <c r="BN176">
        <v>155.93</v>
      </c>
      <c r="BO176">
        <v>155.93</v>
      </c>
      <c r="BQ176" t="s">
        <v>618</v>
      </c>
      <c r="BR176" t="s">
        <v>84</v>
      </c>
      <c r="BS176" s="3">
        <v>45811</v>
      </c>
      <c r="BT176" s="4">
        <v>0.54722222222222228</v>
      </c>
      <c r="BU176" t="s">
        <v>619</v>
      </c>
      <c r="BV176" t="s">
        <v>86</v>
      </c>
      <c r="BY176">
        <v>1200</v>
      </c>
      <c r="BZ176" t="s">
        <v>87</v>
      </c>
      <c r="CA176" t="s">
        <v>620</v>
      </c>
      <c r="CC176" t="s">
        <v>616</v>
      </c>
      <c r="CD176">
        <v>6850</v>
      </c>
      <c r="CE176" t="s">
        <v>89</v>
      </c>
      <c r="CF176" s="3">
        <v>45812</v>
      </c>
      <c r="CI176">
        <v>2</v>
      </c>
      <c r="CJ176">
        <v>1</v>
      </c>
      <c r="CK176">
        <v>23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"080065707278"</f>
        <v>080065707278</v>
      </c>
      <c r="F177" s="3">
        <v>45810</v>
      </c>
      <c r="G177">
        <v>202603</v>
      </c>
      <c r="H177" t="s">
        <v>75</v>
      </c>
      <c r="I177" t="s">
        <v>76</v>
      </c>
      <c r="J177" t="s">
        <v>77</v>
      </c>
      <c r="K177" t="s">
        <v>78</v>
      </c>
      <c r="L177" t="s">
        <v>91</v>
      </c>
      <c r="M177" t="s">
        <v>92</v>
      </c>
      <c r="N177" t="s">
        <v>327</v>
      </c>
      <c r="O177" t="s">
        <v>82</v>
      </c>
      <c r="P177" t="str">
        <f>"4170041842                    "</f>
        <v xml:space="preserve">4170041842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21.38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69.98</v>
      </c>
      <c r="BM177">
        <v>10.5</v>
      </c>
      <c r="BN177">
        <v>80.48</v>
      </c>
      <c r="BO177">
        <v>80.48</v>
      </c>
      <c r="BQ177" t="s">
        <v>328</v>
      </c>
      <c r="BR177" t="s">
        <v>84</v>
      </c>
      <c r="BS177" s="3">
        <v>45811</v>
      </c>
      <c r="BT177" s="4">
        <v>0.36805555555555558</v>
      </c>
      <c r="BU177" t="s">
        <v>329</v>
      </c>
      <c r="BV177" t="s">
        <v>86</v>
      </c>
      <c r="BY177">
        <v>1200</v>
      </c>
      <c r="BZ177" t="s">
        <v>87</v>
      </c>
      <c r="CA177" t="s">
        <v>330</v>
      </c>
      <c r="CC177" t="s">
        <v>92</v>
      </c>
      <c r="CD177">
        <v>7530</v>
      </c>
      <c r="CE177" t="s">
        <v>89</v>
      </c>
      <c r="CF177" s="3">
        <v>45812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"080065707308"</f>
        <v>080065707308</v>
      </c>
      <c r="F178" s="3">
        <v>45810</v>
      </c>
      <c r="G178">
        <v>202603</v>
      </c>
      <c r="H178" t="s">
        <v>75</v>
      </c>
      <c r="I178" t="s">
        <v>76</v>
      </c>
      <c r="J178" t="s">
        <v>77</v>
      </c>
      <c r="K178" t="s">
        <v>78</v>
      </c>
      <c r="L178" t="s">
        <v>504</v>
      </c>
      <c r="M178" t="s">
        <v>505</v>
      </c>
      <c r="N178" t="s">
        <v>506</v>
      </c>
      <c r="O178" t="s">
        <v>82</v>
      </c>
      <c r="P178" t="str">
        <f>"4170041851                    "</f>
        <v xml:space="preserve">4170041851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41.43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135.59</v>
      </c>
      <c r="BM178">
        <v>20.34</v>
      </c>
      <c r="BN178">
        <v>155.93</v>
      </c>
      <c r="BO178">
        <v>155.93</v>
      </c>
      <c r="BQ178" t="s">
        <v>507</v>
      </c>
      <c r="BR178" t="s">
        <v>84</v>
      </c>
      <c r="BS178" s="3">
        <v>45811</v>
      </c>
      <c r="BT178" s="4">
        <v>0.38194444444444442</v>
      </c>
      <c r="BU178" t="s">
        <v>508</v>
      </c>
      <c r="BV178" t="s">
        <v>86</v>
      </c>
      <c r="BY178">
        <v>1200</v>
      </c>
      <c r="BZ178" t="s">
        <v>87</v>
      </c>
      <c r="CC178" t="s">
        <v>505</v>
      </c>
      <c r="CD178">
        <v>2740</v>
      </c>
      <c r="CE178" t="s">
        <v>89</v>
      </c>
      <c r="CF178" s="3">
        <v>45812</v>
      </c>
      <c r="CI178">
        <v>1</v>
      </c>
      <c r="CJ178">
        <v>1</v>
      </c>
      <c r="CK178">
        <v>23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"080065707338"</f>
        <v>080065707338</v>
      </c>
      <c r="F179" s="3">
        <v>45810</v>
      </c>
      <c r="G179">
        <v>202603</v>
      </c>
      <c r="H179" t="s">
        <v>75</v>
      </c>
      <c r="I179" t="s">
        <v>76</v>
      </c>
      <c r="J179" t="s">
        <v>77</v>
      </c>
      <c r="K179" t="s">
        <v>78</v>
      </c>
      <c r="L179" t="s">
        <v>136</v>
      </c>
      <c r="M179" t="s">
        <v>137</v>
      </c>
      <c r="N179" t="s">
        <v>621</v>
      </c>
      <c r="O179" t="s">
        <v>82</v>
      </c>
      <c r="P179" t="str">
        <f>"4170041856                    "</f>
        <v xml:space="preserve">4170041856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21.38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69.98</v>
      </c>
      <c r="BM179">
        <v>10.5</v>
      </c>
      <c r="BN179">
        <v>80.48</v>
      </c>
      <c r="BO179">
        <v>80.48</v>
      </c>
      <c r="BQ179" t="s">
        <v>622</v>
      </c>
      <c r="BR179" t="s">
        <v>84</v>
      </c>
      <c r="BS179" s="3">
        <v>45811</v>
      </c>
      <c r="BT179" s="4">
        <v>0.55833333333333335</v>
      </c>
      <c r="BU179" t="s">
        <v>623</v>
      </c>
      <c r="BV179" t="s">
        <v>90</v>
      </c>
      <c r="BY179">
        <v>1200</v>
      </c>
      <c r="BZ179" t="s">
        <v>87</v>
      </c>
      <c r="CC179" t="s">
        <v>137</v>
      </c>
      <c r="CD179">
        <v>5200</v>
      </c>
      <c r="CE179" t="s">
        <v>89</v>
      </c>
      <c r="CF179" s="3">
        <v>45811</v>
      </c>
      <c r="CI179">
        <v>1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"080065707637"</f>
        <v>080065707637</v>
      </c>
      <c r="F180" s="3">
        <v>45810</v>
      </c>
      <c r="G180">
        <v>202603</v>
      </c>
      <c r="H180" t="s">
        <v>75</v>
      </c>
      <c r="I180" t="s">
        <v>76</v>
      </c>
      <c r="J180" t="s">
        <v>77</v>
      </c>
      <c r="K180" t="s">
        <v>78</v>
      </c>
      <c r="L180" t="s">
        <v>375</v>
      </c>
      <c r="M180" t="s">
        <v>376</v>
      </c>
      <c r="N180" t="s">
        <v>386</v>
      </c>
      <c r="O180" t="s">
        <v>82</v>
      </c>
      <c r="P180" t="str">
        <f>"4170041810                    "</f>
        <v xml:space="preserve">4170041810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16.7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</v>
      </c>
      <c r="BJ180">
        <v>1.9</v>
      </c>
      <c r="BK180">
        <v>2</v>
      </c>
      <c r="BL180">
        <v>54.66</v>
      </c>
      <c r="BM180">
        <v>8.1999999999999993</v>
      </c>
      <c r="BN180">
        <v>62.86</v>
      </c>
      <c r="BO180">
        <v>62.86</v>
      </c>
      <c r="BQ180" t="s">
        <v>387</v>
      </c>
      <c r="BR180" t="s">
        <v>84</v>
      </c>
      <c r="BS180" s="3">
        <v>45811</v>
      </c>
      <c r="BT180" s="4">
        <v>0.54861111111111116</v>
      </c>
      <c r="BU180" t="s">
        <v>388</v>
      </c>
      <c r="BV180" t="s">
        <v>90</v>
      </c>
      <c r="BW180" t="s">
        <v>144</v>
      </c>
      <c r="BX180" t="s">
        <v>389</v>
      </c>
      <c r="BY180">
        <v>9600</v>
      </c>
      <c r="BZ180" t="s">
        <v>87</v>
      </c>
      <c r="CA180" t="s">
        <v>390</v>
      </c>
      <c r="CC180" t="s">
        <v>376</v>
      </c>
      <c r="CD180">
        <v>1401</v>
      </c>
      <c r="CE180" t="s">
        <v>99</v>
      </c>
      <c r="CF180" s="3">
        <v>45811</v>
      </c>
      <c r="CI180">
        <v>1</v>
      </c>
      <c r="CJ180">
        <v>1</v>
      </c>
      <c r="CK180">
        <v>22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"080065707645"</f>
        <v>080065707645</v>
      </c>
      <c r="F181" s="3">
        <v>45810</v>
      </c>
      <c r="G181">
        <v>202603</v>
      </c>
      <c r="H181" t="s">
        <v>75</v>
      </c>
      <c r="I181" t="s">
        <v>76</v>
      </c>
      <c r="J181" t="s">
        <v>77</v>
      </c>
      <c r="K181" t="s">
        <v>78</v>
      </c>
      <c r="L181" t="s">
        <v>159</v>
      </c>
      <c r="M181" t="s">
        <v>160</v>
      </c>
      <c r="N181" t="s">
        <v>624</v>
      </c>
      <c r="O181" t="s">
        <v>82</v>
      </c>
      <c r="P181" t="str">
        <f>"4170041835                    "</f>
        <v xml:space="preserve">4170041835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16.7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54.66</v>
      </c>
      <c r="BM181">
        <v>8.1999999999999993</v>
      </c>
      <c r="BN181">
        <v>62.86</v>
      </c>
      <c r="BO181">
        <v>62.86</v>
      </c>
      <c r="BQ181" t="s">
        <v>625</v>
      </c>
      <c r="BR181" t="s">
        <v>84</v>
      </c>
      <c r="BS181" s="3">
        <v>45811</v>
      </c>
      <c r="BT181" s="4">
        <v>0.41666666666666669</v>
      </c>
      <c r="BU181" t="s">
        <v>626</v>
      </c>
      <c r="BV181" t="s">
        <v>86</v>
      </c>
      <c r="BY181">
        <v>1200</v>
      </c>
      <c r="BZ181" t="s">
        <v>87</v>
      </c>
      <c r="CA181" t="s">
        <v>233</v>
      </c>
      <c r="CC181" t="s">
        <v>160</v>
      </c>
      <c r="CD181">
        <v>2049</v>
      </c>
      <c r="CE181" t="s">
        <v>89</v>
      </c>
      <c r="CF181" s="3">
        <v>45811</v>
      </c>
      <c r="CI181">
        <v>1</v>
      </c>
      <c r="CJ181">
        <v>1</v>
      </c>
      <c r="CK181">
        <v>22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"080065707671"</f>
        <v>080065707671</v>
      </c>
      <c r="F182" s="3">
        <v>45810</v>
      </c>
      <c r="G182">
        <v>202603</v>
      </c>
      <c r="H182" t="s">
        <v>75</v>
      </c>
      <c r="I182" t="s">
        <v>76</v>
      </c>
      <c r="J182" t="s">
        <v>77</v>
      </c>
      <c r="K182" t="s">
        <v>78</v>
      </c>
      <c r="L182" t="s">
        <v>331</v>
      </c>
      <c r="M182" t="s">
        <v>332</v>
      </c>
      <c r="N182" t="s">
        <v>333</v>
      </c>
      <c r="O182" t="s">
        <v>82</v>
      </c>
      <c r="P182" t="str">
        <f>"4170041862                    "</f>
        <v xml:space="preserve">4170041862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21.38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69.98</v>
      </c>
      <c r="BM182">
        <v>10.5</v>
      </c>
      <c r="BN182">
        <v>80.48</v>
      </c>
      <c r="BO182">
        <v>80.48</v>
      </c>
      <c r="BQ182" t="s">
        <v>334</v>
      </c>
      <c r="BR182" t="s">
        <v>84</v>
      </c>
      <c r="BS182" s="3">
        <v>45811</v>
      </c>
      <c r="BT182" s="4">
        <v>0.34791666666666665</v>
      </c>
      <c r="BU182" t="s">
        <v>335</v>
      </c>
      <c r="BV182" t="s">
        <v>86</v>
      </c>
      <c r="BY182">
        <v>1200</v>
      </c>
      <c r="BZ182" t="s">
        <v>87</v>
      </c>
      <c r="CA182" t="s">
        <v>336</v>
      </c>
      <c r="CC182" t="s">
        <v>332</v>
      </c>
      <c r="CD182">
        <v>4000</v>
      </c>
      <c r="CE182" t="s">
        <v>89</v>
      </c>
      <c r="CF182" s="3">
        <v>45811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"080065707675"</f>
        <v>080065707675</v>
      </c>
      <c r="F183" s="3">
        <v>45810</v>
      </c>
      <c r="G183">
        <v>202603</v>
      </c>
      <c r="H183" t="s">
        <v>75</v>
      </c>
      <c r="I183" t="s">
        <v>76</v>
      </c>
      <c r="J183" t="s">
        <v>77</v>
      </c>
      <c r="K183" t="s">
        <v>78</v>
      </c>
      <c r="L183" t="s">
        <v>100</v>
      </c>
      <c r="M183" t="s">
        <v>101</v>
      </c>
      <c r="N183" t="s">
        <v>492</v>
      </c>
      <c r="O183" t="s">
        <v>82</v>
      </c>
      <c r="P183" t="str">
        <f>"4170041822                    "</f>
        <v xml:space="preserve">4170041822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21.38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0.9</v>
      </c>
      <c r="BK183">
        <v>2</v>
      </c>
      <c r="BL183">
        <v>69.98</v>
      </c>
      <c r="BM183">
        <v>10.5</v>
      </c>
      <c r="BN183">
        <v>80.48</v>
      </c>
      <c r="BO183">
        <v>80.48</v>
      </c>
      <c r="BQ183" t="s">
        <v>493</v>
      </c>
      <c r="BR183" t="s">
        <v>84</v>
      </c>
      <c r="BS183" s="3">
        <v>45811</v>
      </c>
      <c r="BT183" s="4">
        <v>0.63749999999999996</v>
      </c>
      <c r="BU183" t="s">
        <v>627</v>
      </c>
      <c r="BV183" t="s">
        <v>90</v>
      </c>
      <c r="BW183" t="s">
        <v>416</v>
      </c>
      <c r="BX183" t="s">
        <v>614</v>
      </c>
      <c r="BY183">
        <v>4275</v>
      </c>
      <c r="BZ183" t="s">
        <v>87</v>
      </c>
      <c r="CA183" t="s">
        <v>105</v>
      </c>
      <c r="CC183" t="s">
        <v>101</v>
      </c>
      <c r="CD183">
        <v>6001</v>
      </c>
      <c r="CE183" t="s">
        <v>180</v>
      </c>
      <c r="CF183" s="3">
        <v>45811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"080065707700"</f>
        <v>080065707700</v>
      </c>
      <c r="F184" s="3">
        <v>45810</v>
      </c>
      <c r="G184">
        <v>202603</v>
      </c>
      <c r="H184" t="s">
        <v>75</v>
      </c>
      <c r="I184" t="s">
        <v>76</v>
      </c>
      <c r="J184" t="s">
        <v>77</v>
      </c>
      <c r="K184" t="s">
        <v>78</v>
      </c>
      <c r="L184" t="s">
        <v>504</v>
      </c>
      <c r="M184" t="s">
        <v>505</v>
      </c>
      <c r="N184" t="s">
        <v>506</v>
      </c>
      <c r="O184" t="s">
        <v>82</v>
      </c>
      <c r="P184" t="str">
        <f>"4170041849                    "</f>
        <v xml:space="preserve">4170041849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41.43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135.59</v>
      </c>
      <c r="BM184">
        <v>20.34</v>
      </c>
      <c r="BN184">
        <v>155.93</v>
      </c>
      <c r="BO184">
        <v>155.93</v>
      </c>
      <c r="BQ184" t="s">
        <v>507</v>
      </c>
      <c r="BR184" t="s">
        <v>84</v>
      </c>
      <c r="BS184" s="3">
        <v>45811</v>
      </c>
      <c r="BT184" s="4">
        <v>0.38194444444444442</v>
      </c>
      <c r="BU184" t="s">
        <v>508</v>
      </c>
      <c r="BV184" t="s">
        <v>86</v>
      </c>
      <c r="BY184">
        <v>1200</v>
      </c>
      <c r="BZ184" t="s">
        <v>87</v>
      </c>
      <c r="CC184" t="s">
        <v>505</v>
      </c>
      <c r="CD184">
        <v>2740</v>
      </c>
      <c r="CE184" t="s">
        <v>89</v>
      </c>
      <c r="CF184" s="3">
        <v>45812</v>
      </c>
      <c r="CI184">
        <v>1</v>
      </c>
      <c r="CJ184">
        <v>1</v>
      </c>
      <c r="CK184">
        <v>23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"080065707714"</f>
        <v>080065707714</v>
      </c>
      <c r="F185" s="3">
        <v>45810</v>
      </c>
      <c r="G185">
        <v>202603</v>
      </c>
      <c r="H185" t="s">
        <v>75</v>
      </c>
      <c r="I185" t="s">
        <v>76</v>
      </c>
      <c r="J185" t="s">
        <v>77</v>
      </c>
      <c r="K185" t="s">
        <v>78</v>
      </c>
      <c r="L185" t="s">
        <v>628</v>
      </c>
      <c r="M185" t="s">
        <v>629</v>
      </c>
      <c r="N185" t="s">
        <v>630</v>
      </c>
      <c r="O185" t="s">
        <v>82</v>
      </c>
      <c r="P185" t="str">
        <f>"4170041794                    "</f>
        <v xml:space="preserve">4170041794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21.38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</v>
      </c>
      <c r="BJ185">
        <v>0.9</v>
      </c>
      <c r="BK185">
        <v>2</v>
      </c>
      <c r="BL185">
        <v>69.98</v>
      </c>
      <c r="BM185">
        <v>10.5</v>
      </c>
      <c r="BN185">
        <v>80.48</v>
      </c>
      <c r="BO185">
        <v>80.48</v>
      </c>
      <c r="BQ185" t="s">
        <v>631</v>
      </c>
      <c r="BR185" t="s">
        <v>84</v>
      </c>
      <c r="BS185" s="3">
        <v>45811</v>
      </c>
      <c r="BT185" s="4">
        <v>0.3840277777777778</v>
      </c>
      <c r="BU185" t="s">
        <v>632</v>
      </c>
      <c r="BV185" t="s">
        <v>86</v>
      </c>
      <c r="BY185">
        <v>4275</v>
      </c>
      <c r="BZ185" t="s">
        <v>87</v>
      </c>
      <c r="CA185" t="s">
        <v>223</v>
      </c>
      <c r="CC185" t="s">
        <v>629</v>
      </c>
      <c r="CD185">
        <v>6220</v>
      </c>
      <c r="CE185" t="s">
        <v>180</v>
      </c>
      <c r="CF185" s="3">
        <v>45811</v>
      </c>
      <c r="CI185">
        <v>1</v>
      </c>
      <c r="CJ185">
        <v>1</v>
      </c>
      <c r="CK185">
        <v>21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"080065707729"</f>
        <v>080065707729</v>
      </c>
      <c r="F186" s="3">
        <v>45810</v>
      </c>
      <c r="G186">
        <v>202603</v>
      </c>
      <c r="H186" t="s">
        <v>75</v>
      </c>
      <c r="I186" t="s">
        <v>76</v>
      </c>
      <c r="J186" t="s">
        <v>77</v>
      </c>
      <c r="K186" t="s">
        <v>78</v>
      </c>
      <c r="L186" t="s">
        <v>91</v>
      </c>
      <c r="M186" t="s">
        <v>92</v>
      </c>
      <c r="N186" t="s">
        <v>633</v>
      </c>
      <c r="O186" t="s">
        <v>82</v>
      </c>
      <c r="P186" t="str">
        <f>"4170041786                    "</f>
        <v xml:space="preserve">4170041786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21.38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69.98</v>
      </c>
      <c r="BM186">
        <v>10.5</v>
      </c>
      <c r="BN186">
        <v>80.48</v>
      </c>
      <c r="BO186">
        <v>80.48</v>
      </c>
      <c r="BQ186" t="s">
        <v>634</v>
      </c>
      <c r="BR186" t="s">
        <v>84</v>
      </c>
      <c r="BS186" s="3">
        <v>45811</v>
      </c>
      <c r="BT186" s="4">
        <v>0.44722222222222224</v>
      </c>
      <c r="BU186" t="s">
        <v>635</v>
      </c>
      <c r="BV186" t="s">
        <v>90</v>
      </c>
      <c r="BW186" t="s">
        <v>144</v>
      </c>
      <c r="BX186" t="s">
        <v>344</v>
      </c>
      <c r="BY186">
        <v>1200</v>
      </c>
      <c r="BZ186" t="s">
        <v>87</v>
      </c>
      <c r="CA186" t="s">
        <v>291</v>
      </c>
      <c r="CC186" t="s">
        <v>92</v>
      </c>
      <c r="CD186">
        <v>8001</v>
      </c>
      <c r="CE186" t="s">
        <v>89</v>
      </c>
      <c r="CF186" s="3">
        <v>45812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"080065707754"</f>
        <v>080065707754</v>
      </c>
      <c r="F187" s="3">
        <v>45810</v>
      </c>
      <c r="G187">
        <v>202603</v>
      </c>
      <c r="H187" t="s">
        <v>75</v>
      </c>
      <c r="I187" t="s">
        <v>76</v>
      </c>
      <c r="J187" t="s">
        <v>77</v>
      </c>
      <c r="K187" t="s">
        <v>78</v>
      </c>
      <c r="L187" t="s">
        <v>75</v>
      </c>
      <c r="M187" t="s">
        <v>76</v>
      </c>
      <c r="N187" t="s">
        <v>112</v>
      </c>
      <c r="O187" t="s">
        <v>82</v>
      </c>
      <c r="P187" t="str">
        <f>"4170041846                    "</f>
        <v xml:space="preserve">4170041846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16.7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1.1000000000000001</v>
      </c>
      <c r="BK187">
        <v>2</v>
      </c>
      <c r="BL187">
        <v>54.66</v>
      </c>
      <c r="BM187">
        <v>8.1999999999999993</v>
      </c>
      <c r="BN187">
        <v>62.86</v>
      </c>
      <c r="BO187">
        <v>62.86</v>
      </c>
      <c r="BQ187" t="s">
        <v>113</v>
      </c>
      <c r="BR187" t="s">
        <v>84</v>
      </c>
      <c r="BS187" s="3">
        <v>45811</v>
      </c>
      <c r="BT187" s="4">
        <v>0.40347222222222223</v>
      </c>
      <c r="BU187" t="s">
        <v>636</v>
      </c>
      <c r="BV187" t="s">
        <v>86</v>
      </c>
      <c r="BY187">
        <v>5320</v>
      </c>
      <c r="BZ187" t="s">
        <v>87</v>
      </c>
      <c r="CA187" t="s">
        <v>503</v>
      </c>
      <c r="CC187" t="s">
        <v>76</v>
      </c>
      <c r="CD187">
        <v>1600</v>
      </c>
      <c r="CE187" t="s">
        <v>180</v>
      </c>
      <c r="CF187" s="3">
        <v>45812</v>
      </c>
      <c r="CI187">
        <v>1</v>
      </c>
      <c r="CJ187">
        <v>1</v>
      </c>
      <c r="CK187">
        <v>22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"080065707758"</f>
        <v>080065707758</v>
      </c>
      <c r="F188" s="3">
        <v>45810</v>
      </c>
      <c r="G188">
        <v>202603</v>
      </c>
      <c r="H188" t="s">
        <v>75</v>
      </c>
      <c r="I188" t="s">
        <v>76</v>
      </c>
      <c r="J188" t="s">
        <v>77</v>
      </c>
      <c r="K188" t="s">
        <v>78</v>
      </c>
      <c r="L188" t="s">
        <v>331</v>
      </c>
      <c r="M188" t="s">
        <v>332</v>
      </c>
      <c r="N188" t="s">
        <v>333</v>
      </c>
      <c r="O188" t="s">
        <v>82</v>
      </c>
      <c r="P188" t="str">
        <f>"4170041850                    "</f>
        <v xml:space="preserve">4170041850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21.38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69.98</v>
      </c>
      <c r="BM188">
        <v>10.5</v>
      </c>
      <c r="BN188">
        <v>80.48</v>
      </c>
      <c r="BO188">
        <v>80.48</v>
      </c>
      <c r="BQ188" t="s">
        <v>334</v>
      </c>
      <c r="BR188" t="s">
        <v>84</v>
      </c>
      <c r="BS188" s="3">
        <v>45811</v>
      </c>
      <c r="BT188" s="4">
        <v>0.34791666666666665</v>
      </c>
      <c r="BU188" t="s">
        <v>335</v>
      </c>
      <c r="BV188" t="s">
        <v>86</v>
      </c>
      <c r="BY188">
        <v>1200</v>
      </c>
      <c r="BZ188" t="s">
        <v>87</v>
      </c>
      <c r="CA188" t="s">
        <v>336</v>
      </c>
      <c r="CC188" t="s">
        <v>332</v>
      </c>
      <c r="CD188">
        <v>4000</v>
      </c>
      <c r="CE188" t="s">
        <v>89</v>
      </c>
      <c r="CF188" s="3">
        <v>45811</v>
      </c>
      <c r="CI188">
        <v>1</v>
      </c>
      <c r="CJ188">
        <v>1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"080065707788"</f>
        <v>080065707788</v>
      </c>
      <c r="F189" s="3">
        <v>45810</v>
      </c>
      <c r="G189">
        <v>202603</v>
      </c>
      <c r="H189" t="s">
        <v>75</v>
      </c>
      <c r="I189" t="s">
        <v>76</v>
      </c>
      <c r="J189" t="s">
        <v>77</v>
      </c>
      <c r="K189" t="s">
        <v>78</v>
      </c>
      <c r="L189" t="s">
        <v>91</v>
      </c>
      <c r="M189" t="s">
        <v>92</v>
      </c>
      <c r="N189" t="s">
        <v>540</v>
      </c>
      <c r="O189" t="s">
        <v>82</v>
      </c>
      <c r="P189" t="str">
        <f>"4170041868                    "</f>
        <v xml:space="preserve">4170041868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21.38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1.1000000000000001</v>
      </c>
      <c r="BK189">
        <v>2</v>
      </c>
      <c r="BL189">
        <v>69.98</v>
      </c>
      <c r="BM189">
        <v>10.5</v>
      </c>
      <c r="BN189">
        <v>80.48</v>
      </c>
      <c r="BO189">
        <v>80.48</v>
      </c>
      <c r="BQ189" t="s">
        <v>541</v>
      </c>
      <c r="BR189" t="s">
        <v>84</v>
      </c>
      <c r="BS189" s="3">
        <v>45811</v>
      </c>
      <c r="BT189" s="4">
        <v>0.3840277777777778</v>
      </c>
      <c r="BU189" t="s">
        <v>542</v>
      </c>
      <c r="BV189" t="s">
        <v>86</v>
      </c>
      <c r="BY189">
        <v>5320</v>
      </c>
      <c r="BZ189" t="s">
        <v>87</v>
      </c>
      <c r="CA189" t="s">
        <v>543</v>
      </c>
      <c r="CC189" t="s">
        <v>92</v>
      </c>
      <c r="CD189">
        <v>7441</v>
      </c>
      <c r="CE189" t="s">
        <v>180</v>
      </c>
      <c r="CF189" s="3">
        <v>45812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"080065707816"</f>
        <v>080065707816</v>
      </c>
      <c r="F190" s="3">
        <v>45810</v>
      </c>
      <c r="G190">
        <v>202603</v>
      </c>
      <c r="H190" t="s">
        <v>75</v>
      </c>
      <c r="I190" t="s">
        <v>76</v>
      </c>
      <c r="J190" t="s">
        <v>77</v>
      </c>
      <c r="K190" t="s">
        <v>78</v>
      </c>
      <c r="L190" t="s">
        <v>116</v>
      </c>
      <c r="M190" t="s">
        <v>117</v>
      </c>
      <c r="N190" t="s">
        <v>183</v>
      </c>
      <c r="O190" t="s">
        <v>82</v>
      </c>
      <c r="P190" t="str">
        <f>"4170041684                    "</f>
        <v xml:space="preserve">4170041684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53.43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</v>
      </c>
      <c r="BJ190">
        <v>2</v>
      </c>
      <c r="BK190">
        <v>5</v>
      </c>
      <c r="BL190">
        <v>174.87</v>
      </c>
      <c r="BM190">
        <v>26.23</v>
      </c>
      <c r="BN190">
        <v>201.1</v>
      </c>
      <c r="BO190">
        <v>201.1</v>
      </c>
      <c r="BQ190" t="s">
        <v>184</v>
      </c>
      <c r="BR190" t="s">
        <v>84</v>
      </c>
      <c r="BS190" s="3">
        <v>45811</v>
      </c>
      <c r="BT190" s="4">
        <v>0.41666666666666669</v>
      </c>
      <c r="BU190" t="s">
        <v>185</v>
      </c>
      <c r="BV190" t="s">
        <v>86</v>
      </c>
      <c r="BY190">
        <v>10108</v>
      </c>
      <c r="BZ190" t="s">
        <v>87</v>
      </c>
      <c r="CA190" t="s">
        <v>186</v>
      </c>
      <c r="CC190" t="s">
        <v>117</v>
      </c>
      <c r="CD190">
        <v>3212</v>
      </c>
      <c r="CE190" t="s">
        <v>180</v>
      </c>
      <c r="CF190" s="3">
        <v>45812</v>
      </c>
      <c r="CI190">
        <v>2</v>
      </c>
      <c r="CJ190">
        <v>1</v>
      </c>
      <c r="CK190">
        <v>21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"080065708098"</f>
        <v>080065708098</v>
      </c>
      <c r="F191" s="3">
        <v>45810</v>
      </c>
      <c r="G191">
        <v>202603</v>
      </c>
      <c r="H191" t="s">
        <v>75</v>
      </c>
      <c r="I191" t="s">
        <v>76</v>
      </c>
      <c r="J191" t="s">
        <v>77</v>
      </c>
      <c r="K191" t="s">
        <v>78</v>
      </c>
      <c r="L191" t="s">
        <v>375</v>
      </c>
      <c r="M191" t="s">
        <v>376</v>
      </c>
      <c r="N191" t="s">
        <v>637</v>
      </c>
      <c r="O191" t="s">
        <v>82</v>
      </c>
      <c r="P191" t="str">
        <f>"4170041859                    "</f>
        <v xml:space="preserve">4170041859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18.7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5</v>
      </c>
      <c r="BJ191">
        <v>8.9</v>
      </c>
      <c r="BK191">
        <v>9</v>
      </c>
      <c r="BL191">
        <v>61.21</v>
      </c>
      <c r="BM191">
        <v>9.18</v>
      </c>
      <c r="BN191">
        <v>70.39</v>
      </c>
      <c r="BO191">
        <v>70.39</v>
      </c>
      <c r="BQ191" t="s">
        <v>638</v>
      </c>
      <c r="BR191" t="s">
        <v>84</v>
      </c>
      <c r="BS191" s="3">
        <v>45811</v>
      </c>
      <c r="BT191" s="4">
        <v>0.40763888888888888</v>
      </c>
      <c r="BU191" t="s">
        <v>639</v>
      </c>
      <c r="BV191" t="s">
        <v>86</v>
      </c>
      <c r="BY191">
        <v>44640</v>
      </c>
      <c r="BZ191" t="s">
        <v>87</v>
      </c>
      <c r="CA191" t="s">
        <v>279</v>
      </c>
      <c r="CC191" t="s">
        <v>376</v>
      </c>
      <c r="CD191">
        <v>1406</v>
      </c>
      <c r="CE191" t="s">
        <v>99</v>
      </c>
      <c r="CF191" s="3">
        <v>45812</v>
      </c>
      <c r="CI191">
        <v>1</v>
      </c>
      <c r="CJ191">
        <v>1</v>
      </c>
      <c r="CK191">
        <v>22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"080065708152"</f>
        <v>080065708152</v>
      </c>
      <c r="F192" s="3">
        <v>45810</v>
      </c>
      <c r="G192">
        <v>202603</v>
      </c>
      <c r="H192" t="s">
        <v>75</v>
      </c>
      <c r="I192" t="s">
        <v>76</v>
      </c>
      <c r="J192" t="s">
        <v>77</v>
      </c>
      <c r="K192" t="s">
        <v>78</v>
      </c>
      <c r="L192" t="s">
        <v>100</v>
      </c>
      <c r="M192" t="s">
        <v>101</v>
      </c>
      <c r="N192" t="s">
        <v>640</v>
      </c>
      <c r="O192" t="s">
        <v>82</v>
      </c>
      <c r="P192" t="str">
        <f>"4170041841                    "</f>
        <v xml:space="preserve">4170041841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21.38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</v>
      </c>
      <c r="BJ192">
        <v>1.1000000000000001</v>
      </c>
      <c r="BK192">
        <v>2</v>
      </c>
      <c r="BL192">
        <v>69.98</v>
      </c>
      <c r="BM192">
        <v>10.5</v>
      </c>
      <c r="BN192">
        <v>80.48</v>
      </c>
      <c r="BO192">
        <v>80.48</v>
      </c>
      <c r="BQ192" t="s">
        <v>641</v>
      </c>
      <c r="BR192" t="s">
        <v>84</v>
      </c>
      <c r="BS192" s="3">
        <v>45811</v>
      </c>
      <c r="BT192" s="4">
        <v>0.4284722222222222</v>
      </c>
      <c r="BU192" t="s">
        <v>642</v>
      </c>
      <c r="BV192" t="s">
        <v>86</v>
      </c>
      <c r="BY192">
        <v>5320</v>
      </c>
      <c r="BZ192" t="s">
        <v>87</v>
      </c>
      <c r="CA192" t="s">
        <v>394</v>
      </c>
      <c r="CC192" t="s">
        <v>101</v>
      </c>
      <c r="CD192">
        <v>6001</v>
      </c>
      <c r="CE192" t="s">
        <v>180</v>
      </c>
      <c r="CF192" s="3">
        <v>45811</v>
      </c>
      <c r="CI192">
        <v>1</v>
      </c>
      <c r="CJ192">
        <v>1</v>
      </c>
      <c r="CK192">
        <v>21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"080065708208"</f>
        <v>080065708208</v>
      </c>
      <c r="F193" s="3">
        <v>45810</v>
      </c>
      <c r="G193">
        <v>202603</v>
      </c>
      <c r="H193" t="s">
        <v>75</v>
      </c>
      <c r="I193" t="s">
        <v>76</v>
      </c>
      <c r="J193" t="s">
        <v>77</v>
      </c>
      <c r="K193" t="s">
        <v>78</v>
      </c>
      <c r="L193" t="s">
        <v>91</v>
      </c>
      <c r="M193" t="s">
        <v>92</v>
      </c>
      <c r="N193" t="s">
        <v>540</v>
      </c>
      <c r="O193" t="s">
        <v>82</v>
      </c>
      <c r="P193" t="str">
        <f>"4170041787                    "</f>
        <v xml:space="preserve">4170041787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21.38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69.98</v>
      </c>
      <c r="BM193">
        <v>10.5</v>
      </c>
      <c r="BN193">
        <v>80.48</v>
      </c>
      <c r="BO193">
        <v>80.48</v>
      </c>
      <c r="BQ193" t="s">
        <v>541</v>
      </c>
      <c r="BR193" t="s">
        <v>84</v>
      </c>
      <c r="BS193" s="3">
        <v>45811</v>
      </c>
      <c r="BT193" s="4">
        <v>0.3840277777777778</v>
      </c>
      <c r="BU193" t="s">
        <v>542</v>
      </c>
      <c r="BV193" t="s">
        <v>86</v>
      </c>
      <c r="BY193">
        <v>1200</v>
      </c>
      <c r="BZ193" t="s">
        <v>87</v>
      </c>
      <c r="CA193" t="s">
        <v>543</v>
      </c>
      <c r="CC193" t="s">
        <v>92</v>
      </c>
      <c r="CD193">
        <v>7441</v>
      </c>
      <c r="CE193" t="s">
        <v>89</v>
      </c>
      <c r="CF193" s="3">
        <v>45818</v>
      </c>
      <c r="CI193">
        <v>1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"080065708258"</f>
        <v>080065708258</v>
      </c>
      <c r="F194" s="3">
        <v>45810</v>
      </c>
      <c r="G194">
        <v>202603</v>
      </c>
      <c r="H194" t="s">
        <v>75</v>
      </c>
      <c r="I194" t="s">
        <v>76</v>
      </c>
      <c r="J194" t="s">
        <v>77</v>
      </c>
      <c r="K194" t="s">
        <v>78</v>
      </c>
      <c r="L194" t="s">
        <v>331</v>
      </c>
      <c r="M194" t="s">
        <v>332</v>
      </c>
      <c r="N194" t="s">
        <v>333</v>
      </c>
      <c r="O194" t="s">
        <v>82</v>
      </c>
      <c r="P194" t="str">
        <f>"4170041720                    "</f>
        <v xml:space="preserve">4170041720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21.38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69.98</v>
      </c>
      <c r="BM194">
        <v>10.5</v>
      </c>
      <c r="BN194">
        <v>80.48</v>
      </c>
      <c r="BO194">
        <v>80.48</v>
      </c>
      <c r="BQ194" t="s">
        <v>334</v>
      </c>
      <c r="BR194" t="s">
        <v>84</v>
      </c>
      <c r="BS194" s="3">
        <v>45811</v>
      </c>
      <c r="BT194" s="4">
        <v>0.34791666666666665</v>
      </c>
      <c r="BU194" t="s">
        <v>335</v>
      </c>
      <c r="BV194" t="s">
        <v>86</v>
      </c>
      <c r="BY194">
        <v>1200</v>
      </c>
      <c r="BZ194" t="s">
        <v>87</v>
      </c>
      <c r="CA194" t="s">
        <v>336</v>
      </c>
      <c r="CC194" t="s">
        <v>332</v>
      </c>
      <c r="CD194">
        <v>4051</v>
      </c>
      <c r="CE194" t="s">
        <v>89</v>
      </c>
      <c r="CF194" s="3">
        <v>45811</v>
      </c>
      <c r="CI194">
        <v>1</v>
      </c>
      <c r="CJ194">
        <v>1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"080065708598"</f>
        <v>080065708598</v>
      </c>
      <c r="F195" s="3">
        <v>45810</v>
      </c>
      <c r="G195">
        <v>202603</v>
      </c>
      <c r="H195" t="s">
        <v>75</v>
      </c>
      <c r="I195" t="s">
        <v>76</v>
      </c>
      <c r="J195" t="s">
        <v>77</v>
      </c>
      <c r="K195" t="s">
        <v>78</v>
      </c>
      <c r="L195" t="s">
        <v>159</v>
      </c>
      <c r="M195" t="s">
        <v>160</v>
      </c>
      <c r="N195" t="s">
        <v>571</v>
      </c>
      <c r="O195" t="s">
        <v>82</v>
      </c>
      <c r="P195" t="str">
        <f>"4170041837                    "</f>
        <v xml:space="preserve">4170041837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16.7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54.66</v>
      </c>
      <c r="BM195">
        <v>8.1999999999999993</v>
      </c>
      <c r="BN195">
        <v>62.86</v>
      </c>
      <c r="BO195">
        <v>62.86</v>
      </c>
      <c r="BQ195" t="s">
        <v>572</v>
      </c>
      <c r="BR195" t="s">
        <v>84</v>
      </c>
      <c r="BS195" s="3">
        <v>45811</v>
      </c>
      <c r="BT195" s="4">
        <v>0.35416666666666669</v>
      </c>
      <c r="BU195" t="s">
        <v>573</v>
      </c>
      <c r="BV195" t="s">
        <v>86</v>
      </c>
      <c r="BY195">
        <v>1200</v>
      </c>
      <c r="BZ195" t="s">
        <v>87</v>
      </c>
      <c r="CA195" t="s">
        <v>444</v>
      </c>
      <c r="CC195" t="s">
        <v>160</v>
      </c>
      <c r="CD195">
        <v>2013</v>
      </c>
      <c r="CE195" t="s">
        <v>89</v>
      </c>
      <c r="CF195" s="3">
        <v>45812</v>
      </c>
      <c r="CI195">
        <v>1</v>
      </c>
      <c r="CJ195">
        <v>1</v>
      </c>
      <c r="CK195">
        <v>22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"080065708667"</f>
        <v>080065708667</v>
      </c>
      <c r="F196" s="3">
        <v>45810</v>
      </c>
      <c r="G196">
        <v>202603</v>
      </c>
      <c r="H196" t="s">
        <v>75</v>
      </c>
      <c r="I196" t="s">
        <v>76</v>
      </c>
      <c r="J196" t="s">
        <v>77</v>
      </c>
      <c r="K196" t="s">
        <v>78</v>
      </c>
      <c r="L196" t="s">
        <v>100</v>
      </c>
      <c r="M196" t="s">
        <v>101</v>
      </c>
      <c r="N196" t="s">
        <v>516</v>
      </c>
      <c r="O196" t="s">
        <v>82</v>
      </c>
      <c r="P196" t="str">
        <f>"4170041830                    "</f>
        <v xml:space="preserve">4170041830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58.78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</v>
      </c>
      <c r="BJ196">
        <v>5.3</v>
      </c>
      <c r="BK196">
        <v>5.5</v>
      </c>
      <c r="BL196">
        <v>192.36</v>
      </c>
      <c r="BM196">
        <v>28.85</v>
      </c>
      <c r="BN196">
        <v>221.21</v>
      </c>
      <c r="BO196">
        <v>221.21</v>
      </c>
      <c r="BQ196" t="s">
        <v>517</v>
      </c>
      <c r="BR196" t="s">
        <v>84</v>
      </c>
      <c r="BS196" s="3">
        <v>45811</v>
      </c>
      <c r="BT196" s="4">
        <v>0.64166666666666672</v>
      </c>
      <c r="BU196" t="s">
        <v>643</v>
      </c>
      <c r="BV196" t="s">
        <v>90</v>
      </c>
      <c r="BW196" t="s">
        <v>416</v>
      </c>
      <c r="BX196" t="s">
        <v>614</v>
      </c>
      <c r="BY196">
        <v>26640</v>
      </c>
      <c r="BZ196" t="s">
        <v>87</v>
      </c>
      <c r="CA196" t="s">
        <v>105</v>
      </c>
      <c r="CC196" t="s">
        <v>101</v>
      </c>
      <c r="CD196">
        <v>6001</v>
      </c>
      <c r="CE196" t="s">
        <v>166</v>
      </c>
      <c r="CF196" s="3">
        <v>45811</v>
      </c>
      <c r="CI196">
        <v>1</v>
      </c>
      <c r="CJ196">
        <v>1</v>
      </c>
      <c r="CK196">
        <v>21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"080065708709"</f>
        <v>080065708709</v>
      </c>
      <c r="F197" s="3">
        <v>45810</v>
      </c>
      <c r="G197">
        <v>202603</v>
      </c>
      <c r="H197" t="s">
        <v>75</v>
      </c>
      <c r="I197" t="s">
        <v>76</v>
      </c>
      <c r="J197" t="s">
        <v>77</v>
      </c>
      <c r="K197" t="s">
        <v>78</v>
      </c>
      <c r="L197" t="s">
        <v>331</v>
      </c>
      <c r="M197" t="s">
        <v>332</v>
      </c>
      <c r="N197" t="s">
        <v>484</v>
      </c>
      <c r="O197" t="s">
        <v>82</v>
      </c>
      <c r="P197" t="str">
        <f>"4170041831                    "</f>
        <v xml:space="preserve">4170041831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42.75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</v>
      </c>
      <c r="BJ197">
        <v>3.9</v>
      </c>
      <c r="BK197">
        <v>4</v>
      </c>
      <c r="BL197">
        <v>139.91</v>
      </c>
      <c r="BM197">
        <v>20.99</v>
      </c>
      <c r="BN197">
        <v>160.9</v>
      </c>
      <c r="BO197">
        <v>160.9</v>
      </c>
      <c r="BQ197" t="s">
        <v>485</v>
      </c>
      <c r="BR197" t="s">
        <v>84</v>
      </c>
      <c r="BS197" s="3">
        <v>45811</v>
      </c>
      <c r="BT197" s="4">
        <v>0.40138888888888891</v>
      </c>
      <c r="BU197" t="s">
        <v>486</v>
      </c>
      <c r="BV197" t="s">
        <v>86</v>
      </c>
      <c r="BY197">
        <v>19712</v>
      </c>
      <c r="BZ197" t="s">
        <v>87</v>
      </c>
      <c r="CA197" t="s">
        <v>487</v>
      </c>
      <c r="CC197" t="s">
        <v>332</v>
      </c>
      <c r="CD197">
        <v>4052</v>
      </c>
      <c r="CE197" t="s">
        <v>166</v>
      </c>
      <c r="CF197" s="3">
        <v>45812</v>
      </c>
      <c r="CI197">
        <v>1</v>
      </c>
      <c r="CJ197">
        <v>1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"080065709827"</f>
        <v>080065709827</v>
      </c>
      <c r="F198" s="3">
        <v>45810</v>
      </c>
      <c r="G198">
        <v>202603</v>
      </c>
      <c r="H198" t="s">
        <v>75</v>
      </c>
      <c r="I198" t="s">
        <v>76</v>
      </c>
      <c r="J198" t="s">
        <v>77</v>
      </c>
      <c r="K198" t="s">
        <v>78</v>
      </c>
      <c r="L198" t="s">
        <v>106</v>
      </c>
      <c r="M198" t="s">
        <v>107</v>
      </c>
      <c r="N198" t="s">
        <v>644</v>
      </c>
      <c r="O198" t="s">
        <v>94</v>
      </c>
      <c r="P198" t="str">
        <f>"4170041630                    "</f>
        <v xml:space="preserve">4170041630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183.05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55</v>
      </c>
      <c r="BJ198">
        <v>98</v>
      </c>
      <c r="BK198">
        <v>98</v>
      </c>
      <c r="BL198">
        <v>604.64</v>
      </c>
      <c r="BM198">
        <v>90.7</v>
      </c>
      <c r="BN198">
        <v>695.34</v>
      </c>
      <c r="BO198">
        <v>695.34</v>
      </c>
      <c r="BQ198" t="s">
        <v>645</v>
      </c>
      <c r="BR198" t="s">
        <v>84</v>
      </c>
      <c r="BS198" s="3">
        <v>45811</v>
      </c>
      <c r="BT198" s="4">
        <v>0.49930555555555556</v>
      </c>
      <c r="BU198" t="s">
        <v>646</v>
      </c>
      <c r="BV198" t="s">
        <v>86</v>
      </c>
      <c r="BY198">
        <v>490196</v>
      </c>
      <c r="BZ198" t="s">
        <v>97</v>
      </c>
      <c r="CA198" t="s">
        <v>647</v>
      </c>
      <c r="CC198" t="s">
        <v>107</v>
      </c>
      <c r="CD198">
        <v>45</v>
      </c>
      <c r="CE198" t="s">
        <v>648</v>
      </c>
      <c r="CF198" s="3">
        <v>45811</v>
      </c>
      <c r="CI198">
        <v>1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"080065709850"</f>
        <v>080065709850</v>
      </c>
      <c r="F199" s="3">
        <v>45810</v>
      </c>
      <c r="G199">
        <v>202603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525</v>
      </c>
      <c r="O199" t="s">
        <v>94</v>
      </c>
      <c r="P199" t="str">
        <f>"4170041888                    "</f>
        <v xml:space="preserve">4170041888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120.52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57</v>
      </c>
      <c r="BJ199">
        <v>109.6</v>
      </c>
      <c r="BK199">
        <v>110</v>
      </c>
      <c r="BL199">
        <v>400.01</v>
      </c>
      <c r="BM199">
        <v>60</v>
      </c>
      <c r="BN199">
        <v>460.01</v>
      </c>
      <c r="BO199">
        <v>460.01</v>
      </c>
      <c r="BQ199" t="s">
        <v>526</v>
      </c>
      <c r="BR199" t="s">
        <v>84</v>
      </c>
      <c r="BS199" s="3">
        <v>45811</v>
      </c>
      <c r="BT199" s="4">
        <v>0.58333333333333337</v>
      </c>
      <c r="BU199" t="s">
        <v>536</v>
      </c>
      <c r="BV199" t="s">
        <v>86</v>
      </c>
      <c r="BY199">
        <v>548240</v>
      </c>
      <c r="BZ199" t="s">
        <v>97</v>
      </c>
      <c r="CA199" t="s">
        <v>528</v>
      </c>
      <c r="CC199" t="s">
        <v>76</v>
      </c>
      <c r="CD199">
        <v>1645</v>
      </c>
      <c r="CE199" t="s">
        <v>529</v>
      </c>
      <c r="CF199" s="3">
        <v>45811</v>
      </c>
      <c r="CI199">
        <v>1</v>
      </c>
      <c r="CJ199">
        <v>1</v>
      </c>
      <c r="CK199">
        <v>42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"080065710227"</f>
        <v>080065710227</v>
      </c>
      <c r="F200" s="3">
        <v>45810</v>
      </c>
      <c r="G200">
        <v>202603</v>
      </c>
      <c r="H200" t="s">
        <v>75</v>
      </c>
      <c r="I200" t="s">
        <v>76</v>
      </c>
      <c r="J200" t="s">
        <v>77</v>
      </c>
      <c r="K200" t="s">
        <v>78</v>
      </c>
      <c r="L200" t="s">
        <v>130</v>
      </c>
      <c r="M200" t="s">
        <v>131</v>
      </c>
      <c r="N200" t="s">
        <v>519</v>
      </c>
      <c r="O200" t="s">
        <v>82</v>
      </c>
      <c r="P200" t="str">
        <f>"4170041844                    "</f>
        <v xml:space="preserve">4170041844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16.7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</v>
      </c>
      <c r="BJ200">
        <v>1.8</v>
      </c>
      <c r="BK200">
        <v>3</v>
      </c>
      <c r="BL200">
        <v>54.66</v>
      </c>
      <c r="BM200">
        <v>8.1999999999999993</v>
      </c>
      <c r="BN200">
        <v>62.86</v>
      </c>
      <c r="BO200">
        <v>62.86</v>
      </c>
      <c r="BQ200" t="s">
        <v>520</v>
      </c>
      <c r="BR200" t="s">
        <v>84</v>
      </c>
      <c r="BS200" s="3">
        <v>45811</v>
      </c>
      <c r="BT200" s="4">
        <v>0.39513888888888887</v>
      </c>
      <c r="BU200" t="s">
        <v>521</v>
      </c>
      <c r="BV200" t="s">
        <v>86</v>
      </c>
      <c r="BY200">
        <v>9216</v>
      </c>
      <c r="BZ200" t="s">
        <v>87</v>
      </c>
      <c r="CA200" t="s">
        <v>425</v>
      </c>
      <c r="CC200" t="s">
        <v>131</v>
      </c>
      <c r="CD200">
        <v>1459</v>
      </c>
      <c r="CE200" t="s">
        <v>166</v>
      </c>
      <c r="CF200" s="3">
        <v>45811</v>
      </c>
      <c r="CI200">
        <v>1</v>
      </c>
      <c r="CJ200">
        <v>1</v>
      </c>
      <c r="CK200">
        <v>22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"080065710261"</f>
        <v>080065710261</v>
      </c>
      <c r="F201" s="3">
        <v>45810</v>
      </c>
      <c r="G201">
        <v>202603</v>
      </c>
      <c r="H201" t="s">
        <v>75</v>
      </c>
      <c r="I201" t="s">
        <v>76</v>
      </c>
      <c r="J201" t="s">
        <v>77</v>
      </c>
      <c r="K201" t="s">
        <v>78</v>
      </c>
      <c r="L201" t="s">
        <v>130</v>
      </c>
      <c r="M201" t="s">
        <v>131</v>
      </c>
      <c r="N201" t="s">
        <v>519</v>
      </c>
      <c r="O201" t="s">
        <v>82</v>
      </c>
      <c r="P201" t="str">
        <f>"4170041845                    "</f>
        <v xml:space="preserve">4170041845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16.7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3</v>
      </c>
      <c r="BK201">
        <v>3</v>
      </c>
      <c r="BL201">
        <v>54.66</v>
      </c>
      <c r="BM201">
        <v>8.1999999999999993</v>
      </c>
      <c r="BN201">
        <v>62.86</v>
      </c>
      <c r="BO201">
        <v>62.86</v>
      </c>
      <c r="BQ201" t="s">
        <v>520</v>
      </c>
      <c r="BR201" t="s">
        <v>84</v>
      </c>
      <c r="BS201" s="3">
        <v>45811</v>
      </c>
      <c r="BT201" s="4">
        <v>0.39374999999999999</v>
      </c>
      <c r="BU201" t="s">
        <v>521</v>
      </c>
      <c r="BV201" t="s">
        <v>86</v>
      </c>
      <c r="BY201">
        <v>14848</v>
      </c>
      <c r="BZ201" t="s">
        <v>87</v>
      </c>
      <c r="CA201" t="s">
        <v>425</v>
      </c>
      <c r="CC201" t="s">
        <v>131</v>
      </c>
      <c r="CD201">
        <v>1459</v>
      </c>
      <c r="CE201" t="s">
        <v>166</v>
      </c>
      <c r="CF201" s="3">
        <v>45811</v>
      </c>
      <c r="CI201">
        <v>1</v>
      </c>
      <c r="CJ201">
        <v>1</v>
      </c>
      <c r="CK201">
        <v>22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"080065710315"</f>
        <v>080065710315</v>
      </c>
      <c r="F202" s="3">
        <v>45810</v>
      </c>
      <c r="G202">
        <v>202603</v>
      </c>
      <c r="H202" t="s">
        <v>75</v>
      </c>
      <c r="I202" t="s">
        <v>76</v>
      </c>
      <c r="J202" t="s">
        <v>77</v>
      </c>
      <c r="K202" t="s">
        <v>78</v>
      </c>
      <c r="L202" t="s">
        <v>302</v>
      </c>
      <c r="M202" t="s">
        <v>303</v>
      </c>
      <c r="N202" t="s">
        <v>649</v>
      </c>
      <c r="O202" t="s">
        <v>82</v>
      </c>
      <c r="P202" t="str">
        <f>"4170041871                    "</f>
        <v xml:space="preserve">4170041871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41.43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1.7</v>
      </c>
      <c r="BK202">
        <v>2</v>
      </c>
      <c r="BL202">
        <v>135.59</v>
      </c>
      <c r="BM202">
        <v>20.34</v>
      </c>
      <c r="BN202">
        <v>155.93</v>
      </c>
      <c r="BO202">
        <v>155.93</v>
      </c>
      <c r="BQ202" t="s">
        <v>650</v>
      </c>
      <c r="BR202" t="s">
        <v>84</v>
      </c>
      <c r="BS202" s="3">
        <v>45813</v>
      </c>
      <c r="BT202" s="4">
        <v>0.40763888888888888</v>
      </c>
      <c r="BU202" t="s">
        <v>651</v>
      </c>
      <c r="BV202" t="s">
        <v>90</v>
      </c>
      <c r="BW202" t="s">
        <v>144</v>
      </c>
      <c r="BX202" t="s">
        <v>652</v>
      </c>
      <c r="BY202">
        <v>8512</v>
      </c>
      <c r="BZ202" t="s">
        <v>87</v>
      </c>
      <c r="CC202" t="s">
        <v>303</v>
      </c>
      <c r="CD202">
        <v>300</v>
      </c>
      <c r="CE202" t="s">
        <v>180</v>
      </c>
      <c r="CF202" s="3">
        <v>45814</v>
      </c>
      <c r="CI202">
        <v>1</v>
      </c>
      <c r="CJ202">
        <v>3</v>
      </c>
      <c r="CK202">
        <v>23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"080065710344"</f>
        <v>080065710344</v>
      </c>
      <c r="F203" s="3">
        <v>45810</v>
      </c>
      <c r="G203">
        <v>202603</v>
      </c>
      <c r="H203" t="s">
        <v>75</v>
      </c>
      <c r="I203" t="s">
        <v>76</v>
      </c>
      <c r="J203" t="s">
        <v>77</v>
      </c>
      <c r="K203" t="s">
        <v>78</v>
      </c>
      <c r="L203" t="s">
        <v>130</v>
      </c>
      <c r="M203" t="s">
        <v>131</v>
      </c>
      <c r="N203" t="s">
        <v>653</v>
      </c>
      <c r="O203" t="s">
        <v>82</v>
      </c>
      <c r="P203" t="str">
        <f>"4170041825                    "</f>
        <v xml:space="preserve">4170041825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16.7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54.66</v>
      </c>
      <c r="BM203">
        <v>8.1999999999999993</v>
      </c>
      <c r="BN203">
        <v>62.86</v>
      </c>
      <c r="BO203">
        <v>62.86</v>
      </c>
      <c r="BQ203" t="s">
        <v>654</v>
      </c>
      <c r="BR203" t="s">
        <v>84</v>
      </c>
      <c r="BS203" s="3">
        <v>45811</v>
      </c>
      <c r="BT203" s="4">
        <v>0.38124999999999998</v>
      </c>
      <c r="BU203" t="s">
        <v>655</v>
      </c>
      <c r="BV203" t="s">
        <v>86</v>
      </c>
      <c r="BY203">
        <v>1200</v>
      </c>
      <c r="BZ203" t="s">
        <v>87</v>
      </c>
      <c r="CA203" t="s">
        <v>454</v>
      </c>
      <c r="CC203" t="s">
        <v>131</v>
      </c>
      <c r="CD203">
        <v>1459</v>
      </c>
      <c r="CE203" t="s">
        <v>89</v>
      </c>
      <c r="CF203" s="3">
        <v>45811</v>
      </c>
      <c r="CI203">
        <v>1</v>
      </c>
      <c r="CJ203">
        <v>1</v>
      </c>
      <c r="CK203">
        <v>22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"080065710361"</f>
        <v>080065710361</v>
      </c>
      <c r="F204" s="3">
        <v>45810</v>
      </c>
      <c r="G204">
        <v>202603</v>
      </c>
      <c r="H204" t="s">
        <v>75</v>
      </c>
      <c r="I204" t="s">
        <v>76</v>
      </c>
      <c r="J204" t="s">
        <v>77</v>
      </c>
      <c r="K204" t="s">
        <v>78</v>
      </c>
      <c r="L204" t="s">
        <v>445</v>
      </c>
      <c r="M204" t="s">
        <v>446</v>
      </c>
      <c r="N204" t="s">
        <v>447</v>
      </c>
      <c r="O204" t="s">
        <v>82</v>
      </c>
      <c r="P204" t="str">
        <f>"4170041823                    "</f>
        <v xml:space="preserve">4170041823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64.12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6</v>
      </c>
      <c r="BJ204">
        <v>2.9</v>
      </c>
      <c r="BK204">
        <v>6</v>
      </c>
      <c r="BL204">
        <v>209.84</v>
      </c>
      <c r="BM204">
        <v>31.48</v>
      </c>
      <c r="BN204">
        <v>241.32</v>
      </c>
      <c r="BO204">
        <v>241.32</v>
      </c>
      <c r="BQ204" t="s">
        <v>448</v>
      </c>
      <c r="BR204" t="s">
        <v>84</v>
      </c>
      <c r="BS204" s="3">
        <v>45811</v>
      </c>
      <c r="BT204" s="4">
        <v>0.43263888888888891</v>
      </c>
      <c r="BU204" t="s">
        <v>449</v>
      </c>
      <c r="BV204" t="s">
        <v>86</v>
      </c>
      <c r="BY204">
        <v>14700</v>
      </c>
      <c r="BZ204" t="s">
        <v>87</v>
      </c>
      <c r="CA204" t="s">
        <v>450</v>
      </c>
      <c r="CC204" t="s">
        <v>446</v>
      </c>
      <c r="CD204">
        <v>4126</v>
      </c>
      <c r="CE204" t="s">
        <v>166</v>
      </c>
      <c r="CF204" s="3">
        <v>45812</v>
      </c>
      <c r="CI204">
        <v>1</v>
      </c>
      <c r="CJ204">
        <v>1</v>
      </c>
      <c r="CK204">
        <v>21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"080065710387"</f>
        <v>080065710387</v>
      </c>
      <c r="F205" s="3">
        <v>45810</v>
      </c>
      <c r="G205">
        <v>202603</v>
      </c>
      <c r="H205" t="s">
        <v>75</v>
      </c>
      <c r="I205" t="s">
        <v>76</v>
      </c>
      <c r="J205" t="s">
        <v>77</v>
      </c>
      <c r="K205" t="s">
        <v>78</v>
      </c>
      <c r="L205" t="s">
        <v>75</v>
      </c>
      <c r="M205" t="s">
        <v>76</v>
      </c>
      <c r="N205" t="s">
        <v>656</v>
      </c>
      <c r="O205" t="s">
        <v>82</v>
      </c>
      <c r="P205" t="str">
        <f>"4170041885                    "</f>
        <v xml:space="preserve">4170041885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16.7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54.66</v>
      </c>
      <c r="BM205">
        <v>8.1999999999999993</v>
      </c>
      <c r="BN205">
        <v>62.86</v>
      </c>
      <c r="BO205">
        <v>62.86</v>
      </c>
      <c r="BQ205" t="s">
        <v>657</v>
      </c>
      <c r="BR205" t="s">
        <v>84</v>
      </c>
      <c r="BS205" s="3">
        <v>45811</v>
      </c>
      <c r="BT205" s="4">
        <v>0.40208333333333335</v>
      </c>
      <c r="BU205" t="s">
        <v>658</v>
      </c>
      <c r="BV205" t="s">
        <v>86</v>
      </c>
      <c r="BY205">
        <v>1200</v>
      </c>
      <c r="BZ205" t="s">
        <v>87</v>
      </c>
      <c r="CA205" t="s">
        <v>659</v>
      </c>
      <c r="CC205" t="s">
        <v>76</v>
      </c>
      <c r="CD205">
        <v>1619</v>
      </c>
      <c r="CE205" t="s">
        <v>89</v>
      </c>
      <c r="CF205" s="3">
        <v>45811</v>
      </c>
      <c r="CI205">
        <v>1</v>
      </c>
      <c r="CJ205">
        <v>1</v>
      </c>
      <c r="CK205">
        <v>22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"080065710439"</f>
        <v>080065710439</v>
      </c>
      <c r="F206" s="3">
        <v>45810</v>
      </c>
      <c r="G206">
        <v>202603</v>
      </c>
      <c r="H206" t="s">
        <v>75</v>
      </c>
      <c r="I206" t="s">
        <v>76</v>
      </c>
      <c r="J206" t="s">
        <v>77</v>
      </c>
      <c r="K206" t="s">
        <v>78</v>
      </c>
      <c r="L206" t="s">
        <v>91</v>
      </c>
      <c r="M206" t="s">
        <v>92</v>
      </c>
      <c r="N206" t="s">
        <v>540</v>
      </c>
      <c r="O206" t="s">
        <v>82</v>
      </c>
      <c r="P206" t="str">
        <f>"4170041873                    "</f>
        <v xml:space="preserve">4170041873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21.38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69.98</v>
      </c>
      <c r="BM206">
        <v>10.5</v>
      </c>
      <c r="BN206">
        <v>80.48</v>
      </c>
      <c r="BO206">
        <v>80.48</v>
      </c>
      <c r="BQ206" t="s">
        <v>541</v>
      </c>
      <c r="BR206" t="s">
        <v>84</v>
      </c>
      <c r="BS206" s="3">
        <v>45811</v>
      </c>
      <c r="BT206" s="4">
        <v>0.3840277777777778</v>
      </c>
      <c r="BU206" t="s">
        <v>542</v>
      </c>
      <c r="BV206" t="s">
        <v>86</v>
      </c>
      <c r="BY206">
        <v>1200</v>
      </c>
      <c r="BZ206" t="s">
        <v>87</v>
      </c>
      <c r="CA206" t="s">
        <v>543</v>
      </c>
      <c r="CC206" t="s">
        <v>92</v>
      </c>
      <c r="CD206">
        <v>7441</v>
      </c>
      <c r="CE206" t="s">
        <v>89</v>
      </c>
      <c r="CF206" s="3">
        <v>45812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"080065710465"</f>
        <v>080065710465</v>
      </c>
      <c r="F207" s="3">
        <v>45810</v>
      </c>
      <c r="G207">
        <v>202603</v>
      </c>
      <c r="H207" t="s">
        <v>75</v>
      </c>
      <c r="I207" t="s">
        <v>76</v>
      </c>
      <c r="J207" t="s">
        <v>77</v>
      </c>
      <c r="K207" t="s">
        <v>78</v>
      </c>
      <c r="L207" t="s">
        <v>100</v>
      </c>
      <c r="M207" t="s">
        <v>101</v>
      </c>
      <c r="N207" t="s">
        <v>585</v>
      </c>
      <c r="O207" t="s">
        <v>82</v>
      </c>
      <c r="P207" t="str">
        <f>"4170041872                    "</f>
        <v xml:space="preserve">4170041872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21.38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69.98</v>
      </c>
      <c r="BM207">
        <v>10.5</v>
      </c>
      <c r="BN207">
        <v>80.48</v>
      </c>
      <c r="BO207">
        <v>80.48</v>
      </c>
      <c r="BQ207" t="s">
        <v>586</v>
      </c>
      <c r="BR207" t="s">
        <v>84</v>
      </c>
      <c r="BS207" s="3">
        <v>45811</v>
      </c>
      <c r="BT207" s="4">
        <v>0.34166666666666667</v>
      </c>
      <c r="BU207" t="s">
        <v>587</v>
      </c>
      <c r="BV207" t="s">
        <v>86</v>
      </c>
      <c r="BY207">
        <v>1200</v>
      </c>
      <c r="BZ207" t="s">
        <v>87</v>
      </c>
      <c r="CA207" t="s">
        <v>589</v>
      </c>
      <c r="CC207" t="s">
        <v>101</v>
      </c>
      <c r="CD207">
        <v>6001</v>
      </c>
      <c r="CE207" t="s">
        <v>89</v>
      </c>
      <c r="CF207" s="3">
        <v>45811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"080065710495"</f>
        <v>080065710495</v>
      </c>
      <c r="F208" s="3">
        <v>45810</v>
      </c>
      <c r="G208">
        <v>202603</v>
      </c>
      <c r="H208" t="s">
        <v>75</v>
      </c>
      <c r="I208" t="s">
        <v>76</v>
      </c>
      <c r="J208" t="s">
        <v>77</v>
      </c>
      <c r="K208" t="s">
        <v>78</v>
      </c>
      <c r="L208" t="s">
        <v>91</v>
      </c>
      <c r="M208" t="s">
        <v>92</v>
      </c>
      <c r="N208" t="s">
        <v>660</v>
      </c>
      <c r="O208" t="s">
        <v>82</v>
      </c>
      <c r="P208" t="str">
        <f>"4170041861                    "</f>
        <v xml:space="preserve">4170041861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21.38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69.98</v>
      </c>
      <c r="BM208">
        <v>10.5</v>
      </c>
      <c r="BN208">
        <v>80.48</v>
      </c>
      <c r="BO208">
        <v>80.48</v>
      </c>
      <c r="BQ208" t="s">
        <v>661</v>
      </c>
      <c r="BR208" t="s">
        <v>84</v>
      </c>
      <c r="BS208" s="3">
        <v>45811</v>
      </c>
      <c r="BT208" s="4">
        <v>0.42083333333333334</v>
      </c>
      <c r="BU208" t="s">
        <v>662</v>
      </c>
      <c r="BV208" t="s">
        <v>86</v>
      </c>
      <c r="BY208">
        <v>1200</v>
      </c>
      <c r="BZ208" t="s">
        <v>87</v>
      </c>
      <c r="CA208" t="s">
        <v>291</v>
      </c>
      <c r="CC208" t="s">
        <v>92</v>
      </c>
      <c r="CD208">
        <v>7441</v>
      </c>
      <c r="CE208" t="s">
        <v>89</v>
      </c>
      <c r="CF208" s="3">
        <v>45812</v>
      </c>
      <c r="CI208">
        <v>1</v>
      </c>
      <c r="CJ208">
        <v>1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"080065710576"</f>
        <v>080065710576</v>
      </c>
      <c r="F209" s="3">
        <v>45810</v>
      </c>
      <c r="G209">
        <v>202603</v>
      </c>
      <c r="H209" t="s">
        <v>75</v>
      </c>
      <c r="I209" t="s">
        <v>76</v>
      </c>
      <c r="J209" t="s">
        <v>77</v>
      </c>
      <c r="K209" t="s">
        <v>78</v>
      </c>
      <c r="L209" t="s">
        <v>100</v>
      </c>
      <c r="M209" t="s">
        <v>101</v>
      </c>
      <c r="N209" t="s">
        <v>123</v>
      </c>
      <c r="O209" t="s">
        <v>82</v>
      </c>
      <c r="P209" t="str">
        <f>"4170041881                    "</f>
        <v xml:space="preserve">4170041881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21.38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1.7</v>
      </c>
      <c r="BK209">
        <v>2</v>
      </c>
      <c r="BL209">
        <v>69.98</v>
      </c>
      <c r="BM209">
        <v>10.5</v>
      </c>
      <c r="BN209">
        <v>80.48</v>
      </c>
      <c r="BO209">
        <v>80.48</v>
      </c>
      <c r="BQ209" t="s">
        <v>124</v>
      </c>
      <c r="BR209" t="s">
        <v>84</v>
      </c>
      <c r="BS209" s="3">
        <v>45811</v>
      </c>
      <c r="BT209" s="4">
        <v>0.35902777777777778</v>
      </c>
      <c r="BU209" t="s">
        <v>234</v>
      </c>
      <c r="BV209" t="s">
        <v>86</v>
      </c>
      <c r="BY209">
        <v>8550</v>
      </c>
      <c r="BZ209" t="s">
        <v>87</v>
      </c>
      <c r="CA209" t="s">
        <v>235</v>
      </c>
      <c r="CC209" t="s">
        <v>101</v>
      </c>
      <c r="CD209">
        <v>6001</v>
      </c>
      <c r="CE209" t="s">
        <v>180</v>
      </c>
      <c r="CF209" s="3">
        <v>45811</v>
      </c>
      <c r="CI209">
        <v>1</v>
      </c>
      <c r="CJ209">
        <v>1</v>
      </c>
      <c r="CK209">
        <v>21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"080065710582"</f>
        <v>080065710582</v>
      </c>
      <c r="F210" s="3">
        <v>45810</v>
      </c>
      <c r="G210">
        <v>202603</v>
      </c>
      <c r="H210" t="s">
        <v>75</v>
      </c>
      <c r="I210" t="s">
        <v>76</v>
      </c>
      <c r="J210" t="s">
        <v>77</v>
      </c>
      <c r="K210" t="s">
        <v>78</v>
      </c>
      <c r="L210" t="s">
        <v>663</v>
      </c>
      <c r="M210" t="s">
        <v>664</v>
      </c>
      <c r="N210" t="s">
        <v>665</v>
      </c>
      <c r="O210" t="s">
        <v>82</v>
      </c>
      <c r="P210" t="str">
        <f>"4170041869                    "</f>
        <v xml:space="preserve">4170041869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41.43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135.59</v>
      </c>
      <c r="BM210">
        <v>20.34</v>
      </c>
      <c r="BN210">
        <v>155.93</v>
      </c>
      <c r="BO210">
        <v>155.93</v>
      </c>
      <c r="BQ210" t="s">
        <v>666</v>
      </c>
      <c r="BR210" t="s">
        <v>84</v>
      </c>
      <c r="BS210" s="3">
        <v>45811</v>
      </c>
      <c r="BT210" s="4">
        <v>0.37083333333333335</v>
      </c>
      <c r="BU210" t="s">
        <v>667</v>
      </c>
      <c r="BV210" t="s">
        <v>86</v>
      </c>
      <c r="BY210">
        <v>1200</v>
      </c>
      <c r="BZ210" t="s">
        <v>87</v>
      </c>
      <c r="CA210" t="s">
        <v>668</v>
      </c>
      <c r="CC210" t="s">
        <v>664</v>
      </c>
      <c r="CD210">
        <v>1947</v>
      </c>
      <c r="CE210" t="s">
        <v>89</v>
      </c>
      <c r="CF210" s="3">
        <v>45812</v>
      </c>
      <c r="CI210">
        <v>1</v>
      </c>
      <c r="CJ210">
        <v>1</v>
      </c>
      <c r="CK210">
        <v>23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"080065710639"</f>
        <v>080065710639</v>
      </c>
      <c r="F211" s="3">
        <v>45810</v>
      </c>
      <c r="G211">
        <v>202603</v>
      </c>
      <c r="H211" t="s">
        <v>75</v>
      </c>
      <c r="I211" t="s">
        <v>76</v>
      </c>
      <c r="J211" t="s">
        <v>77</v>
      </c>
      <c r="K211" t="s">
        <v>78</v>
      </c>
      <c r="L211" t="s">
        <v>331</v>
      </c>
      <c r="M211" t="s">
        <v>332</v>
      </c>
      <c r="N211" t="s">
        <v>333</v>
      </c>
      <c r="O211" t="s">
        <v>82</v>
      </c>
      <c r="P211" t="str">
        <f>"4170041870                    "</f>
        <v xml:space="preserve">4170041870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21.38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69.98</v>
      </c>
      <c r="BM211">
        <v>10.5</v>
      </c>
      <c r="BN211">
        <v>80.48</v>
      </c>
      <c r="BO211">
        <v>80.48</v>
      </c>
      <c r="BQ211" t="s">
        <v>334</v>
      </c>
      <c r="BR211" t="s">
        <v>84</v>
      </c>
      <c r="BS211" s="3">
        <v>45811</v>
      </c>
      <c r="BT211" s="4">
        <v>0.34791666666666665</v>
      </c>
      <c r="BU211" t="s">
        <v>335</v>
      </c>
      <c r="BV211" t="s">
        <v>86</v>
      </c>
      <c r="BY211">
        <v>1200</v>
      </c>
      <c r="BZ211" t="s">
        <v>87</v>
      </c>
      <c r="CA211" t="s">
        <v>336</v>
      </c>
      <c r="CC211" t="s">
        <v>332</v>
      </c>
      <c r="CD211">
        <v>4000</v>
      </c>
      <c r="CE211" t="s">
        <v>89</v>
      </c>
      <c r="CF211" s="3">
        <v>45811</v>
      </c>
      <c r="CI211">
        <v>1</v>
      </c>
      <c r="CJ211">
        <v>1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"080065710661"</f>
        <v>080065710661</v>
      </c>
      <c r="F212" s="3">
        <v>45810</v>
      </c>
      <c r="G212">
        <v>202603</v>
      </c>
      <c r="H212" t="s">
        <v>75</v>
      </c>
      <c r="I212" t="s">
        <v>76</v>
      </c>
      <c r="J212" t="s">
        <v>77</v>
      </c>
      <c r="K212" t="s">
        <v>78</v>
      </c>
      <c r="L212" t="s">
        <v>100</v>
      </c>
      <c r="M212" t="s">
        <v>101</v>
      </c>
      <c r="N212" t="s">
        <v>669</v>
      </c>
      <c r="O212" t="s">
        <v>82</v>
      </c>
      <c r="P212" t="str">
        <f>"4170041884                    "</f>
        <v xml:space="preserve">4170041884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21.38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1.1000000000000001</v>
      </c>
      <c r="BK212">
        <v>1.5</v>
      </c>
      <c r="BL212">
        <v>69.98</v>
      </c>
      <c r="BM212">
        <v>10.5</v>
      </c>
      <c r="BN212">
        <v>80.48</v>
      </c>
      <c r="BO212">
        <v>80.48</v>
      </c>
      <c r="BQ212" t="s">
        <v>670</v>
      </c>
      <c r="BR212" t="s">
        <v>84</v>
      </c>
      <c r="BS212" s="3">
        <v>45811</v>
      </c>
      <c r="BT212" s="4">
        <v>0.3611111111111111</v>
      </c>
      <c r="BU212" t="s">
        <v>671</v>
      </c>
      <c r="BV212" t="s">
        <v>86</v>
      </c>
      <c r="BY212">
        <v>5320</v>
      </c>
      <c r="BZ212" t="s">
        <v>87</v>
      </c>
      <c r="CA212" t="s">
        <v>283</v>
      </c>
      <c r="CC212" t="s">
        <v>101</v>
      </c>
      <c r="CD212">
        <v>6012</v>
      </c>
      <c r="CE212" t="s">
        <v>180</v>
      </c>
      <c r="CF212" s="3">
        <v>45811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"080065710673"</f>
        <v>080065710673</v>
      </c>
      <c r="F213" s="3">
        <v>45810</v>
      </c>
      <c r="G213">
        <v>202603</v>
      </c>
      <c r="H213" t="s">
        <v>75</v>
      </c>
      <c r="I213" t="s">
        <v>76</v>
      </c>
      <c r="J213" t="s">
        <v>77</v>
      </c>
      <c r="K213" t="s">
        <v>78</v>
      </c>
      <c r="L213" t="s">
        <v>436</v>
      </c>
      <c r="M213" t="s">
        <v>437</v>
      </c>
      <c r="N213" t="s">
        <v>672</v>
      </c>
      <c r="O213" t="s">
        <v>82</v>
      </c>
      <c r="P213" t="str">
        <f>"4170041877                    "</f>
        <v xml:space="preserve">4170041877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16.7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54.66</v>
      </c>
      <c r="BM213">
        <v>8.1999999999999993</v>
      </c>
      <c r="BN213">
        <v>62.86</v>
      </c>
      <c r="BO213">
        <v>62.86</v>
      </c>
      <c r="BQ213" t="s">
        <v>673</v>
      </c>
      <c r="BR213" t="s">
        <v>84</v>
      </c>
      <c r="BS213" s="3">
        <v>45811</v>
      </c>
      <c r="BT213" s="4">
        <v>0.41666666666666669</v>
      </c>
      <c r="BU213" t="s">
        <v>674</v>
      </c>
      <c r="BV213" t="s">
        <v>86</v>
      </c>
      <c r="BY213">
        <v>1200</v>
      </c>
      <c r="BZ213" t="s">
        <v>87</v>
      </c>
      <c r="CA213" t="s">
        <v>675</v>
      </c>
      <c r="CC213" t="s">
        <v>437</v>
      </c>
      <c r="CD213">
        <v>1501</v>
      </c>
      <c r="CE213" t="s">
        <v>89</v>
      </c>
      <c r="CF213" s="3">
        <v>45811</v>
      </c>
      <c r="CI213">
        <v>1</v>
      </c>
      <c r="CJ213">
        <v>1</v>
      </c>
      <c r="CK213">
        <v>22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"080065710731"</f>
        <v>080065710731</v>
      </c>
      <c r="F214" s="3">
        <v>45810</v>
      </c>
      <c r="G214">
        <v>202603</v>
      </c>
      <c r="H214" t="s">
        <v>75</v>
      </c>
      <c r="I214" t="s">
        <v>76</v>
      </c>
      <c r="J214" t="s">
        <v>77</v>
      </c>
      <c r="K214" t="s">
        <v>78</v>
      </c>
      <c r="L214" t="s">
        <v>91</v>
      </c>
      <c r="M214" t="s">
        <v>92</v>
      </c>
      <c r="N214" t="s">
        <v>676</v>
      </c>
      <c r="O214" t="s">
        <v>82</v>
      </c>
      <c r="P214" t="str">
        <f>"4170041866                    "</f>
        <v xml:space="preserve">4170041866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21.38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1.9</v>
      </c>
      <c r="BK214">
        <v>2</v>
      </c>
      <c r="BL214">
        <v>69.98</v>
      </c>
      <c r="BM214">
        <v>10.5</v>
      </c>
      <c r="BN214">
        <v>80.48</v>
      </c>
      <c r="BO214">
        <v>80.48</v>
      </c>
      <c r="BQ214" t="s">
        <v>677</v>
      </c>
      <c r="BR214" t="s">
        <v>84</v>
      </c>
      <c r="BS214" s="3">
        <v>45811</v>
      </c>
      <c r="BT214" s="4">
        <v>0.52638888888888891</v>
      </c>
      <c r="BU214" t="s">
        <v>678</v>
      </c>
      <c r="BV214" t="s">
        <v>86</v>
      </c>
      <c r="BY214">
        <v>9600</v>
      </c>
      <c r="BZ214" t="s">
        <v>87</v>
      </c>
      <c r="CA214" t="s">
        <v>679</v>
      </c>
      <c r="CC214" t="s">
        <v>92</v>
      </c>
      <c r="CD214">
        <v>7975</v>
      </c>
      <c r="CE214" t="s">
        <v>99</v>
      </c>
      <c r="CF214" s="3">
        <v>45812</v>
      </c>
      <c r="CI214">
        <v>1</v>
      </c>
      <c r="CJ214">
        <v>1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"080065710885"</f>
        <v>080065710885</v>
      </c>
      <c r="F215" s="3">
        <v>45810</v>
      </c>
      <c r="G215">
        <v>202603</v>
      </c>
      <c r="H215" t="s">
        <v>75</v>
      </c>
      <c r="I215" t="s">
        <v>76</v>
      </c>
      <c r="J215" t="s">
        <v>77</v>
      </c>
      <c r="K215" t="s">
        <v>78</v>
      </c>
      <c r="L215" t="s">
        <v>174</v>
      </c>
      <c r="M215" t="s">
        <v>175</v>
      </c>
      <c r="N215" t="s">
        <v>680</v>
      </c>
      <c r="O215" t="s">
        <v>82</v>
      </c>
      <c r="P215" t="str">
        <f>"4170041874                    "</f>
        <v xml:space="preserve">4170041874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21.38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69.98</v>
      </c>
      <c r="BM215">
        <v>10.5</v>
      </c>
      <c r="BN215">
        <v>80.48</v>
      </c>
      <c r="BO215">
        <v>80.48</v>
      </c>
      <c r="BQ215" t="s">
        <v>681</v>
      </c>
      <c r="BR215" t="s">
        <v>84</v>
      </c>
      <c r="BS215" t="s">
        <v>189</v>
      </c>
      <c r="BY215">
        <v>1200</v>
      </c>
      <c r="CC215" t="s">
        <v>175</v>
      </c>
      <c r="CD215">
        <v>3610</v>
      </c>
      <c r="CE215" t="s">
        <v>215</v>
      </c>
      <c r="CI215">
        <v>1</v>
      </c>
      <c r="CJ215" t="s">
        <v>189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"080065710917"</f>
        <v>080065710917</v>
      </c>
      <c r="F216" s="3">
        <v>45810</v>
      </c>
      <c r="G216">
        <v>202603</v>
      </c>
      <c r="H216" t="s">
        <v>75</v>
      </c>
      <c r="I216" t="s">
        <v>76</v>
      </c>
      <c r="J216" t="s">
        <v>77</v>
      </c>
      <c r="K216" t="s">
        <v>78</v>
      </c>
      <c r="L216" t="s">
        <v>682</v>
      </c>
      <c r="M216" t="s">
        <v>683</v>
      </c>
      <c r="N216" t="s">
        <v>684</v>
      </c>
      <c r="O216" t="s">
        <v>82</v>
      </c>
      <c r="P216" t="str">
        <f>"4170041882                    "</f>
        <v xml:space="preserve">4170041882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41.43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</v>
      </c>
      <c r="BJ216">
        <v>1.9</v>
      </c>
      <c r="BK216">
        <v>2</v>
      </c>
      <c r="BL216">
        <v>135.59</v>
      </c>
      <c r="BM216">
        <v>20.34</v>
      </c>
      <c r="BN216">
        <v>155.93</v>
      </c>
      <c r="BO216">
        <v>155.93</v>
      </c>
      <c r="BQ216" t="s">
        <v>685</v>
      </c>
      <c r="BR216" t="s">
        <v>84</v>
      </c>
      <c r="BS216" s="3">
        <v>45812</v>
      </c>
      <c r="BT216" s="4">
        <v>0.63472222222222219</v>
      </c>
      <c r="BU216" t="s">
        <v>686</v>
      </c>
      <c r="BV216" t="s">
        <v>86</v>
      </c>
      <c r="BY216">
        <v>9600</v>
      </c>
      <c r="CC216" t="s">
        <v>683</v>
      </c>
      <c r="CD216">
        <v>6335</v>
      </c>
      <c r="CE216" t="s">
        <v>687</v>
      </c>
      <c r="CF216" s="3">
        <v>45814</v>
      </c>
      <c r="CI216">
        <v>2</v>
      </c>
      <c r="CJ216">
        <v>2</v>
      </c>
      <c r="CK216">
        <v>23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"080065710971"</f>
        <v>080065710971</v>
      </c>
      <c r="F217" s="3">
        <v>45810</v>
      </c>
      <c r="G217">
        <v>202603</v>
      </c>
      <c r="H217" t="s">
        <v>75</v>
      </c>
      <c r="I217" t="s">
        <v>76</v>
      </c>
      <c r="J217" t="s">
        <v>77</v>
      </c>
      <c r="K217" t="s">
        <v>78</v>
      </c>
      <c r="L217" t="s">
        <v>100</v>
      </c>
      <c r="M217" t="s">
        <v>101</v>
      </c>
      <c r="N217" t="s">
        <v>669</v>
      </c>
      <c r="O217" t="s">
        <v>82</v>
      </c>
      <c r="P217" t="str">
        <f>"4170041878                    "</f>
        <v xml:space="preserve">4170041878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21.38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1.7</v>
      </c>
      <c r="BK217">
        <v>2</v>
      </c>
      <c r="BL217">
        <v>69.98</v>
      </c>
      <c r="BM217">
        <v>10.5</v>
      </c>
      <c r="BN217">
        <v>80.48</v>
      </c>
      <c r="BO217">
        <v>80.48</v>
      </c>
      <c r="BQ217" t="s">
        <v>670</v>
      </c>
      <c r="BR217" t="s">
        <v>84</v>
      </c>
      <c r="BS217" s="3">
        <v>45811</v>
      </c>
      <c r="BT217" s="4">
        <v>0.36041666666666666</v>
      </c>
      <c r="BU217" t="s">
        <v>671</v>
      </c>
      <c r="BV217" t="s">
        <v>86</v>
      </c>
      <c r="BY217">
        <v>8512</v>
      </c>
      <c r="BZ217" t="s">
        <v>87</v>
      </c>
      <c r="CA217" t="s">
        <v>283</v>
      </c>
      <c r="CC217" t="s">
        <v>101</v>
      </c>
      <c r="CD217">
        <v>6012</v>
      </c>
      <c r="CE217" t="s">
        <v>180</v>
      </c>
      <c r="CF217" s="3">
        <v>45811</v>
      </c>
      <c r="CI217">
        <v>1</v>
      </c>
      <c r="CJ217">
        <v>1</v>
      </c>
      <c r="CK217">
        <v>21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"080065711005"</f>
        <v>080065711005</v>
      </c>
      <c r="F218" s="3">
        <v>45810</v>
      </c>
      <c r="G218">
        <v>202603</v>
      </c>
      <c r="H218" t="s">
        <v>75</v>
      </c>
      <c r="I218" t="s">
        <v>76</v>
      </c>
      <c r="J218" t="s">
        <v>77</v>
      </c>
      <c r="K218" t="s">
        <v>78</v>
      </c>
      <c r="L218" t="s">
        <v>100</v>
      </c>
      <c r="M218" t="s">
        <v>101</v>
      </c>
      <c r="N218" t="s">
        <v>123</v>
      </c>
      <c r="O218" t="s">
        <v>82</v>
      </c>
      <c r="P218" t="str">
        <f>"4170041806                    "</f>
        <v xml:space="preserve">4170041806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37.409999999999997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3.1</v>
      </c>
      <c r="BK218">
        <v>3.5</v>
      </c>
      <c r="BL218">
        <v>122.43</v>
      </c>
      <c r="BM218">
        <v>18.36</v>
      </c>
      <c r="BN218">
        <v>140.79</v>
      </c>
      <c r="BO218">
        <v>140.79</v>
      </c>
      <c r="BQ218" t="s">
        <v>124</v>
      </c>
      <c r="BR218" t="s">
        <v>84</v>
      </c>
      <c r="BS218" s="3">
        <v>45811</v>
      </c>
      <c r="BT218" s="4">
        <v>0.35902777777777778</v>
      </c>
      <c r="BU218" t="s">
        <v>234</v>
      </c>
      <c r="BV218" t="s">
        <v>86</v>
      </c>
      <c r="BY218">
        <v>15360</v>
      </c>
      <c r="BZ218" t="s">
        <v>87</v>
      </c>
      <c r="CA218" t="s">
        <v>235</v>
      </c>
      <c r="CC218" t="s">
        <v>101</v>
      </c>
      <c r="CD218">
        <v>6001</v>
      </c>
      <c r="CE218" t="s">
        <v>99</v>
      </c>
      <c r="CF218" s="3">
        <v>45811</v>
      </c>
      <c r="CI218">
        <v>1</v>
      </c>
      <c r="CJ218">
        <v>1</v>
      </c>
      <c r="CK218">
        <v>21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"080065711030"</f>
        <v>080065711030</v>
      </c>
      <c r="F219" s="3">
        <v>45810</v>
      </c>
      <c r="G219">
        <v>202603</v>
      </c>
      <c r="H219" t="s">
        <v>75</v>
      </c>
      <c r="I219" t="s">
        <v>76</v>
      </c>
      <c r="J219" t="s">
        <v>77</v>
      </c>
      <c r="K219" t="s">
        <v>78</v>
      </c>
      <c r="L219" t="s">
        <v>100</v>
      </c>
      <c r="M219" t="s">
        <v>101</v>
      </c>
      <c r="N219" t="s">
        <v>123</v>
      </c>
      <c r="O219" t="s">
        <v>82</v>
      </c>
      <c r="P219" t="str">
        <f>"4170041778                    "</f>
        <v xml:space="preserve">4170041778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37.409999999999997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3.5</v>
      </c>
      <c r="BK219">
        <v>3.5</v>
      </c>
      <c r="BL219">
        <v>122.43</v>
      </c>
      <c r="BM219">
        <v>18.36</v>
      </c>
      <c r="BN219">
        <v>140.79</v>
      </c>
      <c r="BO219">
        <v>140.79</v>
      </c>
      <c r="BQ219" t="s">
        <v>124</v>
      </c>
      <c r="BR219" t="s">
        <v>84</v>
      </c>
      <c r="BS219" s="3">
        <v>45812</v>
      </c>
      <c r="BT219" s="4">
        <v>0.38680555555555557</v>
      </c>
      <c r="BU219" t="s">
        <v>688</v>
      </c>
      <c r="BV219" t="s">
        <v>90</v>
      </c>
      <c r="BY219">
        <v>17472</v>
      </c>
      <c r="BZ219" t="s">
        <v>87</v>
      </c>
      <c r="CA219" t="s">
        <v>235</v>
      </c>
      <c r="CC219" t="s">
        <v>101</v>
      </c>
      <c r="CD219">
        <v>6001</v>
      </c>
      <c r="CE219" t="s">
        <v>99</v>
      </c>
      <c r="CF219" s="3">
        <v>45812</v>
      </c>
      <c r="CI219">
        <v>1</v>
      </c>
      <c r="CJ219">
        <v>2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"080065711117"</f>
        <v>080065711117</v>
      </c>
      <c r="F220" s="3">
        <v>45810</v>
      </c>
      <c r="G220">
        <v>202603</v>
      </c>
      <c r="H220" t="s">
        <v>75</v>
      </c>
      <c r="I220" t="s">
        <v>76</v>
      </c>
      <c r="J220" t="s">
        <v>77</v>
      </c>
      <c r="K220" t="s">
        <v>78</v>
      </c>
      <c r="L220" t="s">
        <v>100</v>
      </c>
      <c r="M220" t="s">
        <v>101</v>
      </c>
      <c r="N220" t="s">
        <v>123</v>
      </c>
      <c r="O220" t="s">
        <v>82</v>
      </c>
      <c r="P220" t="str">
        <f>"4170041808                    "</f>
        <v xml:space="preserve">4170041808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133.56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8</v>
      </c>
      <c r="BJ220">
        <v>12.4</v>
      </c>
      <c r="BK220">
        <v>12.5</v>
      </c>
      <c r="BL220">
        <v>437.1</v>
      </c>
      <c r="BM220">
        <v>65.569999999999993</v>
      </c>
      <c r="BN220">
        <v>502.67</v>
      </c>
      <c r="BO220">
        <v>502.67</v>
      </c>
      <c r="BQ220" t="s">
        <v>124</v>
      </c>
      <c r="BR220" t="s">
        <v>84</v>
      </c>
      <c r="BS220" s="3">
        <v>45811</v>
      </c>
      <c r="BT220" s="4">
        <v>0.35972222222222222</v>
      </c>
      <c r="BU220" t="s">
        <v>234</v>
      </c>
      <c r="BV220" t="s">
        <v>86</v>
      </c>
      <c r="BY220">
        <v>62160</v>
      </c>
      <c r="BZ220" t="s">
        <v>87</v>
      </c>
      <c r="CA220" t="s">
        <v>235</v>
      </c>
      <c r="CC220" t="s">
        <v>101</v>
      </c>
      <c r="CD220">
        <v>6001</v>
      </c>
      <c r="CE220" t="s">
        <v>99</v>
      </c>
      <c r="CF220" s="3">
        <v>45811</v>
      </c>
      <c r="CI220">
        <v>1</v>
      </c>
      <c r="CJ220">
        <v>1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"080065711167"</f>
        <v>080065711167</v>
      </c>
      <c r="F221" s="3">
        <v>45810</v>
      </c>
      <c r="G221">
        <v>202603</v>
      </c>
      <c r="H221" t="s">
        <v>75</v>
      </c>
      <c r="I221" t="s">
        <v>76</v>
      </c>
      <c r="J221" t="s">
        <v>77</v>
      </c>
      <c r="K221" t="s">
        <v>78</v>
      </c>
      <c r="L221" t="s">
        <v>100</v>
      </c>
      <c r="M221" t="s">
        <v>101</v>
      </c>
      <c r="N221" t="s">
        <v>689</v>
      </c>
      <c r="O221" t="s">
        <v>82</v>
      </c>
      <c r="P221" t="str">
        <f>"4170041537                    "</f>
        <v xml:space="preserve">4170041537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21.38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1.1000000000000001</v>
      </c>
      <c r="BK221">
        <v>1.5</v>
      </c>
      <c r="BL221">
        <v>69.98</v>
      </c>
      <c r="BM221">
        <v>10.5</v>
      </c>
      <c r="BN221">
        <v>80.48</v>
      </c>
      <c r="BO221">
        <v>80.48</v>
      </c>
      <c r="BQ221" t="s">
        <v>690</v>
      </c>
      <c r="BR221" t="s">
        <v>84</v>
      </c>
      <c r="BS221" s="3">
        <v>45811</v>
      </c>
      <c r="BT221" s="4">
        <v>0.35</v>
      </c>
      <c r="BU221" t="s">
        <v>691</v>
      </c>
      <c r="BV221" t="s">
        <v>86</v>
      </c>
      <c r="BY221">
        <v>5320</v>
      </c>
      <c r="BZ221" t="s">
        <v>87</v>
      </c>
      <c r="CA221" t="s">
        <v>235</v>
      </c>
      <c r="CC221" t="s">
        <v>101</v>
      </c>
      <c r="CD221">
        <v>6001</v>
      </c>
      <c r="CE221" t="s">
        <v>180</v>
      </c>
      <c r="CF221" s="3">
        <v>45811</v>
      </c>
      <c r="CI221">
        <v>1</v>
      </c>
      <c r="CJ221">
        <v>1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"080065711192"</f>
        <v>080065711192</v>
      </c>
      <c r="F222" s="3">
        <v>45810</v>
      </c>
      <c r="G222">
        <v>202603</v>
      </c>
      <c r="H222" t="s">
        <v>75</v>
      </c>
      <c r="I222" t="s">
        <v>76</v>
      </c>
      <c r="J222" t="s">
        <v>77</v>
      </c>
      <c r="K222" t="s">
        <v>78</v>
      </c>
      <c r="L222" t="s">
        <v>75</v>
      </c>
      <c r="M222" t="s">
        <v>76</v>
      </c>
      <c r="N222" t="s">
        <v>692</v>
      </c>
      <c r="O222" t="s">
        <v>82</v>
      </c>
      <c r="P222" t="str">
        <f>"4170041775                    "</f>
        <v xml:space="preserve">4170041775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16.7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</v>
      </c>
      <c r="BJ222">
        <v>3.5</v>
      </c>
      <c r="BK222">
        <v>4</v>
      </c>
      <c r="BL222">
        <v>54.66</v>
      </c>
      <c r="BM222">
        <v>8.1999999999999993</v>
      </c>
      <c r="BN222">
        <v>62.86</v>
      </c>
      <c r="BO222">
        <v>62.86</v>
      </c>
      <c r="BQ222" t="s">
        <v>693</v>
      </c>
      <c r="BR222" t="s">
        <v>84</v>
      </c>
      <c r="BS222" s="3">
        <v>45811</v>
      </c>
      <c r="BT222" s="4">
        <v>0.39027777777777778</v>
      </c>
      <c r="BU222" t="s">
        <v>694</v>
      </c>
      <c r="BV222" t="s">
        <v>86</v>
      </c>
      <c r="BY222">
        <v>17280</v>
      </c>
      <c r="BZ222" t="s">
        <v>87</v>
      </c>
      <c r="CA222" t="s">
        <v>193</v>
      </c>
      <c r="CC222" t="s">
        <v>76</v>
      </c>
      <c r="CD222">
        <v>1601</v>
      </c>
      <c r="CE222" t="s">
        <v>99</v>
      </c>
      <c r="CF222" s="3">
        <v>45811</v>
      </c>
      <c r="CI222">
        <v>1</v>
      </c>
      <c r="CJ222">
        <v>1</v>
      </c>
      <c r="CK222">
        <v>22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"080065711258"</f>
        <v>080065711258</v>
      </c>
      <c r="F223" s="3">
        <v>45810</v>
      </c>
      <c r="G223">
        <v>202603</v>
      </c>
      <c r="H223" t="s">
        <v>75</v>
      </c>
      <c r="I223" t="s">
        <v>76</v>
      </c>
      <c r="J223" t="s">
        <v>77</v>
      </c>
      <c r="K223" t="s">
        <v>78</v>
      </c>
      <c r="L223" t="s">
        <v>695</v>
      </c>
      <c r="M223" t="s">
        <v>696</v>
      </c>
      <c r="N223" t="s">
        <v>697</v>
      </c>
      <c r="O223" t="s">
        <v>82</v>
      </c>
      <c r="P223" t="str">
        <f>"4170041839                    "</f>
        <v xml:space="preserve">4170041839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41.43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</v>
      </c>
      <c r="BJ223">
        <v>0.9</v>
      </c>
      <c r="BK223">
        <v>2</v>
      </c>
      <c r="BL223">
        <v>135.59</v>
      </c>
      <c r="BM223">
        <v>20.34</v>
      </c>
      <c r="BN223">
        <v>155.93</v>
      </c>
      <c r="BO223">
        <v>155.93</v>
      </c>
      <c r="BQ223" t="s">
        <v>698</v>
      </c>
      <c r="BR223" t="s">
        <v>84</v>
      </c>
      <c r="BS223" s="3">
        <v>45811</v>
      </c>
      <c r="BT223" s="4">
        <v>0.58263888888888893</v>
      </c>
      <c r="BU223" t="s">
        <v>699</v>
      </c>
      <c r="BV223" t="s">
        <v>86</v>
      </c>
      <c r="BY223">
        <v>4275</v>
      </c>
      <c r="BZ223" t="s">
        <v>87</v>
      </c>
      <c r="CA223" t="s">
        <v>700</v>
      </c>
      <c r="CC223" t="s">
        <v>696</v>
      </c>
      <c r="CD223">
        <v>1389</v>
      </c>
      <c r="CE223" t="s">
        <v>99</v>
      </c>
      <c r="CF223" s="3">
        <v>45811</v>
      </c>
      <c r="CI223">
        <v>1</v>
      </c>
      <c r="CJ223">
        <v>1</v>
      </c>
      <c r="CK223">
        <v>23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"080065711354"</f>
        <v>080065711354</v>
      </c>
      <c r="F224" s="3">
        <v>45810</v>
      </c>
      <c r="G224">
        <v>202603</v>
      </c>
      <c r="H224" t="s">
        <v>75</v>
      </c>
      <c r="I224" t="s">
        <v>76</v>
      </c>
      <c r="J224" t="s">
        <v>77</v>
      </c>
      <c r="K224" t="s">
        <v>78</v>
      </c>
      <c r="L224" t="s">
        <v>100</v>
      </c>
      <c r="M224" t="s">
        <v>101</v>
      </c>
      <c r="N224" t="s">
        <v>123</v>
      </c>
      <c r="O224" t="s">
        <v>82</v>
      </c>
      <c r="P224" t="str">
        <f>"4170041807                    "</f>
        <v xml:space="preserve">4170041807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149.58000000000001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14</v>
      </c>
      <c r="BJ224">
        <v>9</v>
      </c>
      <c r="BK224">
        <v>14</v>
      </c>
      <c r="BL224">
        <v>489.54</v>
      </c>
      <c r="BM224">
        <v>73.430000000000007</v>
      </c>
      <c r="BN224">
        <v>562.97</v>
      </c>
      <c r="BO224">
        <v>562.97</v>
      </c>
      <c r="BQ224" t="s">
        <v>124</v>
      </c>
      <c r="BR224" t="s">
        <v>84</v>
      </c>
      <c r="BS224" s="3">
        <v>45812</v>
      </c>
      <c r="BT224" s="4">
        <v>0.38680555555555557</v>
      </c>
      <c r="BU224" t="s">
        <v>688</v>
      </c>
      <c r="BV224" t="s">
        <v>90</v>
      </c>
      <c r="BY224">
        <v>45020</v>
      </c>
      <c r="BZ224" t="s">
        <v>87</v>
      </c>
      <c r="CA224" t="s">
        <v>235</v>
      </c>
      <c r="CC224" t="s">
        <v>101</v>
      </c>
      <c r="CD224">
        <v>6001</v>
      </c>
      <c r="CE224" t="s">
        <v>99</v>
      </c>
      <c r="CF224" s="3">
        <v>45812</v>
      </c>
      <c r="CI224">
        <v>1</v>
      </c>
      <c r="CJ224">
        <v>2</v>
      </c>
      <c r="CK224">
        <v>21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"080065711417"</f>
        <v>080065711417</v>
      </c>
      <c r="F225" s="3">
        <v>45810</v>
      </c>
      <c r="G225">
        <v>202603</v>
      </c>
      <c r="H225" t="s">
        <v>75</v>
      </c>
      <c r="I225" t="s">
        <v>76</v>
      </c>
      <c r="J225" t="s">
        <v>77</v>
      </c>
      <c r="K225" t="s">
        <v>78</v>
      </c>
      <c r="L225" t="s">
        <v>701</v>
      </c>
      <c r="M225" t="s">
        <v>702</v>
      </c>
      <c r="N225" t="s">
        <v>703</v>
      </c>
      <c r="O225" t="s">
        <v>94</v>
      </c>
      <c r="P225" t="str">
        <f>"4170041858                    "</f>
        <v xml:space="preserve">4170041858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126.83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38</v>
      </c>
      <c r="BJ225">
        <v>32.200000000000003</v>
      </c>
      <c r="BK225">
        <v>38</v>
      </c>
      <c r="BL225">
        <v>420.66</v>
      </c>
      <c r="BM225">
        <v>63.1</v>
      </c>
      <c r="BN225">
        <v>483.76</v>
      </c>
      <c r="BO225">
        <v>483.76</v>
      </c>
      <c r="BQ225" t="s">
        <v>704</v>
      </c>
      <c r="BR225" t="s">
        <v>84</v>
      </c>
      <c r="BS225" s="3">
        <v>45811</v>
      </c>
      <c r="BT225" s="4">
        <v>0.43333333333333335</v>
      </c>
      <c r="BU225" t="s">
        <v>705</v>
      </c>
      <c r="BV225" t="s">
        <v>86</v>
      </c>
      <c r="BY225">
        <v>161100</v>
      </c>
      <c r="BZ225" t="s">
        <v>97</v>
      </c>
      <c r="CA225" t="s">
        <v>706</v>
      </c>
      <c r="CC225" t="s">
        <v>702</v>
      </c>
      <c r="CD225">
        <v>2302</v>
      </c>
      <c r="CE225" t="s">
        <v>99</v>
      </c>
      <c r="CF225" s="3">
        <v>45812</v>
      </c>
      <c r="CI225">
        <v>1</v>
      </c>
      <c r="CJ225">
        <v>1</v>
      </c>
      <c r="CK225">
        <v>43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"080011532356"</f>
        <v>080011532356</v>
      </c>
      <c r="F226" s="3">
        <v>45811</v>
      </c>
      <c r="G226">
        <v>202603</v>
      </c>
      <c r="H226" t="s">
        <v>116</v>
      </c>
      <c r="I226" t="s">
        <v>117</v>
      </c>
      <c r="J226" t="s">
        <v>707</v>
      </c>
      <c r="K226" t="s">
        <v>78</v>
      </c>
      <c r="L226" t="s">
        <v>75</v>
      </c>
      <c r="M226" t="s">
        <v>76</v>
      </c>
      <c r="N226" t="s">
        <v>188</v>
      </c>
      <c r="O226" t="s">
        <v>82</v>
      </c>
      <c r="P226" t="str">
        <f>"ZA1001387635                  "</f>
        <v xml:space="preserve">ZA1001387635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53.43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</v>
      </c>
      <c r="BJ226">
        <v>4.8</v>
      </c>
      <c r="BK226">
        <v>5</v>
      </c>
      <c r="BL226">
        <v>174.87</v>
      </c>
      <c r="BM226">
        <v>26.23</v>
      </c>
      <c r="BN226">
        <v>201.1</v>
      </c>
      <c r="BO226">
        <v>201.1</v>
      </c>
      <c r="BP226" t="s">
        <v>189</v>
      </c>
      <c r="BQ226" t="s">
        <v>190</v>
      </c>
      <c r="BR226" t="s">
        <v>708</v>
      </c>
      <c r="BS226" s="3">
        <v>45812</v>
      </c>
      <c r="BT226" s="4">
        <v>0.375</v>
      </c>
      <c r="BU226" t="s">
        <v>192</v>
      </c>
      <c r="BV226" t="s">
        <v>86</v>
      </c>
      <c r="BY226">
        <v>24000</v>
      </c>
      <c r="BZ226" t="s">
        <v>87</v>
      </c>
      <c r="CA226" t="s">
        <v>193</v>
      </c>
      <c r="CC226" t="s">
        <v>76</v>
      </c>
      <c r="CD226">
        <v>1619</v>
      </c>
      <c r="CE226" t="s">
        <v>194</v>
      </c>
      <c r="CF226" s="3">
        <v>45812</v>
      </c>
      <c r="CI226">
        <v>1</v>
      </c>
      <c r="CJ226">
        <v>1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"080065723595"</f>
        <v>080065723595</v>
      </c>
      <c r="F227" s="3">
        <v>45811</v>
      </c>
      <c r="G227">
        <v>202603</v>
      </c>
      <c r="H227" t="s">
        <v>75</v>
      </c>
      <c r="I227" t="s">
        <v>76</v>
      </c>
      <c r="J227" t="s">
        <v>77</v>
      </c>
      <c r="K227" t="s">
        <v>78</v>
      </c>
      <c r="L227" t="s">
        <v>100</v>
      </c>
      <c r="M227" t="s">
        <v>101</v>
      </c>
      <c r="N227" t="s">
        <v>102</v>
      </c>
      <c r="O227" t="s">
        <v>94</v>
      </c>
      <c r="P227" t="str">
        <f>"4170041809                    "</f>
        <v xml:space="preserve">4170041809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247.92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5</v>
      </c>
      <c r="BI227">
        <v>136</v>
      </c>
      <c r="BJ227">
        <v>98.8</v>
      </c>
      <c r="BK227">
        <v>136</v>
      </c>
      <c r="BL227">
        <v>816.95</v>
      </c>
      <c r="BM227">
        <v>122.54</v>
      </c>
      <c r="BN227">
        <v>939.49</v>
      </c>
      <c r="BO227">
        <v>939.49</v>
      </c>
      <c r="BQ227" t="s">
        <v>103</v>
      </c>
      <c r="BR227" t="s">
        <v>84</v>
      </c>
      <c r="BS227" s="3">
        <v>45818</v>
      </c>
      <c r="BT227" s="4">
        <v>0.38263888888888886</v>
      </c>
      <c r="BU227" t="s">
        <v>709</v>
      </c>
      <c r="BV227" t="s">
        <v>90</v>
      </c>
      <c r="BW227" t="s">
        <v>416</v>
      </c>
      <c r="BX227" t="s">
        <v>614</v>
      </c>
      <c r="BY227">
        <v>360684</v>
      </c>
      <c r="CA227" t="s">
        <v>283</v>
      </c>
      <c r="CC227" t="s">
        <v>101</v>
      </c>
      <c r="CD227">
        <v>6056</v>
      </c>
      <c r="CE227" t="s">
        <v>122</v>
      </c>
      <c r="CF227" s="3">
        <v>45818</v>
      </c>
      <c r="CI227">
        <v>3</v>
      </c>
      <c r="CJ227">
        <v>5</v>
      </c>
      <c r="CK227">
        <v>41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"080065724352"</f>
        <v>080065724352</v>
      </c>
      <c r="F228" s="3">
        <v>45811</v>
      </c>
      <c r="G228">
        <v>202603</v>
      </c>
      <c r="H228" t="s">
        <v>75</v>
      </c>
      <c r="I228" t="s">
        <v>76</v>
      </c>
      <c r="J228" t="s">
        <v>77</v>
      </c>
      <c r="K228" t="s">
        <v>78</v>
      </c>
      <c r="L228" t="s">
        <v>116</v>
      </c>
      <c r="M228" t="s">
        <v>117</v>
      </c>
      <c r="N228" t="s">
        <v>183</v>
      </c>
      <c r="O228" t="s">
        <v>82</v>
      </c>
      <c r="P228" t="str">
        <f>"4170041907                    "</f>
        <v xml:space="preserve">4170041907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64.12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</v>
      </c>
      <c r="BJ228">
        <v>5.7</v>
      </c>
      <c r="BK228">
        <v>6</v>
      </c>
      <c r="BL228">
        <v>209.84</v>
      </c>
      <c r="BM228">
        <v>31.48</v>
      </c>
      <c r="BN228">
        <v>241.32</v>
      </c>
      <c r="BO228">
        <v>241.32</v>
      </c>
      <c r="BQ228" t="s">
        <v>184</v>
      </c>
      <c r="BR228" t="s">
        <v>84</v>
      </c>
      <c r="BS228" s="3">
        <v>45812</v>
      </c>
      <c r="BT228" s="4">
        <v>0.41666666666666669</v>
      </c>
      <c r="BU228" t="s">
        <v>185</v>
      </c>
      <c r="BV228" t="s">
        <v>86</v>
      </c>
      <c r="BY228">
        <v>28275</v>
      </c>
      <c r="BZ228" t="s">
        <v>87</v>
      </c>
      <c r="CA228" t="s">
        <v>186</v>
      </c>
      <c r="CC228" t="s">
        <v>117</v>
      </c>
      <c r="CD228">
        <v>3212</v>
      </c>
      <c r="CE228" t="s">
        <v>99</v>
      </c>
      <c r="CF228" s="3">
        <v>45813</v>
      </c>
      <c r="CI228">
        <v>2</v>
      </c>
      <c r="CJ228">
        <v>1</v>
      </c>
      <c r="CK228">
        <v>21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"080065724408"</f>
        <v>080065724408</v>
      </c>
      <c r="F229" s="3">
        <v>45811</v>
      </c>
      <c r="G229">
        <v>202603</v>
      </c>
      <c r="H229" t="s">
        <v>75</v>
      </c>
      <c r="I229" t="s">
        <v>76</v>
      </c>
      <c r="J229" t="s">
        <v>77</v>
      </c>
      <c r="K229" t="s">
        <v>78</v>
      </c>
      <c r="L229" t="s">
        <v>224</v>
      </c>
      <c r="M229" t="s">
        <v>225</v>
      </c>
      <c r="N229" t="s">
        <v>226</v>
      </c>
      <c r="O229" t="s">
        <v>82</v>
      </c>
      <c r="P229" t="str">
        <f>"4170041914                    "</f>
        <v xml:space="preserve">4170041914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41.43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1.1000000000000001</v>
      </c>
      <c r="BK229">
        <v>1.5</v>
      </c>
      <c r="BL229">
        <v>135.59</v>
      </c>
      <c r="BM229">
        <v>20.34</v>
      </c>
      <c r="BN229">
        <v>155.93</v>
      </c>
      <c r="BO229">
        <v>155.93</v>
      </c>
      <c r="BQ229" t="s">
        <v>227</v>
      </c>
      <c r="BR229" t="s">
        <v>84</v>
      </c>
      <c r="BS229" s="3">
        <v>45812</v>
      </c>
      <c r="BT229" s="4">
        <v>0.58194444444444449</v>
      </c>
      <c r="BU229" t="s">
        <v>228</v>
      </c>
      <c r="BV229" t="s">
        <v>86</v>
      </c>
      <c r="BY229">
        <v>5472</v>
      </c>
      <c r="BZ229" t="s">
        <v>87</v>
      </c>
      <c r="CA229" t="s">
        <v>229</v>
      </c>
      <c r="CC229" t="s">
        <v>225</v>
      </c>
      <c r="CD229">
        <v>6300</v>
      </c>
      <c r="CE229" t="s">
        <v>166</v>
      </c>
      <c r="CF229" s="3">
        <v>45812</v>
      </c>
      <c r="CI229">
        <v>2</v>
      </c>
      <c r="CJ229">
        <v>1</v>
      </c>
      <c r="CK229">
        <v>23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"080065724511"</f>
        <v>080065724511</v>
      </c>
      <c r="F230" s="3">
        <v>45811</v>
      </c>
      <c r="G230">
        <v>202603</v>
      </c>
      <c r="H230" t="s">
        <v>75</v>
      </c>
      <c r="I230" t="s">
        <v>76</v>
      </c>
      <c r="J230" t="s">
        <v>77</v>
      </c>
      <c r="K230" t="s">
        <v>78</v>
      </c>
      <c r="L230" t="s">
        <v>154</v>
      </c>
      <c r="M230" t="s">
        <v>154</v>
      </c>
      <c r="N230" t="s">
        <v>530</v>
      </c>
      <c r="O230" t="s">
        <v>82</v>
      </c>
      <c r="P230" t="str">
        <f>"4170041912                    "</f>
        <v xml:space="preserve">4170041912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41.43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135.59</v>
      </c>
      <c r="BM230">
        <v>20.34</v>
      </c>
      <c r="BN230">
        <v>155.93</v>
      </c>
      <c r="BO230">
        <v>155.93</v>
      </c>
      <c r="BQ230" t="s">
        <v>531</v>
      </c>
      <c r="BR230" t="s">
        <v>84</v>
      </c>
      <c r="BS230" s="3">
        <v>45812</v>
      </c>
      <c r="BT230" s="4">
        <v>0.52430555555555558</v>
      </c>
      <c r="BU230" t="s">
        <v>532</v>
      </c>
      <c r="BV230" t="s">
        <v>86</v>
      </c>
      <c r="BY230">
        <v>1200</v>
      </c>
      <c r="BZ230" t="s">
        <v>87</v>
      </c>
      <c r="CA230" t="s">
        <v>158</v>
      </c>
      <c r="CC230" t="s">
        <v>154</v>
      </c>
      <c r="CD230">
        <v>7646</v>
      </c>
      <c r="CE230" t="s">
        <v>89</v>
      </c>
      <c r="CF230" s="3">
        <v>45813</v>
      </c>
      <c r="CI230">
        <v>1</v>
      </c>
      <c r="CJ230">
        <v>1</v>
      </c>
      <c r="CK230">
        <v>23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"080065724843"</f>
        <v>080065724843</v>
      </c>
      <c r="F231" s="3">
        <v>45811</v>
      </c>
      <c r="G231">
        <v>202603</v>
      </c>
      <c r="H231" t="s">
        <v>75</v>
      </c>
      <c r="I231" t="s">
        <v>76</v>
      </c>
      <c r="J231" t="s">
        <v>77</v>
      </c>
      <c r="K231" t="s">
        <v>78</v>
      </c>
      <c r="L231" t="s">
        <v>710</v>
      </c>
      <c r="M231" t="s">
        <v>711</v>
      </c>
      <c r="N231" t="s">
        <v>712</v>
      </c>
      <c r="O231" t="s">
        <v>82</v>
      </c>
      <c r="P231" t="str">
        <f>"4170041665                    "</f>
        <v xml:space="preserve">4170041665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53.43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4</v>
      </c>
      <c r="BJ231">
        <v>5</v>
      </c>
      <c r="BK231">
        <v>5</v>
      </c>
      <c r="BL231">
        <v>174.87</v>
      </c>
      <c r="BM231">
        <v>26.23</v>
      </c>
      <c r="BN231">
        <v>201.1</v>
      </c>
      <c r="BO231">
        <v>201.1</v>
      </c>
      <c r="BQ231" t="s">
        <v>713</v>
      </c>
      <c r="BR231" t="s">
        <v>84</v>
      </c>
      <c r="BS231" s="3">
        <v>45812</v>
      </c>
      <c r="BT231" s="4">
        <v>0.375</v>
      </c>
      <c r="BU231" t="s">
        <v>714</v>
      </c>
      <c r="BV231" t="s">
        <v>86</v>
      </c>
      <c r="BY231">
        <v>25200</v>
      </c>
      <c r="BZ231" t="s">
        <v>87</v>
      </c>
      <c r="CA231" t="s">
        <v>715</v>
      </c>
      <c r="CC231" t="s">
        <v>711</v>
      </c>
      <c r="CD231">
        <v>7600</v>
      </c>
      <c r="CE231" t="s">
        <v>166</v>
      </c>
      <c r="CF231" s="3">
        <v>45813</v>
      </c>
      <c r="CI231">
        <v>1</v>
      </c>
      <c r="CJ231">
        <v>1</v>
      </c>
      <c r="CK231">
        <v>21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"080065724889"</f>
        <v>080065724889</v>
      </c>
      <c r="F232" s="3">
        <v>45811</v>
      </c>
      <c r="G232">
        <v>202603</v>
      </c>
      <c r="H232" t="s">
        <v>75</v>
      </c>
      <c r="I232" t="s">
        <v>76</v>
      </c>
      <c r="J232" t="s">
        <v>77</v>
      </c>
      <c r="K232" t="s">
        <v>78</v>
      </c>
      <c r="L232" t="s">
        <v>331</v>
      </c>
      <c r="M232" t="s">
        <v>332</v>
      </c>
      <c r="N232" t="s">
        <v>333</v>
      </c>
      <c r="O232" t="s">
        <v>82</v>
      </c>
      <c r="P232" t="str">
        <f>"4170042005                    "</f>
        <v xml:space="preserve">4170042005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21.38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1.3</v>
      </c>
      <c r="BK232">
        <v>1.5</v>
      </c>
      <c r="BL232">
        <v>69.98</v>
      </c>
      <c r="BM232">
        <v>10.5</v>
      </c>
      <c r="BN232">
        <v>80.48</v>
      </c>
      <c r="BO232">
        <v>80.48</v>
      </c>
      <c r="BQ232" t="s">
        <v>334</v>
      </c>
      <c r="BR232" t="s">
        <v>84</v>
      </c>
      <c r="BS232" s="3">
        <v>45812</v>
      </c>
      <c r="BT232" s="4">
        <v>0.33124999999999999</v>
      </c>
      <c r="BU232" t="s">
        <v>716</v>
      </c>
      <c r="BV232" t="s">
        <v>86</v>
      </c>
      <c r="BY232">
        <v>6384</v>
      </c>
      <c r="BZ232" t="s">
        <v>87</v>
      </c>
      <c r="CA232" t="s">
        <v>336</v>
      </c>
      <c r="CC232" t="s">
        <v>332</v>
      </c>
      <c r="CD232">
        <v>4051</v>
      </c>
      <c r="CE232" t="s">
        <v>180</v>
      </c>
      <c r="CF232" s="3">
        <v>45812</v>
      </c>
      <c r="CI232">
        <v>1</v>
      </c>
      <c r="CJ232">
        <v>1</v>
      </c>
      <c r="CK232">
        <v>21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"080065724938"</f>
        <v>080065724938</v>
      </c>
      <c r="F233" s="3">
        <v>45811</v>
      </c>
      <c r="G233">
        <v>202603</v>
      </c>
      <c r="H233" t="s">
        <v>75</v>
      </c>
      <c r="I233" t="s">
        <v>76</v>
      </c>
      <c r="J233" t="s">
        <v>77</v>
      </c>
      <c r="K233" t="s">
        <v>78</v>
      </c>
      <c r="L233" t="s">
        <v>79</v>
      </c>
      <c r="M233" t="s">
        <v>80</v>
      </c>
      <c r="N233" t="s">
        <v>717</v>
      </c>
      <c r="O233" t="s">
        <v>82</v>
      </c>
      <c r="P233" t="str">
        <f>"4170041965                    "</f>
        <v xml:space="preserve">4170041965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30.07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98.42</v>
      </c>
      <c r="BM233">
        <v>14.76</v>
      </c>
      <c r="BN233">
        <v>113.18</v>
      </c>
      <c r="BO233">
        <v>113.18</v>
      </c>
      <c r="BQ233" t="s">
        <v>718</v>
      </c>
      <c r="BR233" t="s">
        <v>84</v>
      </c>
      <c r="BS233" s="3">
        <v>45812</v>
      </c>
      <c r="BT233" s="4">
        <v>0.46041666666666664</v>
      </c>
      <c r="BU233" t="s">
        <v>719</v>
      </c>
      <c r="BV233" t="s">
        <v>86</v>
      </c>
      <c r="BY233">
        <v>1200</v>
      </c>
      <c r="BZ233" t="s">
        <v>87</v>
      </c>
      <c r="CA233" t="s">
        <v>720</v>
      </c>
      <c r="CC233" t="s">
        <v>80</v>
      </c>
      <c r="CD233">
        <v>1754</v>
      </c>
      <c r="CE233" t="s">
        <v>89</v>
      </c>
      <c r="CF233" s="3">
        <v>45813</v>
      </c>
      <c r="CI233">
        <v>1</v>
      </c>
      <c r="CJ233">
        <v>1</v>
      </c>
      <c r="CK233">
        <v>24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"080065726282"</f>
        <v>080065726282</v>
      </c>
      <c r="F234" s="3">
        <v>45811</v>
      </c>
      <c r="G234">
        <v>202603</v>
      </c>
      <c r="H234" t="s">
        <v>75</v>
      </c>
      <c r="I234" t="s">
        <v>76</v>
      </c>
      <c r="J234" t="s">
        <v>77</v>
      </c>
      <c r="K234" t="s">
        <v>78</v>
      </c>
      <c r="L234" t="s">
        <v>174</v>
      </c>
      <c r="M234" t="s">
        <v>175</v>
      </c>
      <c r="N234" t="s">
        <v>299</v>
      </c>
      <c r="O234" t="s">
        <v>82</v>
      </c>
      <c r="P234" t="str">
        <f>"4170041977                    "</f>
        <v xml:space="preserve">4170041977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21.38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69.98</v>
      </c>
      <c r="BM234">
        <v>10.5</v>
      </c>
      <c r="BN234">
        <v>80.48</v>
      </c>
      <c r="BO234">
        <v>80.48</v>
      </c>
      <c r="BQ234" t="s">
        <v>300</v>
      </c>
      <c r="BR234" t="s">
        <v>84</v>
      </c>
      <c r="BS234" s="3">
        <v>45812</v>
      </c>
      <c r="BT234" s="4">
        <v>0.78888888888888886</v>
      </c>
      <c r="BU234" t="s">
        <v>721</v>
      </c>
      <c r="BV234" t="s">
        <v>90</v>
      </c>
      <c r="BW234" t="s">
        <v>212</v>
      </c>
      <c r="BX234" t="s">
        <v>213</v>
      </c>
      <c r="BY234">
        <v>1200</v>
      </c>
      <c r="BZ234" t="s">
        <v>87</v>
      </c>
      <c r="CA234" t="s">
        <v>722</v>
      </c>
      <c r="CC234" t="s">
        <v>175</v>
      </c>
      <c r="CD234">
        <v>3600</v>
      </c>
      <c r="CE234" t="s">
        <v>89</v>
      </c>
      <c r="CF234" s="3">
        <v>45813</v>
      </c>
      <c r="CI234">
        <v>1</v>
      </c>
      <c r="CJ234">
        <v>1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"080065726304"</f>
        <v>080065726304</v>
      </c>
      <c r="F235" s="3">
        <v>45811</v>
      </c>
      <c r="G235">
        <v>202603</v>
      </c>
      <c r="H235" t="s">
        <v>75</v>
      </c>
      <c r="I235" t="s">
        <v>76</v>
      </c>
      <c r="J235" t="s">
        <v>77</v>
      </c>
      <c r="K235" t="s">
        <v>78</v>
      </c>
      <c r="L235" t="s">
        <v>663</v>
      </c>
      <c r="M235" t="s">
        <v>664</v>
      </c>
      <c r="N235" t="s">
        <v>723</v>
      </c>
      <c r="O235" t="s">
        <v>82</v>
      </c>
      <c r="P235" t="str">
        <f>"4170041980                    "</f>
        <v xml:space="preserve">4170041980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41.43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135.59</v>
      </c>
      <c r="BM235">
        <v>20.34</v>
      </c>
      <c r="BN235">
        <v>155.93</v>
      </c>
      <c r="BO235">
        <v>155.93</v>
      </c>
      <c r="BQ235" t="s">
        <v>724</v>
      </c>
      <c r="BR235" t="s">
        <v>84</v>
      </c>
      <c r="BS235" s="3">
        <v>45812</v>
      </c>
      <c r="BT235" s="4">
        <v>0.33958333333333335</v>
      </c>
      <c r="BU235" t="s">
        <v>725</v>
      </c>
      <c r="BV235" t="s">
        <v>86</v>
      </c>
      <c r="BY235">
        <v>1200</v>
      </c>
      <c r="BZ235" t="s">
        <v>87</v>
      </c>
      <c r="CC235" t="s">
        <v>664</v>
      </c>
      <c r="CD235">
        <v>1947</v>
      </c>
      <c r="CE235" t="s">
        <v>89</v>
      </c>
      <c r="CF235" s="3">
        <v>45813</v>
      </c>
      <c r="CI235">
        <v>1</v>
      </c>
      <c r="CJ235">
        <v>1</v>
      </c>
      <c r="CK235">
        <v>23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"080065726313"</f>
        <v>080065726313</v>
      </c>
      <c r="F236" s="3">
        <v>45811</v>
      </c>
      <c r="G236">
        <v>202603</v>
      </c>
      <c r="H236" t="s">
        <v>75</v>
      </c>
      <c r="I236" t="s">
        <v>76</v>
      </c>
      <c r="J236" t="s">
        <v>77</v>
      </c>
      <c r="K236" t="s">
        <v>78</v>
      </c>
      <c r="L236" t="s">
        <v>100</v>
      </c>
      <c r="M236" t="s">
        <v>101</v>
      </c>
      <c r="N236" t="s">
        <v>726</v>
      </c>
      <c r="O236" t="s">
        <v>82</v>
      </c>
      <c r="P236" t="str">
        <f>"4170041976                    "</f>
        <v xml:space="preserve">4170041976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21.38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0.9</v>
      </c>
      <c r="BK236">
        <v>1</v>
      </c>
      <c r="BL236">
        <v>69.98</v>
      </c>
      <c r="BM236">
        <v>10.5</v>
      </c>
      <c r="BN236">
        <v>80.48</v>
      </c>
      <c r="BO236">
        <v>80.48</v>
      </c>
      <c r="BQ236" t="s">
        <v>727</v>
      </c>
      <c r="BR236" t="s">
        <v>84</v>
      </c>
      <c r="BS236" s="3">
        <v>45812</v>
      </c>
      <c r="BT236" s="4">
        <v>0.43541666666666667</v>
      </c>
      <c r="BU236" t="s">
        <v>728</v>
      </c>
      <c r="BV236" t="s">
        <v>86</v>
      </c>
      <c r="BY236">
        <v>4275</v>
      </c>
      <c r="BZ236" t="s">
        <v>87</v>
      </c>
      <c r="CA236" t="s">
        <v>223</v>
      </c>
      <c r="CC236" t="s">
        <v>101</v>
      </c>
      <c r="CD236">
        <v>6001</v>
      </c>
      <c r="CE236" t="s">
        <v>180</v>
      </c>
      <c r="CF236" s="3">
        <v>45812</v>
      </c>
      <c r="CI236">
        <v>1</v>
      </c>
      <c r="CJ236">
        <v>1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"080065726347"</f>
        <v>080065726347</v>
      </c>
      <c r="F237" s="3">
        <v>45811</v>
      </c>
      <c r="G237">
        <v>202603</v>
      </c>
      <c r="H237" t="s">
        <v>75</v>
      </c>
      <c r="I237" t="s">
        <v>76</v>
      </c>
      <c r="J237" t="s">
        <v>77</v>
      </c>
      <c r="K237" t="s">
        <v>78</v>
      </c>
      <c r="L237" t="s">
        <v>130</v>
      </c>
      <c r="M237" t="s">
        <v>131</v>
      </c>
      <c r="N237" t="s">
        <v>729</v>
      </c>
      <c r="O237" t="s">
        <v>82</v>
      </c>
      <c r="P237" t="str">
        <f>"4170041981                    "</f>
        <v xml:space="preserve">4170041981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16.7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54.66</v>
      </c>
      <c r="BM237">
        <v>8.1999999999999993</v>
      </c>
      <c r="BN237">
        <v>62.86</v>
      </c>
      <c r="BO237">
        <v>62.86</v>
      </c>
      <c r="BQ237" t="s">
        <v>730</v>
      </c>
      <c r="BR237" t="s">
        <v>84</v>
      </c>
      <c r="BS237" s="3">
        <v>45812</v>
      </c>
      <c r="BT237" s="4">
        <v>0.37083333333333335</v>
      </c>
      <c r="BU237" t="s">
        <v>731</v>
      </c>
      <c r="BV237" t="s">
        <v>86</v>
      </c>
      <c r="BY237">
        <v>1200</v>
      </c>
      <c r="BZ237" t="s">
        <v>87</v>
      </c>
      <c r="CA237" t="s">
        <v>732</v>
      </c>
      <c r="CC237" t="s">
        <v>131</v>
      </c>
      <c r="CD237">
        <v>1459</v>
      </c>
      <c r="CE237" t="s">
        <v>89</v>
      </c>
      <c r="CF237" s="3">
        <v>45812</v>
      </c>
      <c r="CI237">
        <v>1</v>
      </c>
      <c r="CJ237">
        <v>1</v>
      </c>
      <c r="CK237">
        <v>22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"080065726355"</f>
        <v>080065726355</v>
      </c>
      <c r="F238" s="3">
        <v>45811</v>
      </c>
      <c r="G238">
        <v>202603</v>
      </c>
      <c r="H238" t="s">
        <v>75</v>
      </c>
      <c r="I238" t="s">
        <v>76</v>
      </c>
      <c r="J238" t="s">
        <v>77</v>
      </c>
      <c r="K238" t="s">
        <v>78</v>
      </c>
      <c r="L238" t="s">
        <v>302</v>
      </c>
      <c r="M238" t="s">
        <v>303</v>
      </c>
      <c r="N238" t="s">
        <v>304</v>
      </c>
      <c r="O238" t="s">
        <v>82</v>
      </c>
      <c r="P238" t="str">
        <f>"4170041910                    "</f>
        <v xml:space="preserve">4170041910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78.849999999999994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</v>
      </c>
      <c r="BJ238">
        <v>3.2</v>
      </c>
      <c r="BK238">
        <v>4</v>
      </c>
      <c r="BL238">
        <v>258.05</v>
      </c>
      <c r="BM238">
        <v>38.71</v>
      </c>
      <c r="BN238">
        <v>296.76</v>
      </c>
      <c r="BO238">
        <v>296.76</v>
      </c>
      <c r="BQ238" t="s">
        <v>305</v>
      </c>
      <c r="BR238" t="s">
        <v>84</v>
      </c>
      <c r="BS238" s="3">
        <v>45812</v>
      </c>
      <c r="BT238" s="4">
        <v>0.41875000000000001</v>
      </c>
      <c r="BU238" t="s">
        <v>733</v>
      </c>
      <c r="BV238" t="s">
        <v>86</v>
      </c>
      <c r="BY238">
        <v>15834</v>
      </c>
      <c r="BZ238" t="s">
        <v>87</v>
      </c>
      <c r="CC238" t="s">
        <v>303</v>
      </c>
      <c r="CD238">
        <v>299</v>
      </c>
      <c r="CE238" t="s">
        <v>99</v>
      </c>
      <c r="CF238" s="3">
        <v>45813</v>
      </c>
      <c r="CI238">
        <v>1</v>
      </c>
      <c r="CJ238">
        <v>1</v>
      </c>
      <c r="CK238">
        <v>23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"080065726415"</f>
        <v>080065726415</v>
      </c>
      <c r="F239" s="3">
        <v>45811</v>
      </c>
      <c r="G239">
        <v>202603</v>
      </c>
      <c r="H239" t="s">
        <v>75</v>
      </c>
      <c r="I239" t="s">
        <v>76</v>
      </c>
      <c r="J239" t="s">
        <v>77</v>
      </c>
      <c r="K239" t="s">
        <v>78</v>
      </c>
      <c r="L239" t="s">
        <v>130</v>
      </c>
      <c r="M239" t="s">
        <v>131</v>
      </c>
      <c r="N239" t="s">
        <v>734</v>
      </c>
      <c r="O239" t="s">
        <v>82</v>
      </c>
      <c r="P239" t="str">
        <f>"4170041951                    "</f>
        <v xml:space="preserve">4170041951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16.7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54.66</v>
      </c>
      <c r="BM239">
        <v>8.1999999999999993</v>
      </c>
      <c r="BN239">
        <v>62.86</v>
      </c>
      <c r="BO239">
        <v>62.86</v>
      </c>
      <c r="BQ239" t="s">
        <v>735</v>
      </c>
      <c r="BR239" t="s">
        <v>84</v>
      </c>
      <c r="BS239" s="3">
        <v>45812</v>
      </c>
      <c r="BT239" s="4">
        <v>0.40625</v>
      </c>
      <c r="BU239" t="s">
        <v>736</v>
      </c>
      <c r="BV239" t="s">
        <v>86</v>
      </c>
      <c r="BY239">
        <v>1200</v>
      </c>
      <c r="BZ239" t="s">
        <v>87</v>
      </c>
      <c r="CA239" t="s">
        <v>732</v>
      </c>
      <c r="CC239" t="s">
        <v>131</v>
      </c>
      <c r="CD239">
        <v>1459</v>
      </c>
      <c r="CE239" t="s">
        <v>89</v>
      </c>
      <c r="CF239" s="3">
        <v>45812</v>
      </c>
      <c r="CI239">
        <v>1</v>
      </c>
      <c r="CJ239">
        <v>1</v>
      </c>
      <c r="CK239">
        <v>22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"080065726418"</f>
        <v>080065726418</v>
      </c>
      <c r="F240" s="3">
        <v>45811</v>
      </c>
      <c r="G240">
        <v>202603</v>
      </c>
      <c r="H240" t="s">
        <v>75</v>
      </c>
      <c r="I240" t="s">
        <v>76</v>
      </c>
      <c r="J240" t="s">
        <v>77</v>
      </c>
      <c r="K240" t="s">
        <v>78</v>
      </c>
      <c r="L240" t="s">
        <v>311</v>
      </c>
      <c r="M240" t="s">
        <v>312</v>
      </c>
      <c r="N240" t="s">
        <v>313</v>
      </c>
      <c r="O240" t="s">
        <v>94</v>
      </c>
      <c r="P240" t="str">
        <f>"4170041982                    "</f>
        <v xml:space="preserve">4170041982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58.32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10</v>
      </c>
      <c r="BJ240">
        <v>5.4</v>
      </c>
      <c r="BK240">
        <v>10</v>
      </c>
      <c r="BL240">
        <v>196.44</v>
      </c>
      <c r="BM240">
        <v>29.47</v>
      </c>
      <c r="BN240">
        <v>225.91</v>
      </c>
      <c r="BO240">
        <v>225.91</v>
      </c>
      <c r="BQ240" t="s">
        <v>314</v>
      </c>
      <c r="BR240" t="s">
        <v>84</v>
      </c>
      <c r="BS240" s="3">
        <v>45812</v>
      </c>
      <c r="BT240" s="4">
        <v>0.55555555555555558</v>
      </c>
      <c r="BU240" t="s">
        <v>737</v>
      </c>
      <c r="BV240" t="s">
        <v>86</v>
      </c>
      <c r="BY240">
        <v>27144</v>
      </c>
      <c r="BZ240" t="s">
        <v>97</v>
      </c>
      <c r="CA240" t="s">
        <v>316</v>
      </c>
      <c r="CC240" t="s">
        <v>312</v>
      </c>
      <c r="CD240">
        <v>1028</v>
      </c>
      <c r="CE240" t="s">
        <v>738</v>
      </c>
      <c r="CF240" s="3">
        <v>45812</v>
      </c>
      <c r="CI240">
        <v>1</v>
      </c>
      <c r="CJ240">
        <v>1</v>
      </c>
      <c r="CK240">
        <v>43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"080065726438"</f>
        <v>080065726438</v>
      </c>
      <c r="F241" s="3">
        <v>45811</v>
      </c>
      <c r="G241">
        <v>202603</v>
      </c>
      <c r="H241" t="s">
        <v>75</v>
      </c>
      <c r="I241" t="s">
        <v>76</v>
      </c>
      <c r="J241" t="s">
        <v>77</v>
      </c>
      <c r="K241" t="s">
        <v>78</v>
      </c>
      <c r="L241" t="s">
        <v>461</v>
      </c>
      <c r="M241" t="s">
        <v>462</v>
      </c>
      <c r="N241" t="s">
        <v>463</v>
      </c>
      <c r="O241" t="s">
        <v>82</v>
      </c>
      <c r="P241" t="str">
        <f>"4170041970                    "</f>
        <v xml:space="preserve">4170041970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16.7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54.66</v>
      </c>
      <c r="BM241">
        <v>8.1999999999999993</v>
      </c>
      <c r="BN241">
        <v>62.86</v>
      </c>
      <c r="BO241">
        <v>62.86</v>
      </c>
      <c r="BQ241" t="s">
        <v>464</v>
      </c>
      <c r="BR241" t="s">
        <v>84</v>
      </c>
      <c r="BS241" s="3">
        <v>45812</v>
      </c>
      <c r="BT241" s="4">
        <v>0.43125000000000002</v>
      </c>
      <c r="BU241" t="s">
        <v>465</v>
      </c>
      <c r="BV241" t="s">
        <v>86</v>
      </c>
      <c r="BY241">
        <v>1200</v>
      </c>
      <c r="BZ241" t="s">
        <v>87</v>
      </c>
      <c r="CA241" t="s">
        <v>466</v>
      </c>
      <c r="CC241" t="s">
        <v>462</v>
      </c>
      <c r="CD241">
        <v>1682</v>
      </c>
      <c r="CE241" t="s">
        <v>89</v>
      </c>
      <c r="CF241" s="3">
        <v>45813</v>
      </c>
      <c r="CI241">
        <v>1</v>
      </c>
      <c r="CJ241">
        <v>1</v>
      </c>
      <c r="CK241">
        <v>22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"080065726458"</f>
        <v>080065726458</v>
      </c>
      <c r="F242" s="3">
        <v>45811</v>
      </c>
      <c r="G242">
        <v>202603</v>
      </c>
      <c r="H242" t="s">
        <v>75</v>
      </c>
      <c r="I242" t="s">
        <v>76</v>
      </c>
      <c r="J242" t="s">
        <v>77</v>
      </c>
      <c r="K242" t="s">
        <v>78</v>
      </c>
      <c r="L242" t="s">
        <v>79</v>
      </c>
      <c r="M242" t="s">
        <v>80</v>
      </c>
      <c r="N242" t="s">
        <v>236</v>
      </c>
      <c r="O242" t="s">
        <v>82</v>
      </c>
      <c r="P242" t="str">
        <f>"4170041898                    "</f>
        <v xml:space="preserve">4170041898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176.51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11</v>
      </c>
      <c r="BJ242">
        <v>12</v>
      </c>
      <c r="BK242">
        <v>12</v>
      </c>
      <c r="BL242">
        <v>577.66</v>
      </c>
      <c r="BM242">
        <v>86.65</v>
      </c>
      <c r="BN242">
        <v>664.31</v>
      </c>
      <c r="BO242">
        <v>664.31</v>
      </c>
      <c r="BQ242" t="s">
        <v>237</v>
      </c>
      <c r="BR242" t="s">
        <v>84</v>
      </c>
      <c r="BS242" s="3">
        <v>45812</v>
      </c>
      <c r="BT242" s="4">
        <v>0.4513888888888889</v>
      </c>
      <c r="BU242" t="s">
        <v>739</v>
      </c>
      <c r="BV242" t="s">
        <v>86</v>
      </c>
      <c r="BY242">
        <v>60000</v>
      </c>
      <c r="BZ242" t="s">
        <v>87</v>
      </c>
      <c r="CA242" t="s">
        <v>720</v>
      </c>
      <c r="CC242" t="s">
        <v>80</v>
      </c>
      <c r="CD242">
        <v>1754</v>
      </c>
      <c r="CE242" t="s">
        <v>99</v>
      </c>
      <c r="CF242" s="3">
        <v>45813</v>
      </c>
      <c r="CI242">
        <v>1</v>
      </c>
      <c r="CJ242">
        <v>1</v>
      </c>
      <c r="CK242">
        <v>24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"080065726467"</f>
        <v>080065726467</v>
      </c>
      <c r="F243" s="3">
        <v>45811</v>
      </c>
      <c r="G243">
        <v>202603</v>
      </c>
      <c r="H243" t="s">
        <v>75</v>
      </c>
      <c r="I243" t="s">
        <v>76</v>
      </c>
      <c r="J243" t="s">
        <v>77</v>
      </c>
      <c r="K243" t="s">
        <v>78</v>
      </c>
      <c r="L243" t="s">
        <v>159</v>
      </c>
      <c r="M243" t="s">
        <v>160</v>
      </c>
      <c r="N243" t="s">
        <v>740</v>
      </c>
      <c r="O243" t="s">
        <v>82</v>
      </c>
      <c r="P243" t="str">
        <f>"4170041998                    "</f>
        <v xml:space="preserve">4170041998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16.7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54.66</v>
      </c>
      <c r="BM243">
        <v>8.1999999999999993</v>
      </c>
      <c r="BN243">
        <v>62.86</v>
      </c>
      <c r="BO243">
        <v>62.86</v>
      </c>
      <c r="BQ243" t="s">
        <v>741</v>
      </c>
      <c r="BR243" t="s">
        <v>84</v>
      </c>
      <c r="BS243" s="3">
        <v>45812</v>
      </c>
      <c r="BT243" s="4">
        <v>0.35069444444444442</v>
      </c>
      <c r="BU243" t="s">
        <v>742</v>
      </c>
      <c r="BV243" t="s">
        <v>86</v>
      </c>
      <c r="BY243">
        <v>1200</v>
      </c>
      <c r="BZ243" t="s">
        <v>87</v>
      </c>
      <c r="CA243" t="s">
        <v>743</v>
      </c>
      <c r="CC243" t="s">
        <v>160</v>
      </c>
      <c r="CD243">
        <v>2042</v>
      </c>
      <c r="CE243" t="s">
        <v>89</v>
      </c>
      <c r="CF243" s="3">
        <v>45812</v>
      </c>
      <c r="CI243">
        <v>1</v>
      </c>
      <c r="CJ243">
        <v>1</v>
      </c>
      <c r="CK243">
        <v>22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"080065726497"</f>
        <v>080065726497</v>
      </c>
      <c r="F244" s="3">
        <v>45811</v>
      </c>
      <c r="G244">
        <v>202603</v>
      </c>
      <c r="H244" t="s">
        <v>75</v>
      </c>
      <c r="I244" t="s">
        <v>76</v>
      </c>
      <c r="J244" t="s">
        <v>77</v>
      </c>
      <c r="K244" t="s">
        <v>78</v>
      </c>
      <c r="L244" t="s">
        <v>106</v>
      </c>
      <c r="M244" t="s">
        <v>107</v>
      </c>
      <c r="N244" t="s">
        <v>744</v>
      </c>
      <c r="O244" t="s">
        <v>82</v>
      </c>
      <c r="P244" t="str">
        <f>"4170041942                    "</f>
        <v xml:space="preserve">4170041942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21.38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69.98</v>
      </c>
      <c r="BM244">
        <v>10.5</v>
      </c>
      <c r="BN244">
        <v>80.48</v>
      </c>
      <c r="BO244">
        <v>80.48</v>
      </c>
      <c r="BQ244" t="s">
        <v>745</v>
      </c>
      <c r="BR244" t="s">
        <v>84</v>
      </c>
      <c r="BS244" s="3">
        <v>45812</v>
      </c>
      <c r="BT244" s="4">
        <v>0.38750000000000001</v>
      </c>
      <c r="BU244" t="s">
        <v>746</v>
      </c>
      <c r="BV244" t="s">
        <v>86</v>
      </c>
      <c r="BY244">
        <v>1200</v>
      </c>
      <c r="BZ244" t="s">
        <v>87</v>
      </c>
      <c r="CA244" t="s">
        <v>747</v>
      </c>
      <c r="CC244" t="s">
        <v>107</v>
      </c>
      <c r="CD244">
        <v>117</v>
      </c>
      <c r="CE244" t="s">
        <v>89</v>
      </c>
      <c r="CF244" s="3">
        <v>45812</v>
      </c>
      <c r="CI244">
        <v>1</v>
      </c>
      <c r="CJ244">
        <v>1</v>
      </c>
      <c r="CK244">
        <v>21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"080065726505"</f>
        <v>080065726505</v>
      </c>
      <c r="F245" s="3">
        <v>45811</v>
      </c>
      <c r="G245">
        <v>202603</v>
      </c>
      <c r="H245" t="s">
        <v>75</v>
      </c>
      <c r="I245" t="s">
        <v>76</v>
      </c>
      <c r="J245" t="s">
        <v>77</v>
      </c>
      <c r="K245" t="s">
        <v>78</v>
      </c>
      <c r="L245" t="s">
        <v>100</v>
      </c>
      <c r="M245" t="s">
        <v>101</v>
      </c>
      <c r="N245" t="s">
        <v>726</v>
      </c>
      <c r="O245" t="s">
        <v>82</v>
      </c>
      <c r="P245" t="str">
        <f>"4170041975                    "</f>
        <v xml:space="preserve">4170041975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74.8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7</v>
      </c>
      <c r="BJ245">
        <v>4.8</v>
      </c>
      <c r="BK245">
        <v>7</v>
      </c>
      <c r="BL245">
        <v>244.8</v>
      </c>
      <c r="BM245">
        <v>36.72</v>
      </c>
      <c r="BN245">
        <v>281.52</v>
      </c>
      <c r="BO245">
        <v>281.52</v>
      </c>
      <c r="BQ245" t="s">
        <v>727</v>
      </c>
      <c r="BR245" t="s">
        <v>84</v>
      </c>
      <c r="BS245" s="3">
        <v>45812</v>
      </c>
      <c r="BT245" s="4">
        <v>0.4201388888888889</v>
      </c>
      <c r="BU245" t="s">
        <v>728</v>
      </c>
      <c r="BV245" t="s">
        <v>86</v>
      </c>
      <c r="BY245">
        <v>23751</v>
      </c>
      <c r="BZ245" t="s">
        <v>87</v>
      </c>
      <c r="CA245" t="s">
        <v>223</v>
      </c>
      <c r="CC245" t="s">
        <v>101</v>
      </c>
      <c r="CD245">
        <v>6001</v>
      </c>
      <c r="CE245" t="s">
        <v>99</v>
      </c>
      <c r="CF245" s="3">
        <v>45812</v>
      </c>
      <c r="CI245">
        <v>1</v>
      </c>
      <c r="CJ245">
        <v>1</v>
      </c>
      <c r="CK245">
        <v>21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"080065726551"</f>
        <v>080065726551</v>
      </c>
      <c r="F246" s="3">
        <v>45811</v>
      </c>
      <c r="G246">
        <v>202603</v>
      </c>
      <c r="H246" t="s">
        <v>75</v>
      </c>
      <c r="I246" t="s">
        <v>76</v>
      </c>
      <c r="J246" t="s">
        <v>77</v>
      </c>
      <c r="K246" t="s">
        <v>78</v>
      </c>
      <c r="L246" t="s">
        <v>91</v>
      </c>
      <c r="M246" t="s">
        <v>92</v>
      </c>
      <c r="N246" t="s">
        <v>236</v>
      </c>
      <c r="O246" t="s">
        <v>82</v>
      </c>
      <c r="P246" t="str">
        <f>"4170041923                    "</f>
        <v xml:space="preserve">4170041923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21.38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69.98</v>
      </c>
      <c r="BM246">
        <v>10.5</v>
      </c>
      <c r="BN246">
        <v>80.48</v>
      </c>
      <c r="BO246">
        <v>80.48</v>
      </c>
      <c r="BQ246" t="s">
        <v>237</v>
      </c>
      <c r="BR246" t="s">
        <v>84</v>
      </c>
      <c r="BS246" s="3">
        <v>45812</v>
      </c>
      <c r="BT246" s="4">
        <v>0.3840277777777778</v>
      </c>
      <c r="BU246" t="s">
        <v>748</v>
      </c>
      <c r="BV246" t="s">
        <v>86</v>
      </c>
      <c r="BY246">
        <v>1200</v>
      </c>
      <c r="BZ246" t="s">
        <v>87</v>
      </c>
      <c r="CA246" t="s">
        <v>749</v>
      </c>
      <c r="CC246" t="s">
        <v>92</v>
      </c>
      <c r="CD246">
        <v>7700</v>
      </c>
      <c r="CE246" t="s">
        <v>89</v>
      </c>
      <c r="CF246" s="3">
        <v>45813</v>
      </c>
      <c r="CI246">
        <v>1</v>
      </c>
      <c r="CJ246">
        <v>1</v>
      </c>
      <c r="CK246">
        <v>21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"080065726560"</f>
        <v>080065726560</v>
      </c>
      <c r="F247" s="3">
        <v>45811</v>
      </c>
      <c r="G247">
        <v>202603</v>
      </c>
      <c r="H247" t="s">
        <v>75</v>
      </c>
      <c r="I247" t="s">
        <v>76</v>
      </c>
      <c r="J247" t="s">
        <v>77</v>
      </c>
      <c r="K247" t="s">
        <v>78</v>
      </c>
      <c r="L247" t="s">
        <v>159</v>
      </c>
      <c r="M247" t="s">
        <v>160</v>
      </c>
      <c r="N247" t="s">
        <v>750</v>
      </c>
      <c r="O247" t="s">
        <v>82</v>
      </c>
      <c r="P247" t="str">
        <f>"4170042018                    "</f>
        <v xml:space="preserve">4170042018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16.7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1.9</v>
      </c>
      <c r="BK247">
        <v>2</v>
      </c>
      <c r="BL247">
        <v>54.66</v>
      </c>
      <c r="BM247">
        <v>8.1999999999999993</v>
      </c>
      <c r="BN247">
        <v>62.86</v>
      </c>
      <c r="BO247">
        <v>62.86</v>
      </c>
      <c r="BQ247" t="s">
        <v>751</v>
      </c>
      <c r="BR247" t="s">
        <v>84</v>
      </c>
      <c r="BS247" s="3">
        <v>45812</v>
      </c>
      <c r="BT247" s="4">
        <v>0.38194444444444442</v>
      </c>
      <c r="BU247" t="s">
        <v>752</v>
      </c>
      <c r="BV247" t="s">
        <v>86</v>
      </c>
      <c r="BY247">
        <v>9600</v>
      </c>
      <c r="BZ247" t="s">
        <v>87</v>
      </c>
      <c r="CA247" t="s">
        <v>233</v>
      </c>
      <c r="CC247" t="s">
        <v>160</v>
      </c>
      <c r="CD247">
        <v>2094</v>
      </c>
      <c r="CE247" t="s">
        <v>99</v>
      </c>
      <c r="CF247" s="3">
        <v>45812</v>
      </c>
      <c r="CI247">
        <v>1</v>
      </c>
      <c r="CJ247">
        <v>1</v>
      </c>
      <c r="CK247">
        <v>22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"080065726588"</f>
        <v>080065726588</v>
      </c>
      <c r="F248" s="3">
        <v>45811</v>
      </c>
      <c r="G248">
        <v>202603</v>
      </c>
      <c r="H248" t="s">
        <v>75</v>
      </c>
      <c r="I248" t="s">
        <v>76</v>
      </c>
      <c r="J248" t="s">
        <v>77</v>
      </c>
      <c r="K248" t="s">
        <v>78</v>
      </c>
      <c r="L248" t="s">
        <v>753</v>
      </c>
      <c r="M248" t="s">
        <v>754</v>
      </c>
      <c r="N248" t="s">
        <v>755</v>
      </c>
      <c r="O248" t="s">
        <v>82</v>
      </c>
      <c r="P248" t="str">
        <f>"4170042004                    "</f>
        <v xml:space="preserve">4170042004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41.43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135.59</v>
      </c>
      <c r="BM248">
        <v>20.34</v>
      </c>
      <c r="BN248">
        <v>155.93</v>
      </c>
      <c r="BO248">
        <v>155.93</v>
      </c>
      <c r="BQ248" t="s">
        <v>756</v>
      </c>
      <c r="BR248" t="s">
        <v>84</v>
      </c>
      <c r="BS248" s="3">
        <v>45812</v>
      </c>
      <c r="BT248" s="4">
        <v>0.41666666666666669</v>
      </c>
      <c r="BU248" t="s">
        <v>757</v>
      </c>
      <c r="BV248" t="s">
        <v>86</v>
      </c>
      <c r="BY248">
        <v>1200</v>
      </c>
      <c r="BZ248" t="s">
        <v>87</v>
      </c>
      <c r="CA248" t="s">
        <v>758</v>
      </c>
      <c r="CC248" t="s">
        <v>754</v>
      </c>
      <c r="CD248">
        <v>3290</v>
      </c>
      <c r="CE248" t="s">
        <v>89</v>
      </c>
      <c r="CF248" s="3">
        <v>45813</v>
      </c>
      <c r="CI248">
        <v>1</v>
      </c>
      <c r="CJ248">
        <v>1</v>
      </c>
      <c r="CK248">
        <v>23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"080065726613"</f>
        <v>080065726613</v>
      </c>
      <c r="F249" s="3">
        <v>45811</v>
      </c>
      <c r="G249">
        <v>202603</v>
      </c>
      <c r="H249" t="s">
        <v>75</v>
      </c>
      <c r="I249" t="s">
        <v>76</v>
      </c>
      <c r="J249" t="s">
        <v>77</v>
      </c>
      <c r="K249" t="s">
        <v>78</v>
      </c>
      <c r="L249" t="s">
        <v>331</v>
      </c>
      <c r="M249" t="s">
        <v>332</v>
      </c>
      <c r="N249" t="s">
        <v>333</v>
      </c>
      <c r="O249" t="s">
        <v>94</v>
      </c>
      <c r="P249" t="str">
        <f>"4170041987                    "</f>
        <v xml:space="preserve">4170041987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58.42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25</v>
      </c>
      <c r="BJ249">
        <v>8.9</v>
      </c>
      <c r="BK249">
        <v>25</v>
      </c>
      <c r="BL249">
        <v>196.77</v>
      </c>
      <c r="BM249">
        <v>29.52</v>
      </c>
      <c r="BN249">
        <v>226.29</v>
      </c>
      <c r="BO249">
        <v>226.29</v>
      </c>
      <c r="BQ249" t="s">
        <v>334</v>
      </c>
      <c r="BR249" t="s">
        <v>84</v>
      </c>
      <c r="BS249" s="3">
        <v>45812</v>
      </c>
      <c r="BT249" s="4">
        <v>0.33124999999999999</v>
      </c>
      <c r="BU249" t="s">
        <v>716</v>
      </c>
      <c r="BV249" t="s">
        <v>86</v>
      </c>
      <c r="BY249">
        <v>44640</v>
      </c>
      <c r="BZ249" t="s">
        <v>97</v>
      </c>
      <c r="CA249" t="s">
        <v>336</v>
      </c>
      <c r="CC249" t="s">
        <v>332</v>
      </c>
      <c r="CD249">
        <v>4051</v>
      </c>
      <c r="CE249" t="s">
        <v>99</v>
      </c>
      <c r="CF249" s="3">
        <v>45812</v>
      </c>
      <c r="CI249">
        <v>1</v>
      </c>
      <c r="CJ249">
        <v>1</v>
      </c>
      <c r="CK249">
        <v>41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"080065726647"</f>
        <v>080065726647</v>
      </c>
      <c r="F250" s="3">
        <v>45811</v>
      </c>
      <c r="G250">
        <v>202603</v>
      </c>
      <c r="H250" t="s">
        <v>75</v>
      </c>
      <c r="I250" t="s">
        <v>76</v>
      </c>
      <c r="J250" t="s">
        <v>77</v>
      </c>
      <c r="K250" t="s">
        <v>78</v>
      </c>
      <c r="L250" t="s">
        <v>79</v>
      </c>
      <c r="M250" t="s">
        <v>80</v>
      </c>
      <c r="N250" t="s">
        <v>759</v>
      </c>
      <c r="O250" t="s">
        <v>82</v>
      </c>
      <c r="P250" t="str">
        <f>"4170041963                    "</f>
        <v xml:space="preserve">4170041963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30.07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98.42</v>
      </c>
      <c r="BM250">
        <v>14.76</v>
      </c>
      <c r="BN250">
        <v>113.18</v>
      </c>
      <c r="BO250">
        <v>113.18</v>
      </c>
      <c r="BQ250" t="s">
        <v>760</v>
      </c>
      <c r="BR250" t="s">
        <v>84</v>
      </c>
      <c r="BS250" s="3">
        <v>45812</v>
      </c>
      <c r="BT250" s="4">
        <v>0.45347222222222222</v>
      </c>
      <c r="BU250" t="s">
        <v>761</v>
      </c>
      <c r="BV250" t="s">
        <v>86</v>
      </c>
      <c r="BY250">
        <v>1200</v>
      </c>
      <c r="BZ250" t="s">
        <v>87</v>
      </c>
      <c r="CA250" t="s">
        <v>88</v>
      </c>
      <c r="CC250" t="s">
        <v>80</v>
      </c>
      <c r="CD250">
        <v>1739</v>
      </c>
      <c r="CE250" t="s">
        <v>89</v>
      </c>
      <c r="CF250" s="3">
        <v>45813</v>
      </c>
      <c r="CI250">
        <v>1</v>
      </c>
      <c r="CJ250">
        <v>1</v>
      </c>
      <c r="CK250">
        <v>24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"080065726679"</f>
        <v>080065726679</v>
      </c>
      <c r="F251" s="3">
        <v>45811</v>
      </c>
      <c r="G251">
        <v>202603</v>
      </c>
      <c r="H251" t="s">
        <v>75</v>
      </c>
      <c r="I251" t="s">
        <v>76</v>
      </c>
      <c r="J251" t="s">
        <v>77</v>
      </c>
      <c r="K251" t="s">
        <v>78</v>
      </c>
      <c r="L251" t="s">
        <v>753</v>
      </c>
      <c r="M251" t="s">
        <v>754</v>
      </c>
      <c r="N251" t="s">
        <v>755</v>
      </c>
      <c r="O251" t="s">
        <v>82</v>
      </c>
      <c r="P251" t="str">
        <f>"4170041967                    "</f>
        <v xml:space="preserve">4170041967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41.43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135.59</v>
      </c>
      <c r="BM251">
        <v>20.34</v>
      </c>
      <c r="BN251">
        <v>155.93</v>
      </c>
      <c r="BO251">
        <v>155.93</v>
      </c>
      <c r="BQ251" t="s">
        <v>756</v>
      </c>
      <c r="BR251" t="s">
        <v>84</v>
      </c>
      <c r="BS251" s="3">
        <v>45812</v>
      </c>
      <c r="BT251" s="4">
        <v>0.41666666666666669</v>
      </c>
      <c r="BU251" t="s">
        <v>762</v>
      </c>
      <c r="BV251" t="s">
        <v>86</v>
      </c>
      <c r="BY251">
        <v>1200</v>
      </c>
      <c r="BZ251" t="s">
        <v>87</v>
      </c>
      <c r="CA251" t="s">
        <v>758</v>
      </c>
      <c r="CC251" t="s">
        <v>754</v>
      </c>
      <c r="CD251">
        <v>3290</v>
      </c>
      <c r="CE251" t="s">
        <v>89</v>
      </c>
      <c r="CF251" s="3">
        <v>45813</v>
      </c>
      <c r="CI251">
        <v>1</v>
      </c>
      <c r="CJ251">
        <v>1</v>
      </c>
      <c r="CK251">
        <v>23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"080065726993"</f>
        <v>080065726993</v>
      </c>
      <c r="F252" s="3">
        <v>45811</v>
      </c>
      <c r="G252">
        <v>202603</v>
      </c>
      <c r="H252" t="s">
        <v>75</v>
      </c>
      <c r="I252" t="s">
        <v>76</v>
      </c>
      <c r="J252" t="s">
        <v>77</v>
      </c>
      <c r="K252" t="s">
        <v>78</v>
      </c>
      <c r="L252" t="s">
        <v>91</v>
      </c>
      <c r="M252" t="s">
        <v>92</v>
      </c>
      <c r="N252" t="s">
        <v>763</v>
      </c>
      <c r="O252" t="s">
        <v>82</v>
      </c>
      <c r="P252" t="str">
        <f>"4170041894                    "</f>
        <v xml:space="preserve">4170041894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48.09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</v>
      </c>
      <c r="BJ252">
        <v>4.5</v>
      </c>
      <c r="BK252">
        <v>4.5</v>
      </c>
      <c r="BL252">
        <v>157.38999999999999</v>
      </c>
      <c r="BM252">
        <v>23.61</v>
      </c>
      <c r="BN252">
        <v>181</v>
      </c>
      <c r="BO252">
        <v>181</v>
      </c>
      <c r="BQ252" t="s">
        <v>764</v>
      </c>
      <c r="BR252" t="s">
        <v>84</v>
      </c>
      <c r="BS252" s="3">
        <v>45812</v>
      </c>
      <c r="BT252" s="4">
        <v>0.62638888888888888</v>
      </c>
      <c r="BU252" t="s">
        <v>765</v>
      </c>
      <c r="BV252" t="s">
        <v>90</v>
      </c>
      <c r="BW252" t="s">
        <v>144</v>
      </c>
      <c r="BX252" t="s">
        <v>766</v>
      </c>
      <c r="BY252">
        <v>22620</v>
      </c>
      <c r="BZ252" t="s">
        <v>87</v>
      </c>
      <c r="CA252" t="s">
        <v>767</v>
      </c>
      <c r="CC252" t="s">
        <v>92</v>
      </c>
      <c r="CD252">
        <v>7550</v>
      </c>
      <c r="CE252" t="s">
        <v>99</v>
      </c>
      <c r="CF252" s="3">
        <v>45813</v>
      </c>
      <c r="CI252">
        <v>1</v>
      </c>
      <c r="CJ252">
        <v>1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"080065727000"</f>
        <v>080065727000</v>
      </c>
      <c r="F253" s="3">
        <v>45811</v>
      </c>
      <c r="G253">
        <v>202603</v>
      </c>
      <c r="H253" t="s">
        <v>75</v>
      </c>
      <c r="I253" t="s">
        <v>76</v>
      </c>
      <c r="J253" t="s">
        <v>77</v>
      </c>
      <c r="K253" t="s">
        <v>78</v>
      </c>
      <c r="L253" t="s">
        <v>768</v>
      </c>
      <c r="M253" t="s">
        <v>769</v>
      </c>
      <c r="N253" t="s">
        <v>470</v>
      </c>
      <c r="O253" t="s">
        <v>82</v>
      </c>
      <c r="P253" t="str">
        <f>"4170041934                    "</f>
        <v xml:space="preserve">4170041934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21.38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69.98</v>
      </c>
      <c r="BM253">
        <v>10.5</v>
      </c>
      <c r="BN253">
        <v>80.48</v>
      </c>
      <c r="BO253">
        <v>80.48</v>
      </c>
      <c r="BQ253" t="s">
        <v>471</v>
      </c>
      <c r="BR253" t="s">
        <v>84</v>
      </c>
      <c r="BS253" s="3">
        <v>45812</v>
      </c>
      <c r="BT253" s="4">
        <v>0.43055555555555558</v>
      </c>
      <c r="BU253" t="s">
        <v>770</v>
      </c>
      <c r="BV253" t="s">
        <v>86</v>
      </c>
      <c r="BY253">
        <v>1200</v>
      </c>
      <c r="BZ253" t="s">
        <v>87</v>
      </c>
      <c r="CA253" t="s">
        <v>771</v>
      </c>
      <c r="CC253" t="s">
        <v>769</v>
      </c>
      <c r="CD253">
        <v>700</v>
      </c>
      <c r="CE253" t="s">
        <v>89</v>
      </c>
      <c r="CF253" s="3">
        <v>45812</v>
      </c>
      <c r="CI253">
        <v>1</v>
      </c>
      <c r="CJ253">
        <v>1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"080065727031"</f>
        <v>080065727031</v>
      </c>
      <c r="F254" s="3">
        <v>45811</v>
      </c>
      <c r="G254">
        <v>202603</v>
      </c>
      <c r="H254" t="s">
        <v>75</v>
      </c>
      <c r="I254" t="s">
        <v>76</v>
      </c>
      <c r="J254" t="s">
        <v>77</v>
      </c>
      <c r="K254" t="s">
        <v>78</v>
      </c>
      <c r="L254" t="s">
        <v>154</v>
      </c>
      <c r="M254" t="s">
        <v>154</v>
      </c>
      <c r="N254" t="s">
        <v>772</v>
      </c>
      <c r="O254" t="s">
        <v>82</v>
      </c>
      <c r="P254" t="str">
        <f>"4170041948                    "</f>
        <v xml:space="preserve">4170041948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41.43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135.59</v>
      </c>
      <c r="BM254">
        <v>20.34</v>
      </c>
      <c r="BN254">
        <v>155.93</v>
      </c>
      <c r="BO254">
        <v>155.93</v>
      </c>
      <c r="BQ254" t="s">
        <v>773</v>
      </c>
      <c r="BR254" t="s">
        <v>84</v>
      </c>
      <c r="BS254" s="3">
        <v>45812</v>
      </c>
      <c r="BT254" s="4">
        <v>0.50416666666666665</v>
      </c>
      <c r="BU254" t="s">
        <v>774</v>
      </c>
      <c r="BV254" t="s">
        <v>86</v>
      </c>
      <c r="BY254">
        <v>1200</v>
      </c>
      <c r="BZ254" t="s">
        <v>87</v>
      </c>
      <c r="CA254" t="s">
        <v>158</v>
      </c>
      <c r="CC254" t="s">
        <v>154</v>
      </c>
      <c r="CD254">
        <v>7646</v>
      </c>
      <c r="CE254" t="s">
        <v>89</v>
      </c>
      <c r="CF254" s="3">
        <v>45813</v>
      </c>
      <c r="CI254">
        <v>1</v>
      </c>
      <c r="CJ254">
        <v>1</v>
      </c>
      <c r="CK254">
        <v>23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"080065727030"</f>
        <v>080065727030</v>
      </c>
      <c r="F255" s="3">
        <v>45811</v>
      </c>
      <c r="G255">
        <v>202603</v>
      </c>
      <c r="H255" t="s">
        <v>75</v>
      </c>
      <c r="I255" t="s">
        <v>76</v>
      </c>
      <c r="J255" t="s">
        <v>77</v>
      </c>
      <c r="K255" t="s">
        <v>78</v>
      </c>
      <c r="L255" t="s">
        <v>91</v>
      </c>
      <c r="M255" t="s">
        <v>92</v>
      </c>
      <c r="N255" t="s">
        <v>763</v>
      </c>
      <c r="O255" t="s">
        <v>82</v>
      </c>
      <c r="P255" t="str">
        <f>"4170041893                    "</f>
        <v xml:space="preserve">4170041893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48.09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</v>
      </c>
      <c r="BJ255">
        <v>4.5</v>
      </c>
      <c r="BK255">
        <v>4.5</v>
      </c>
      <c r="BL255">
        <v>157.38999999999999</v>
      </c>
      <c r="BM255">
        <v>23.61</v>
      </c>
      <c r="BN255">
        <v>181</v>
      </c>
      <c r="BO255">
        <v>181</v>
      </c>
      <c r="BQ255" t="s">
        <v>764</v>
      </c>
      <c r="BR255" t="s">
        <v>84</v>
      </c>
      <c r="BS255" s="3">
        <v>45812</v>
      </c>
      <c r="BT255" s="4">
        <v>0.62638888888888888</v>
      </c>
      <c r="BU255" t="s">
        <v>765</v>
      </c>
      <c r="BV255" t="s">
        <v>90</v>
      </c>
      <c r="BW255" t="s">
        <v>144</v>
      </c>
      <c r="BX255" t="s">
        <v>766</v>
      </c>
      <c r="BY255">
        <v>22620</v>
      </c>
      <c r="BZ255" t="s">
        <v>87</v>
      </c>
      <c r="CA255" t="s">
        <v>767</v>
      </c>
      <c r="CC255" t="s">
        <v>92</v>
      </c>
      <c r="CD255">
        <v>7550</v>
      </c>
      <c r="CE255" t="s">
        <v>99</v>
      </c>
      <c r="CF255" s="3">
        <v>45813</v>
      </c>
      <c r="CI255">
        <v>1</v>
      </c>
      <c r="CJ255">
        <v>1</v>
      </c>
      <c r="CK255">
        <v>21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"080065727056"</f>
        <v>080065727056</v>
      </c>
      <c r="F256" s="3">
        <v>45811</v>
      </c>
      <c r="G256">
        <v>202603</v>
      </c>
      <c r="H256" t="s">
        <v>75</v>
      </c>
      <c r="I256" t="s">
        <v>76</v>
      </c>
      <c r="J256" t="s">
        <v>77</v>
      </c>
      <c r="K256" t="s">
        <v>78</v>
      </c>
      <c r="L256" t="s">
        <v>91</v>
      </c>
      <c r="M256" t="s">
        <v>92</v>
      </c>
      <c r="N256" t="s">
        <v>327</v>
      </c>
      <c r="O256" t="s">
        <v>82</v>
      </c>
      <c r="P256" t="str">
        <f>"4170041997                    "</f>
        <v xml:space="preserve">4170041997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21.38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69.98</v>
      </c>
      <c r="BM256">
        <v>10.5</v>
      </c>
      <c r="BN256">
        <v>80.48</v>
      </c>
      <c r="BO256">
        <v>80.48</v>
      </c>
      <c r="BQ256" t="s">
        <v>328</v>
      </c>
      <c r="BR256" t="s">
        <v>84</v>
      </c>
      <c r="BS256" s="3">
        <v>45812</v>
      </c>
      <c r="BT256" s="4">
        <v>0.3215277777777778</v>
      </c>
      <c r="BU256" t="s">
        <v>775</v>
      </c>
      <c r="BV256" t="s">
        <v>86</v>
      </c>
      <c r="BY256">
        <v>1200</v>
      </c>
      <c r="BZ256" t="s">
        <v>87</v>
      </c>
      <c r="CA256" t="s">
        <v>330</v>
      </c>
      <c r="CC256" t="s">
        <v>92</v>
      </c>
      <c r="CD256">
        <v>7530</v>
      </c>
      <c r="CE256" t="s">
        <v>89</v>
      </c>
      <c r="CF256" s="3">
        <v>45813</v>
      </c>
      <c r="CI256">
        <v>1</v>
      </c>
      <c r="CJ256">
        <v>1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"080065727079"</f>
        <v>080065727079</v>
      </c>
      <c r="F257" s="3">
        <v>45811</v>
      </c>
      <c r="G257">
        <v>202603</v>
      </c>
      <c r="H257" t="s">
        <v>75</v>
      </c>
      <c r="I257" t="s">
        <v>76</v>
      </c>
      <c r="J257" t="s">
        <v>77</v>
      </c>
      <c r="K257" t="s">
        <v>78</v>
      </c>
      <c r="L257" t="s">
        <v>136</v>
      </c>
      <c r="M257" t="s">
        <v>137</v>
      </c>
      <c r="N257" t="s">
        <v>138</v>
      </c>
      <c r="O257" t="s">
        <v>82</v>
      </c>
      <c r="P257" t="str">
        <f>"4170041897                    "</f>
        <v xml:space="preserve">4170041897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48.09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4</v>
      </c>
      <c r="BJ257">
        <v>4.5</v>
      </c>
      <c r="BK257">
        <v>4.5</v>
      </c>
      <c r="BL257">
        <v>157.38999999999999</v>
      </c>
      <c r="BM257">
        <v>23.61</v>
      </c>
      <c r="BN257">
        <v>181</v>
      </c>
      <c r="BO257">
        <v>181</v>
      </c>
      <c r="BQ257" t="s">
        <v>139</v>
      </c>
      <c r="BR257" t="s">
        <v>84</v>
      </c>
      <c r="BS257" s="3">
        <v>45812</v>
      </c>
      <c r="BT257" s="4">
        <v>0.58333333333333337</v>
      </c>
      <c r="BU257" t="s">
        <v>776</v>
      </c>
      <c r="BV257" t="s">
        <v>86</v>
      </c>
      <c r="BY257">
        <v>22620</v>
      </c>
      <c r="BZ257" t="s">
        <v>87</v>
      </c>
      <c r="CA257" t="s">
        <v>777</v>
      </c>
      <c r="CC257" t="s">
        <v>137</v>
      </c>
      <c r="CD257">
        <v>5201</v>
      </c>
      <c r="CE257" t="s">
        <v>99</v>
      </c>
      <c r="CF257" s="3">
        <v>45812</v>
      </c>
      <c r="CI257">
        <v>5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"080065727080"</f>
        <v>080065727080</v>
      </c>
      <c r="F258" s="3">
        <v>45811</v>
      </c>
      <c r="G258">
        <v>202603</v>
      </c>
      <c r="H258" t="s">
        <v>75</v>
      </c>
      <c r="I258" t="s">
        <v>76</v>
      </c>
      <c r="J258" t="s">
        <v>77</v>
      </c>
      <c r="K258" t="s">
        <v>78</v>
      </c>
      <c r="L258" t="s">
        <v>768</v>
      </c>
      <c r="M258" t="s">
        <v>769</v>
      </c>
      <c r="N258" t="s">
        <v>470</v>
      </c>
      <c r="O258" t="s">
        <v>82</v>
      </c>
      <c r="P258" t="str">
        <f>"4170041950                    "</f>
        <v xml:space="preserve">4170041950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21.38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69.98</v>
      </c>
      <c r="BM258">
        <v>10.5</v>
      </c>
      <c r="BN258">
        <v>80.48</v>
      </c>
      <c r="BO258">
        <v>80.48</v>
      </c>
      <c r="BQ258" t="s">
        <v>471</v>
      </c>
      <c r="BR258" t="s">
        <v>84</v>
      </c>
      <c r="BS258" s="3">
        <v>45812</v>
      </c>
      <c r="BT258" s="4">
        <v>0.43125000000000002</v>
      </c>
      <c r="BU258" t="s">
        <v>770</v>
      </c>
      <c r="BV258" t="s">
        <v>86</v>
      </c>
      <c r="BY258">
        <v>1200</v>
      </c>
      <c r="BZ258" t="s">
        <v>87</v>
      </c>
      <c r="CA258" t="s">
        <v>771</v>
      </c>
      <c r="CC258" t="s">
        <v>769</v>
      </c>
      <c r="CD258">
        <v>700</v>
      </c>
      <c r="CE258" t="s">
        <v>89</v>
      </c>
      <c r="CF258" s="3">
        <v>45812</v>
      </c>
      <c r="CI258">
        <v>1</v>
      </c>
      <c r="CJ258">
        <v>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"080065727113"</f>
        <v>080065727113</v>
      </c>
      <c r="F259" s="3">
        <v>45811</v>
      </c>
      <c r="G259">
        <v>202603</v>
      </c>
      <c r="H259" t="s">
        <v>75</v>
      </c>
      <c r="I259" t="s">
        <v>76</v>
      </c>
      <c r="J259" t="s">
        <v>77</v>
      </c>
      <c r="K259" t="s">
        <v>78</v>
      </c>
      <c r="L259" t="s">
        <v>91</v>
      </c>
      <c r="M259" t="s">
        <v>92</v>
      </c>
      <c r="N259" t="s">
        <v>778</v>
      </c>
      <c r="O259" t="s">
        <v>82</v>
      </c>
      <c r="P259" t="str">
        <f>"4170041956                    "</f>
        <v xml:space="preserve">4170041956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21.38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1.9</v>
      </c>
      <c r="BK259">
        <v>2</v>
      </c>
      <c r="BL259">
        <v>69.98</v>
      </c>
      <c r="BM259">
        <v>10.5</v>
      </c>
      <c r="BN259">
        <v>80.48</v>
      </c>
      <c r="BO259">
        <v>80.48</v>
      </c>
      <c r="BQ259" t="s">
        <v>779</v>
      </c>
      <c r="BR259" t="s">
        <v>84</v>
      </c>
      <c r="BS259" s="3">
        <v>45812</v>
      </c>
      <c r="BT259" s="4">
        <v>0.42569444444444443</v>
      </c>
      <c r="BU259" t="s">
        <v>249</v>
      </c>
      <c r="BV259" t="s">
        <v>86</v>
      </c>
      <c r="BY259">
        <v>9600</v>
      </c>
      <c r="BZ259" t="s">
        <v>87</v>
      </c>
      <c r="CA259" t="s">
        <v>780</v>
      </c>
      <c r="CC259" t="s">
        <v>92</v>
      </c>
      <c r="CD259">
        <v>7800</v>
      </c>
      <c r="CE259" t="s">
        <v>99</v>
      </c>
      <c r="CF259" s="3">
        <v>45814</v>
      </c>
      <c r="CI259">
        <v>1</v>
      </c>
      <c r="CJ259">
        <v>1</v>
      </c>
      <c r="CK259">
        <v>21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"080065727116"</f>
        <v>080065727116</v>
      </c>
      <c r="F260" s="3">
        <v>45811</v>
      </c>
      <c r="G260">
        <v>202603</v>
      </c>
      <c r="H260" t="s">
        <v>75</v>
      </c>
      <c r="I260" t="s">
        <v>76</v>
      </c>
      <c r="J260" t="s">
        <v>77</v>
      </c>
      <c r="K260" t="s">
        <v>78</v>
      </c>
      <c r="L260" t="s">
        <v>100</v>
      </c>
      <c r="M260" t="s">
        <v>101</v>
      </c>
      <c r="N260" t="s">
        <v>781</v>
      </c>
      <c r="O260" t="s">
        <v>82</v>
      </c>
      <c r="P260" t="str">
        <f>"4170041957                    "</f>
        <v xml:space="preserve">4170041957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21.38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69.98</v>
      </c>
      <c r="BM260">
        <v>10.5</v>
      </c>
      <c r="BN260">
        <v>80.48</v>
      </c>
      <c r="BO260">
        <v>80.48</v>
      </c>
      <c r="BQ260" t="s">
        <v>782</v>
      </c>
      <c r="BR260" t="s">
        <v>84</v>
      </c>
      <c r="BS260" s="3">
        <v>45812</v>
      </c>
      <c r="BT260" s="4">
        <v>0.40833333333333333</v>
      </c>
      <c r="BU260" t="s">
        <v>783</v>
      </c>
      <c r="BV260" t="s">
        <v>86</v>
      </c>
      <c r="BY260">
        <v>1200</v>
      </c>
      <c r="BZ260" t="s">
        <v>87</v>
      </c>
      <c r="CA260" t="s">
        <v>283</v>
      </c>
      <c r="CC260" t="s">
        <v>101</v>
      </c>
      <c r="CD260">
        <v>6012</v>
      </c>
      <c r="CE260" t="s">
        <v>89</v>
      </c>
      <c r="CF260" s="3">
        <v>45812</v>
      </c>
      <c r="CI260">
        <v>1</v>
      </c>
      <c r="CJ260">
        <v>1</v>
      </c>
      <c r="CK260">
        <v>21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"080065727146"</f>
        <v>080065727146</v>
      </c>
      <c r="F261" s="3">
        <v>45811</v>
      </c>
      <c r="G261">
        <v>202603</v>
      </c>
      <c r="H261" t="s">
        <v>75</v>
      </c>
      <c r="I261" t="s">
        <v>76</v>
      </c>
      <c r="J261" t="s">
        <v>77</v>
      </c>
      <c r="K261" t="s">
        <v>78</v>
      </c>
      <c r="L261" t="s">
        <v>369</v>
      </c>
      <c r="M261" t="s">
        <v>370</v>
      </c>
      <c r="N261" t="s">
        <v>371</v>
      </c>
      <c r="O261" t="s">
        <v>82</v>
      </c>
      <c r="P261" t="str">
        <f>"4170042017                    "</f>
        <v xml:space="preserve">4170042017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41.43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1.1000000000000001</v>
      </c>
      <c r="BK261">
        <v>1.5</v>
      </c>
      <c r="BL261">
        <v>135.59</v>
      </c>
      <c r="BM261">
        <v>20.34</v>
      </c>
      <c r="BN261">
        <v>155.93</v>
      </c>
      <c r="BO261">
        <v>155.93</v>
      </c>
      <c r="BQ261" t="s">
        <v>372</v>
      </c>
      <c r="BR261" t="s">
        <v>84</v>
      </c>
      <c r="BS261" s="3">
        <v>45812</v>
      </c>
      <c r="BT261" s="4">
        <v>0.4236111111111111</v>
      </c>
      <c r="BU261" t="s">
        <v>373</v>
      </c>
      <c r="BV261" t="s">
        <v>86</v>
      </c>
      <c r="BY261">
        <v>5320</v>
      </c>
      <c r="BZ261" t="s">
        <v>87</v>
      </c>
      <c r="CA261" t="s">
        <v>374</v>
      </c>
      <c r="CC261" t="s">
        <v>370</v>
      </c>
      <c r="CD261">
        <v>7130</v>
      </c>
      <c r="CE261" t="s">
        <v>180</v>
      </c>
      <c r="CF261" s="3">
        <v>45813</v>
      </c>
      <c r="CI261">
        <v>1</v>
      </c>
      <c r="CJ261">
        <v>1</v>
      </c>
      <c r="CK261">
        <v>23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"080065727151"</f>
        <v>080065727151</v>
      </c>
      <c r="F262" s="3">
        <v>45811</v>
      </c>
      <c r="G262">
        <v>202603</v>
      </c>
      <c r="H262" t="s">
        <v>75</v>
      </c>
      <c r="I262" t="s">
        <v>76</v>
      </c>
      <c r="J262" t="s">
        <v>77</v>
      </c>
      <c r="K262" t="s">
        <v>78</v>
      </c>
      <c r="L262" t="s">
        <v>174</v>
      </c>
      <c r="M262" t="s">
        <v>175</v>
      </c>
      <c r="N262" t="s">
        <v>784</v>
      </c>
      <c r="O262" t="s">
        <v>82</v>
      </c>
      <c r="P262" t="str">
        <f>"4170042001                    "</f>
        <v xml:space="preserve">4170042001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21.38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69.98</v>
      </c>
      <c r="BM262">
        <v>10.5</v>
      </c>
      <c r="BN262">
        <v>80.48</v>
      </c>
      <c r="BO262">
        <v>80.48</v>
      </c>
      <c r="BQ262" t="s">
        <v>785</v>
      </c>
      <c r="BR262" t="s">
        <v>84</v>
      </c>
      <c r="BS262" s="3">
        <v>45812</v>
      </c>
      <c r="BT262" s="4">
        <v>0.3923611111111111</v>
      </c>
      <c r="BU262" t="s">
        <v>786</v>
      </c>
      <c r="BV262" t="s">
        <v>86</v>
      </c>
      <c r="BY262">
        <v>1200</v>
      </c>
      <c r="BZ262" t="s">
        <v>87</v>
      </c>
      <c r="CC262" t="s">
        <v>175</v>
      </c>
      <c r="CD262">
        <v>3600</v>
      </c>
      <c r="CE262" t="s">
        <v>89</v>
      </c>
      <c r="CF262" s="3">
        <v>45813</v>
      </c>
      <c r="CI262">
        <v>1</v>
      </c>
      <c r="CJ262">
        <v>1</v>
      </c>
      <c r="CK262">
        <v>21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"080065727174"</f>
        <v>080065727174</v>
      </c>
      <c r="F263" s="3">
        <v>45811</v>
      </c>
      <c r="G263">
        <v>202603</v>
      </c>
      <c r="H263" t="s">
        <v>75</v>
      </c>
      <c r="I263" t="s">
        <v>76</v>
      </c>
      <c r="J263" t="s">
        <v>77</v>
      </c>
      <c r="K263" t="s">
        <v>78</v>
      </c>
      <c r="L263" t="s">
        <v>174</v>
      </c>
      <c r="M263" t="s">
        <v>175</v>
      </c>
      <c r="N263" t="s">
        <v>784</v>
      </c>
      <c r="O263" t="s">
        <v>82</v>
      </c>
      <c r="P263" t="str">
        <f>"4170042000                    "</f>
        <v xml:space="preserve">4170042000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21.38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69.98</v>
      </c>
      <c r="BM263">
        <v>10.5</v>
      </c>
      <c r="BN263">
        <v>80.48</v>
      </c>
      <c r="BO263">
        <v>80.48</v>
      </c>
      <c r="BQ263" t="s">
        <v>785</v>
      </c>
      <c r="BR263" t="s">
        <v>84</v>
      </c>
      <c r="BS263" s="3">
        <v>45812</v>
      </c>
      <c r="BT263" s="4">
        <v>0.39305555555555555</v>
      </c>
      <c r="BU263" t="s">
        <v>787</v>
      </c>
      <c r="BV263" t="s">
        <v>86</v>
      </c>
      <c r="BY263">
        <v>1200</v>
      </c>
      <c r="BZ263" t="s">
        <v>87</v>
      </c>
      <c r="CC263" t="s">
        <v>175</v>
      </c>
      <c r="CD263">
        <v>3600</v>
      </c>
      <c r="CE263" t="s">
        <v>89</v>
      </c>
      <c r="CF263" s="3">
        <v>45813</v>
      </c>
      <c r="CI263">
        <v>1</v>
      </c>
      <c r="CJ263">
        <v>1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"080065727197"</f>
        <v>080065727197</v>
      </c>
      <c r="F264" s="3">
        <v>45811</v>
      </c>
      <c r="G264">
        <v>202603</v>
      </c>
      <c r="H264" t="s">
        <v>75</v>
      </c>
      <c r="I264" t="s">
        <v>76</v>
      </c>
      <c r="J264" t="s">
        <v>77</v>
      </c>
      <c r="K264" t="s">
        <v>78</v>
      </c>
      <c r="L264" t="s">
        <v>575</v>
      </c>
      <c r="M264" t="s">
        <v>576</v>
      </c>
      <c r="N264" t="s">
        <v>577</v>
      </c>
      <c r="O264" t="s">
        <v>82</v>
      </c>
      <c r="P264" t="str">
        <f>"4170041905                    "</f>
        <v xml:space="preserve">4170041905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41.43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</v>
      </c>
      <c r="BJ264">
        <v>1.6</v>
      </c>
      <c r="BK264">
        <v>2</v>
      </c>
      <c r="BL264">
        <v>135.59</v>
      </c>
      <c r="BM264">
        <v>20.34</v>
      </c>
      <c r="BN264">
        <v>155.93</v>
      </c>
      <c r="BO264">
        <v>155.93</v>
      </c>
      <c r="BQ264" t="s">
        <v>578</v>
      </c>
      <c r="BR264" t="s">
        <v>84</v>
      </c>
      <c r="BS264" s="3">
        <v>45812</v>
      </c>
      <c r="BT264" s="4">
        <v>0.4375</v>
      </c>
      <c r="BU264" t="s">
        <v>788</v>
      </c>
      <c r="BV264" t="s">
        <v>86</v>
      </c>
      <c r="BY264">
        <v>7980</v>
      </c>
      <c r="BZ264" t="s">
        <v>87</v>
      </c>
      <c r="CC264" t="s">
        <v>576</v>
      </c>
      <c r="CD264">
        <v>1871</v>
      </c>
      <c r="CE264" t="s">
        <v>180</v>
      </c>
      <c r="CF264" s="3">
        <v>45812</v>
      </c>
      <c r="CI264">
        <v>1</v>
      </c>
      <c r="CJ264">
        <v>1</v>
      </c>
      <c r="CK264">
        <v>23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"080065727223"</f>
        <v>080065727223</v>
      </c>
      <c r="F265" s="3">
        <v>45811</v>
      </c>
      <c r="G265">
        <v>202603</v>
      </c>
      <c r="H265" t="s">
        <v>75</v>
      </c>
      <c r="I265" t="s">
        <v>76</v>
      </c>
      <c r="J265" t="s">
        <v>77</v>
      </c>
      <c r="K265" t="s">
        <v>78</v>
      </c>
      <c r="L265" t="s">
        <v>100</v>
      </c>
      <c r="M265" t="s">
        <v>101</v>
      </c>
      <c r="N265" t="s">
        <v>123</v>
      </c>
      <c r="O265" t="s">
        <v>82</v>
      </c>
      <c r="P265" t="str">
        <f>"4170041917                    "</f>
        <v xml:space="preserve">4170041917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21.38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69.98</v>
      </c>
      <c r="BM265">
        <v>10.5</v>
      </c>
      <c r="BN265">
        <v>80.48</v>
      </c>
      <c r="BO265">
        <v>80.48</v>
      </c>
      <c r="BQ265" t="s">
        <v>124</v>
      </c>
      <c r="BR265" t="s">
        <v>84</v>
      </c>
      <c r="BS265" s="3">
        <v>45812</v>
      </c>
      <c r="BT265" s="4">
        <v>0.38680555555555557</v>
      </c>
      <c r="BU265" t="s">
        <v>688</v>
      </c>
      <c r="BV265" t="s">
        <v>86</v>
      </c>
      <c r="BY265">
        <v>1200</v>
      </c>
      <c r="BZ265" t="s">
        <v>87</v>
      </c>
      <c r="CA265" t="s">
        <v>235</v>
      </c>
      <c r="CC265" t="s">
        <v>101</v>
      </c>
      <c r="CD265">
        <v>6001</v>
      </c>
      <c r="CE265" t="s">
        <v>89</v>
      </c>
      <c r="CF265" s="3">
        <v>45812</v>
      </c>
      <c r="CI265">
        <v>1</v>
      </c>
      <c r="CJ265">
        <v>1</v>
      </c>
      <c r="CK265">
        <v>21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"080065727243"</f>
        <v>080065727243</v>
      </c>
      <c r="F266" s="3">
        <v>45811</v>
      </c>
      <c r="G266">
        <v>202603</v>
      </c>
      <c r="H266" t="s">
        <v>75</v>
      </c>
      <c r="I266" t="s">
        <v>76</v>
      </c>
      <c r="J266" t="s">
        <v>77</v>
      </c>
      <c r="K266" t="s">
        <v>78</v>
      </c>
      <c r="L266" t="s">
        <v>116</v>
      </c>
      <c r="M266" t="s">
        <v>117</v>
      </c>
      <c r="N266" t="s">
        <v>118</v>
      </c>
      <c r="O266" t="s">
        <v>82</v>
      </c>
      <c r="P266" t="str">
        <f>"4170041972                    "</f>
        <v xml:space="preserve">4170041972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21.38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1.1000000000000001</v>
      </c>
      <c r="BK266">
        <v>1.5</v>
      </c>
      <c r="BL266">
        <v>69.98</v>
      </c>
      <c r="BM266">
        <v>10.5</v>
      </c>
      <c r="BN266">
        <v>80.48</v>
      </c>
      <c r="BO266">
        <v>80.48</v>
      </c>
      <c r="BQ266" t="s">
        <v>119</v>
      </c>
      <c r="BR266" t="s">
        <v>84</v>
      </c>
      <c r="BS266" s="3">
        <v>45812</v>
      </c>
      <c r="BT266" s="4">
        <v>0.41666666666666669</v>
      </c>
      <c r="BU266" t="s">
        <v>789</v>
      </c>
      <c r="BV266" t="s">
        <v>86</v>
      </c>
      <c r="BY266">
        <v>5320</v>
      </c>
      <c r="BZ266" t="s">
        <v>87</v>
      </c>
      <c r="CA266" t="s">
        <v>121</v>
      </c>
      <c r="CC266" t="s">
        <v>117</v>
      </c>
      <c r="CD266">
        <v>3201</v>
      </c>
      <c r="CE266" t="s">
        <v>180</v>
      </c>
      <c r="CF266" s="3">
        <v>45813</v>
      </c>
      <c r="CI266">
        <v>1</v>
      </c>
      <c r="CJ266">
        <v>1</v>
      </c>
      <c r="CK266">
        <v>21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"080065727270"</f>
        <v>080065727270</v>
      </c>
      <c r="F267" s="3">
        <v>45811</v>
      </c>
      <c r="G267">
        <v>202603</v>
      </c>
      <c r="H267" t="s">
        <v>75</v>
      </c>
      <c r="I267" t="s">
        <v>76</v>
      </c>
      <c r="J267" t="s">
        <v>77</v>
      </c>
      <c r="K267" t="s">
        <v>78</v>
      </c>
      <c r="L267" t="s">
        <v>311</v>
      </c>
      <c r="M267" t="s">
        <v>312</v>
      </c>
      <c r="N267" t="s">
        <v>313</v>
      </c>
      <c r="O267" t="s">
        <v>82</v>
      </c>
      <c r="P267" t="str">
        <f>"4170041995                    "</f>
        <v xml:space="preserve">4170041995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41.43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135.59</v>
      </c>
      <c r="BM267">
        <v>20.34</v>
      </c>
      <c r="BN267">
        <v>155.93</v>
      </c>
      <c r="BO267">
        <v>155.93</v>
      </c>
      <c r="BQ267" t="s">
        <v>314</v>
      </c>
      <c r="BR267" t="s">
        <v>84</v>
      </c>
      <c r="BS267" s="3">
        <v>45812</v>
      </c>
      <c r="BT267" s="4">
        <v>0.55555555555555558</v>
      </c>
      <c r="BU267" t="s">
        <v>737</v>
      </c>
      <c r="BV267" t="s">
        <v>86</v>
      </c>
      <c r="BY267">
        <v>1200</v>
      </c>
      <c r="BZ267" t="s">
        <v>87</v>
      </c>
      <c r="CA267" t="s">
        <v>316</v>
      </c>
      <c r="CC267" t="s">
        <v>312</v>
      </c>
      <c r="CD267">
        <v>1028</v>
      </c>
      <c r="CE267" t="s">
        <v>89</v>
      </c>
      <c r="CF267" s="3">
        <v>45812</v>
      </c>
      <c r="CI267">
        <v>1</v>
      </c>
      <c r="CJ267">
        <v>1</v>
      </c>
      <c r="CK267">
        <v>23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"080065727289"</f>
        <v>080065727289</v>
      </c>
      <c r="F268" s="3">
        <v>45811</v>
      </c>
      <c r="G268">
        <v>202603</v>
      </c>
      <c r="H268" t="s">
        <v>75</v>
      </c>
      <c r="I268" t="s">
        <v>76</v>
      </c>
      <c r="J268" t="s">
        <v>77</v>
      </c>
      <c r="K268" t="s">
        <v>78</v>
      </c>
      <c r="L268" t="s">
        <v>266</v>
      </c>
      <c r="M268" t="s">
        <v>267</v>
      </c>
      <c r="N268" t="s">
        <v>561</v>
      </c>
      <c r="O268" t="s">
        <v>82</v>
      </c>
      <c r="P268" t="str">
        <f>"4170042009                    "</f>
        <v xml:space="preserve">4170042009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21.38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69.98</v>
      </c>
      <c r="BM268">
        <v>10.5</v>
      </c>
      <c r="BN268">
        <v>80.48</v>
      </c>
      <c r="BO268">
        <v>80.48</v>
      </c>
      <c r="BQ268" t="s">
        <v>562</v>
      </c>
      <c r="BR268" t="s">
        <v>84</v>
      </c>
      <c r="BS268" s="3">
        <v>45812</v>
      </c>
      <c r="BT268" s="4">
        <v>0.38472222222222224</v>
      </c>
      <c r="BU268" t="s">
        <v>790</v>
      </c>
      <c r="BV268" t="s">
        <v>86</v>
      </c>
      <c r="BY268">
        <v>1200</v>
      </c>
      <c r="BZ268" t="s">
        <v>87</v>
      </c>
      <c r="CA268" t="s">
        <v>271</v>
      </c>
      <c r="CC268" t="s">
        <v>267</v>
      </c>
      <c r="CD268">
        <v>6230</v>
      </c>
      <c r="CE268" t="s">
        <v>89</v>
      </c>
      <c r="CF268" s="3">
        <v>45812</v>
      </c>
      <c r="CI268">
        <v>1</v>
      </c>
      <c r="CJ268">
        <v>1</v>
      </c>
      <c r="CK268">
        <v>21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"080065727320"</f>
        <v>080065727320</v>
      </c>
      <c r="F269" s="3">
        <v>45811</v>
      </c>
      <c r="G269">
        <v>202603</v>
      </c>
      <c r="H269" t="s">
        <v>75</v>
      </c>
      <c r="I269" t="s">
        <v>76</v>
      </c>
      <c r="J269" t="s">
        <v>77</v>
      </c>
      <c r="K269" t="s">
        <v>78</v>
      </c>
      <c r="L269" t="s">
        <v>100</v>
      </c>
      <c r="M269" t="s">
        <v>101</v>
      </c>
      <c r="N269" t="s">
        <v>123</v>
      </c>
      <c r="O269" t="s">
        <v>82</v>
      </c>
      <c r="P269" t="str">
        <f>"4170041920                    "</f>
        <v xml:space="preserve">4170041920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21.38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69.98</v>
      </c>
      <c r="BM269">
        <v>10.5</v>
      </c>
      <c r="BN269">
        <v>80.48</v>
      </c>
      <c r="BO269">
        <v>80.48</v>
      </c>
      <c r="BQ269" t="s">
        <v>124</v>
      </c>
      <c r="BR269" t="s">
        <v>84</v>
      </c>
      <c r="BS269" s="3">
        <v>45812</v>
      </c>
      <c r="BT269" s="4">
        <v>0.38680555555555557</v>
      </c>
      <c r="BU269" t="s">
        <v>688</v>
      </c>
      <c r="BV269" t="s">
        <v>86</v>
      </c>
      <c r="BY269">
        <v>1200</v>
      </c>
      <c r="BZ269" t="s">
        <v>87</v>
      </c>
      <c r="CA269" t="s">
        <v>235</v>
      </c>
      <c r="CC269" t="s">
        <v>101</v>
      </c>
      <c r="CD269">
        <v>6001</v>
      </c>
      <c r="CE269" t="s">
        <v>89</v>
      </c>
      <c r="CF269" s="3">
        <v>45812</v>
      </c>
      <c r="CI269">
        <v>1</v>
      </c>
      <c r="CJ269">
        <v>1</v>
      </c>
      <c r="CK269">
        <v>21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"080065727349"</f>
        <v>080065727349</v>
      </c>
      <c r="F270" s="3">
        <v>45811</v>
      </c>
      <c r="G270">
        <v>202603</v>
      </c>
      <c r="H270" t="s">
        <v>75</v>
      </c>
      <c r="I270" t="s">
        <v>76</v>
      </c>
      <c r="J270" t="s">
        <v>77</v>
      </c>
      <c r="K270" t="s">
        <v>78</v>
      </c>
      <c r="L270" t="s">
        <v>100</v>
      </c>
      <c r="M270" t="s">
        <v>101</v>
      </c>
      <c r="N270" t="s">
        <v>123</v>
      </c>
      <c r="O270" t="s">
        <v>82</v>
      </c>
      <c r="P270" t="str">
        <f>"4170041919                    "</f>
        <v xml:space="preserve">4170041919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21.38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69.98</v>
      </c>
      <c r="BM270">
        <v>10.5</v>
      </c>
      <c r="BN270">
        <v>80.48</v>
      </c>
      <c r="BO270">
        <v>80.48</v>
      </c>
      <c r="BQ270" t="s">
        <v>124</v>
      </c>
      <c r="BR270" t="s">
        <v>84</v>
      </c>
      <c r="BS270" s="3">
        <v>45812</v>
      </c>
      <c r="BT270" s="4">
        <v>0.38680555555555557</v>
      </c>
      <c r="BU270" t="s">
        <v>688</v>
      </c>
      <c r="BV270" t="s">
        <v>86</v>
      </c>
      <c r="BY270">
        <v>1200</v>
      </c>
      <c r="BZ270" t="s">
        <v>87</v>
      </c>
      <c r="CA270" t="s">
        <v>235</v>
      </c>
      <c r="CC270" t="s">
        <v>101</v>
      </c>
      <c r="CD270">
        <v>6001</v>
      </c>
      <c r="CE270" t="s">
        <v>89</v>
      </c>
      <c r="CF270" s="3">
        <v>45812</v>
      </c>
      <c r="CI270">
        <v>1</v>
      </c>
      <c r="CJ270">
        <v>1</v>
      </c>
      <c r="CK270">
        <v>21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"080065727374"</f>
        <v>080065727374</v>
      </c>
      <c r="F271" s="3">
        <v>45811</v>
      </c>
      <c r="G271">
        <v>202603</v>
      </c>
      <c r="H271" t="s">
        <v>75</v>
      </c>
      <c r="I271" t="s">
        <v>76</v>
      </c>
      <c r="J271" t="s">
        <v>77</v>
      </c>
      <c r="K271" t="s">
        <v>78</v>
      </c>
      <c r="L271" t="s">
        <v>100</v>
      </c>
      <c r="M271" t="s">
        <v>101</v>
      </c>
      <c r="N271" t="s">
        <v>123</v>
      </c>
      <c r="O271" t="s">
        <v>82</v>
      </c>
      <c r="P271" t="str">
        <f>"4170041945                    "</f>
        <v xml:space="preserve">4170041945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21.38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69.98</v>
      </c>
      <c r="BM271">
        <v>10.5</v>
      </c>
      <c r="BN271">
        <v>80.48</v>
      </c>
      <c r="BO271">
        <v>80.48</v>
      </c>
      <c r="BQ271" t="s">
        <v>124</v>
      </c>
      <c r="BR271" t="s">
        <v>84</v>
      </c>
      <c r="BS271" s="3">
        <v>45812</v>
      </c>
      <c r="BT271" s="4">
        <v>0.38680555555555557</v>
      </c>
      <c r="BU271" t="s">
        <v>688</v>
      </c>
      <c r="BV271" t="s">
        <v>86</v>
      </c>
      <c r="BY271">
        <v>1200</v>
      </c>
      <c r="BZ271" t="s">
        <v>87</v>
      </c>
      <c r="CA271" t="s">
        <v>235</v>
      </c>
      <c r="CC271" t="s">
        <v>101</v>
      </c>
      <c r="CD271">
        <v>6001</v>
      </c>
      <c r="CE271" t="s">
        <v>89</v>
      </c>
      <c r="CF271" s="3">
        <v>45812</v>
      </c>
      <c r="CI271">
        <v>1</v>
      </c>
      <c r="CJ271">
        <v>1</v>
      </c>
      <c r="CK271">
        <v>21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"080065727391"</f>
        <v>080065727391</v>
      </c>
      <c r="F272" s="3">
        <v>45811</v>
      </c>
      <c r="G272">
        <v>202603</v>
      </c>
      <c r="H272" t="s">
        <v>75</v>
      </c>
      <c r="I272" t="s">
        <v>76</v>
      </c>
      <c r="J272" t="s">
        <v>77</v>
      </c>
      <c r="K272" t="s">
        <v>78</v>
      </c>
      <c r="L272" t="s">
        <v>174</v>
      </c>
      <c r="M272" t="s">
        <v>175</v>
      </c>
      <c r="N272" t="s">
        <v>784</v>
      </c>
      <c r="O272" t="s">
        <v>82</v>
      </c>
      <c r="P272" t="str">
        <f>"4170042003                    "</f>
        <v xml:space="preserve">4170042003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21.38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69.98</v>
      </c>
      <c r="BM272">
        <v>10.5</v>
      </c>
      <c r="BN272">
        <v>80.48</v>
      </c>
      <c r="BO272">
        <v>80.48</v>
      </c>
      <c r="BQ272" t="s">
        <v>785</v>
      </c>
      <c r="BR272" t="s">
        <v>84</v>
      </c>
      <c r="BS272" s="3">
        <v>45812</v>
      </c>
      <c r="BT272" s="4">
        <v>0.41736111111111113</v>
      </c>
      <c r="BU272" t="s">
        <v>791</v>
      </c>
      <c r="BV272" t="s">
        <v>86</v>
      </c>
      <c r="BY272">
        <v>1200</v>
      </c>
      <c r="BZ272" t="s">
        <v>87</v>
      </c>
      <c r="CA272" t="s">
        <v>596</v>
      </c>
      <c r="CC272" t="s">
        <v>175</v>
      </c>
      <c r="CD272">
        <v>3600</v>
      </c>
      <c r="CE272" t="s">
        <v>89</v>
      </c>
      <c r="CF272" s="3">
        <v>45813</v>
      </c>
      <c r="CI272">
        <v>1</v>
      </c>
      <c r="CJ272">
        <v>1</v>
      </c>
      <c r="CK272">
        <v>21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"080065727428"</f>
        <v>080065727428</v>
      </c>
      <c r="F273" s="3">
        <v>45811</v>
      </c>
      <c r="G273">
        <v>202603</v>
      </c>
      <c r="H273" t="s">
        <v>75</v>
      </c>
      <c r="I273" t="s">
        <v>76</v>
      </c>
      <c r="J273" t="s">
        <v>77</v>
      </c>
      <c r="K273" t="s">
        <v>78</v>
      </c>
      <c r="L273" t="s">
        <v>100</v>
      </c>
      <c r="M273" t="s">
        <v>101</v>
      </c>
      <c r="N273" t="s">
        <v>280</v>
      </c>
      <c r="O273" t="s">
        <v>82</v>
      </c>
      <c r="P273" t="str">
        <f>"4170041929                    "</f>
        <v xml:space="preserve">4170041929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21.38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69.98</v>
      </c>
      <c r="BM273">
        <v>10.5</v>
      </c>
      <c r="BN273">
        <v>80.48</v>
      </c>
      <c r="BO273">
        <v>80.48</v>
      </c>
      <c r="BQ273" t="s">
        <v>281</v>
      </c>
      <c r="BR273" t="s">
        <v>84</v>
      </c>
      <c r="BS273" s="3">
        <v>45812</v>
      </c>
      <c r="BT273" s="4">
        <v>0.38958333333333334</v>
      </c>
      <c r="BU273" t="s">
        <v>792</v>
      </c>
      <c r="BV273" t="s">
        <v>86</v>
      </c>
      <c r="BY273">
        <v>1200</v>
      </c>
      <c r="BZ273" t="s">
        <v>87</v>
      </c>
      <c r="CA273" t="s">
        <v>283</v>
      </c>
      <c r="CC273" t="s">
        <v>101</v>
      </c>
      <c r="CD273">
        <v>6001</v>
      </c>
      <c r="CE273" t="s">
        <v>89</v>
      </c>
      <c r="CF273" s="3">
        <v>45812</v>
      </c>
      <c r="CI273">
        <v>1</v>
      </c>
      <c r="CJ273">
        <v>1</v>
      </c>
      <c r="CK273">
        <v>21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"080065727458"</f>
        <v>080065727458</v>
      </c>
      <c r="F274" s="3">
        <v>45811</v>
      </c>
      <c r="G274">
        <v>202603</v>
      </c>
      <c r="H274" t="s">
        <v>75</v>
      </c>
      <c r="I274" t="s">
        <v>76</v>
      </c>
      <c r="J274" t="s">
        <v>77</v>
      </c>
      <c r="K274" t="s">
        <v>78</v>
      </c>
      <c r="L274" t="s">
        <v>100</v>
      </c>
      <c r="M274" t="s">
        <v>101</v>
      </c>
      <c r="N274" t="s">
        <v>123</v>
      </c>
      <c r="O274" t="s">
        <v>82</v>
      </c>
      <c r="P274" t="str">
        <f>"4170041937                    "</f>
        <v xml:space="preserve">4170041937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21.38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69.98</v>
      </c>
      <c r="BM274">
        <v>10.5</v>
      </c>
      <c r="BN274">
        <v>80.48</v>
      </c>
      <c r="BO274">
        <v>80.48</v>
      </c>
      <c r="BQ274" t="s">
        <v>124</v>
      </c>
      <c r="BR274" t="s">
        <v>84</v>
      </c>
      <c r="BS274" s="3">
        <v>45812</v>
      </c>
      <c r="BT274" s="4">
        <v>0.38680555555555557</v>
      </c>
      <c r="BU274" t="s">
        <v>688</v>
      </c>
      <c r="BV274" t="s">
        <v>86</v>
      </c>
      <c r="BY274">
        <v>1200</v>
      </c>
      <c r="BZ274" t="s">
        <v>87</v>
      </c>
      <c r="CA274" t="s">
        <v>235</v>
      </c>
      <c r="CC274" t="s">
        <v>101</v>
      </c>
      <c r="CD274">
        <v>6001</v>
      </c>
      <c r="CE274" t="s">
        <v>89</v>
      </c>
      <c r="CF274" s="3">
        <v>45812</v>
      </c>
      <c r="CI274">
        <v>1</v>
      </c>
      <c r="CJ274">
        <v>1</v>
      </c>
      <c r="CK274">
        <v>21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"080065727522"</f>
        <v>080065727522</v>
      </c>
      <c r="F275" s="3">
        <v>45811</v>
      </c>
      <c r="G275">
        <v>202603</v>
      </c>
      <c r="H275" t="s">
        <v>75</v>
      </c>
      <c r="I275" t="s">
        <v>76</v>
      </c>
      <c r="J275" t="s">
        <v>77</v>
      </c>
      <c r="K275" t="s">
        <v>78</v>
      </c>
      <c r="L275" t="s">
        <v>159</v>
      </c>
      <c r="M275" t="s">
        <v>160</v>
      </c>
      <c r="N275" t="s">
        <v>793</v>
      </c>
      <c r="O275" t="s">
        <v>82</v>
      </c>
      <c r="P275" t="str">
        <f>"4170041961                    "</f>
        <v xml:space="preserve">4170041961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16.7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54.66</v>
      </c>
      <c r="BM275">
        <v>8.1999999999999993</v>
      </c>
      <c r="BN275">
        <v>62.86</v>
      </c>
      <c r="BO275">
        <v>62.86</v>
      </c>
      <c r="BQ275" t="s">
        <v>794</v>
      </c>
      <c r="BR275" t="s">
        <v>84</v>
      </c>
      <c r="BS275" s="3">
        <v>45812</v>
      </c>
      <c r="BT275" s="4">
        <v>0.375</v>
      </c>
      <c r="BU275" t="s">
        <v>795</v>
      </c>
      <c r="BV275" t="s">
        <v>86</v>
      </c>
      <c r="BY275">
        <v>1200</v>
      </c>
      <c r="BZ275" t="s">
        <v>87</v>
      </c>
      <c r="CA275" t="s">
        <v>233</v>
      </c>
      <c r="CC275" t="s">
        <v>160</v>
      </c>
      <c r="CD275">
        <v>2094</v>
      </c>
      <c r="CE275" t="s">
        <v>89</v>
      </c>
      <c r="CF275" s="3">
        <v>45812</v>
      </c>
      <c r="CI275">
        <v>1</v>
      </c>
      <c r="CJ275">
        <v>1</v>
      </c>
      <c r="CK275">
        <v>22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"080065727560"</f>
        <v>080065727560</v>
      </c>
      <c r="F276" s="3">
        <v>45811</v>
      </c>
      <c r="G276">
        <v>202603</v>
      </c>
      <c r="H276" t="s">
        <v>75</v>
      </c>
      <c r="I276" t="s">
        <v>76</v>
      </c>
      <c r="J276" t="s">
        <v>77</v>
      </c>
      <c r="K276" t="s">
        <v>78</v>
      </c>
      <c r="L276" t="s">
        <v>426</v>
      </c>
      <c r="M276" t="s">
        <v>427</v>
      </c>
      <c r="N276" t="s">
        <v>759</v>
      </c>
      <c r="O276" t="s">
        <v>82</v>
      </c>
      <c r="P276" t="str">
        <f>"4170041962                    "</f>
        <v xml:space="preserve">4170041962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30.07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98.42</v>
      </c>
      <c r="BM276">
        <v>14.76</v>
      </c>
      <c r="BN276">
        <v>113.18</v>
      </c>
      <c r="BO276">
        <v>113.18</v>
      </c>
      <c r="BQ276" t="s">
        <v>796</v>
      </c>
      <c r="BR276" t="s">
        <v>84</v>
      </c>
      <c r="BS276" s="3">
        <v>45812</v>
      </c>
      <c r="BT276" s="4">
        <v>0.4375</v>
      </c>
      <c r="BU276" t="s">
        <v>797</v>
      </c>
      <c r="BV276" t="s">
        <v>86</v>
      </c>
      <c r="BY276">
        <v>1200</v>
      </c>
      <c r="BZ276" t="s">
        <v>87</v>
      </c>
      <c r="CA276" t="s">
        <v>798</v>
      </c>
      <c r="CC276" t="s">
        <v>427</v>
      </c>
      <c r="CD276">
        <v>1759</v>
      </c>
      <c r="CE276" t="s">
        <v>89</v>
      </c>
      <c r="CF276" s="3">
        <v>45812</v>
      </c>
      <c r="CI276">
        <v>1</v>
      </c>
      <c r="CJ276">
        <v>1</v>
      </c>
      <c r="CK276">
        <v>24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"080065727595"</f>
        <v>080065727595</v>
      </c>
      <c r="F277" s="3">
        <v>45811</v>
      </c>
      <c r="G277">
        <v>202603</v>
      </c>
      <c r="H277" t="s">
        <v>75</v>
      </c>
      <c r="I277" t="s">
        <v>76</v>
      </c>
      <c r="J277" t="s">
        <v>77</v>
      </c>
      <c r="K277" t="s">
        <v>78</v>
      </c>
      <c r="L277" t="s">
        <v>100</v>
      </c>
      <c r="M277" t="s">
        <v>101</v>
      </c>
      <c r="N277" t="s">
        <v>123</v>
      </c>
      <c r="O277" t="s">
        <v>82</v>
      </c>
      <c r="P277" t="str">
        <f>"4170041918                    "</f>
        <v xml:space="preserve">4170041918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21.38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69.98</v>
      </c>
      <c r="BM277">
        <v>10.5</v>
      </c>
      <c r="BN277">
        <v>80.48</v>
      </c>
      <c r="BO277">
        <v>80.48</v>
      </c>
      <c r="BQ277" t="s">
        <v>124</v>
      </c>
      <c r="BR277" t="s">
        <v>84</v>
      </c>
      <c r="BS277" s="3">
        <v>45812</v>
      </c>
      <c r="BT277" s="4">
        <v>0.38680555555555557</v>
      </c>
      <c r="BU277" t="s">
        <v>688</v>
      </c>
      <c r="BV277" t="s">
        <v>86</v>
      </c>
      <c r="BY277">
        <v>1200</v>
      </c>
      <c r="BZ277" t="s">
        <v>87</v>
      </c>
      <c r="CA277" t="s">
        <v>235</v>
      </c>
      <c r="CC277" t="s">
        <v>101</v>
      </c>
      <c r="CD277">
        <v>6001</v>
      </c>
      <c r="CE277" t="s">
        <v>89</v>
      </c>
      <c r="CF277" s="3">
        <v>45812</v>
      </c>
      <c r="CI277">
        <v>1</v>
      </c>
      <c r="CJ277">
        <v>1</v>
      </c>
      <c r="CK277">
        <v>21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"080065727699"</f>
        <v>080065727699</v>
      </c>
      <c r="F278" s="3">
        <v>45811</v>
      </c>
      <c r="G278">
        <v>202603</v>
      </c>
      <c r="H278" t="s">
        <v>75</v>
      </c>
      <c r="I278" t="s">
        <v>76</v>
      </c>
      <c r="J278" t="s">
        <v>77</v>
      </c>
      <c r="K278" t="s">
        <v>78</v>
      </c>
      <c r="L278" t="s">
        <v>555</v>
      </c>
      <c r="M278" t="s">
        <v>556</v>
      </c>
      <c r="N278" t="s">
        <v>799</v>
      </c>
      <c r="O278" t="s">
        <v>82</v>
      </c>
      <c r="P278" t="str">
        <f>"4170041974                    "</f>
        <v xml:space="preserve">4170041974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41.43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135.59</v>
      </c>
      <c r="BM278">
        <v>20.34</v>
      </c>
      <c r="BN278">
        <v>155.93</v>
      </c>
      <c r="BO278">
        <v>155.93</v>
      </c>
      <c r="BQ278" t="s">
        <v>800</v>
      </c>
      <c r="BR278" t="s">
        <v>84</v>
      </c>
      <c r="BS278" s="3">
        <v>45812</v>
      </c>
      <c r="BT278" s="4">
        <v>0.4152777777777778</v>
      </c>
      <c r="BU278" t="s">
        <v>801</v>
      </c>
      <c r="BV278" t="s">
        <v>86</v>
      </c>
      <c r="BY278">
        <v>1200</v>
      </c>
      <c r="BZ278" t="s">
        <v>87</v>
      </c>
      <c r="CA278" t="s">
        <v>802</v>
      </c>
      <c r="CC278" t="s">
        <v>556</v>
      </c>
      <c r="CD278">
        <v>250</v>
      </c>
      <c r="CE278" t="s">
        <v>89</v>
      </c>
      <c r="CF278" s="3">
        <v>45813</v>
      </c>
      <c r="CI278">
        <v>1</v>
      </c>
      <c r="CJ278">
        <v>1</v>
      </c>
      <c r="CK278">
        <v>23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"080065727733"</f>
        <v>080065727733</v>
      </c>
      <c r="F279" s="3">
        <v>45811</v>
      </c>
      <c r="G279">
        <v>202603</v>
      </c>
      <c r="H279" t="s">
        <v>75</v>
      </c>
      <c r="I279" t="s">
        <v>76</v>
      </c>
      <c r="J279" t="s">
        <v>77</v>
      </c>
      <c r="K279" t="s">
        <v>78</v>
      </c>
      <c r="L279" t="s">
        <v>79</v>
      </c>
      <c r="M279" t="s">
        <v>80</v>
      </c>
      <c r="N279" t="s">
        <v>81</v>
      </c>
      <c r="O279" t="s">
        <v>82</v>
      </c>
      <c r="P279" t="str">
        <f>"4170041954                    "</f>
        <v xml:space="preserve">4170041954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30.07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98.42</v>
      </c>
      <c r="BM279">
        <v>14.76</v>
      </c>
      <c r="BN279">
        <v>113.18</v>
      </c>
      <c r="BO279">
        <v>113.18</v>
      </c>
      <c r="BQ279" t="s">
        <v>83</v>
      </c>
      <c r="BR279" t="s">
        <v>84</v>
      </c>
      <c r="BS279" s="3">
        <v>45812</v>
      </c>
      <c r="BT279" s="4">
        <v>0.40972222222222221</v>
      </c>
      <c r="BU279" t="s">
        <v>85</v>
      </c>
      <c r="BV279" t="s">
        <v>86</v>
      </c>
      <c r="BY279">
        <v>1200</v>
      </c>
      <c r="BZ279" t="s">
        <v>87</v>
      </c>
      <c r="CA279" t="s">
        <v>88</v>
      </c>
      <c r="CC279" t="s">
        <v>80</v>
      </c>
      <c r="CD279">
        <v>1739</v>
      </c>
      <c r="CE279" t="s">
        <v>89</v>
      </c>
      <c r="CF279" s="3">
        <v>45813</v>
      </c>
      <c r="CI279">
        <v>1</v>
      </c>
      <c r="CJ279">
        <v>1</v>
      </c>
      <c r="CK279">
        <v>24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"080065727911"</f>
        <v>080065727911</v>
      </c>
      <c r="F280" s="3">
        <v>45811</v>
      </c>
      <c r="G280">
        <v>202603</v>
      </c>
      <c r="H280" t="s">
        <v>75</v>
      </c>
      <c r="I280" t="s">
        <v>76</v>
      </c>
      <c r="J280" t="s">
        <v>77</v>
      </c>
      <c r="K280" t="s">
        <v>78</v>
      </c>
      <c r="L280" t="s">
        <v>91</v>
      </c>
      <c r="M280" t="s">
        <v>92</v>
      </c>
      <c r="N280" t="s">
        <v>803</v>
      </c>
      <c r="O280" t="s">
        <v>82</v>
      </c>
      <c r="P280" t="str">
        <f>"4170042037                    "</f>
        <v xml:space="preserve">4170042037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21.38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69.98</v>
      </c>
      <c r="BM280">
        <v>10.5</v>
      </c>
      <c r="BN280">
        <v>80.48</v>
      </c>
      <c r="BO280">
        <v>80.48</v>
      </c>
      <c r="BQ280" t="s">
        <v>804</v>
      </c>
      <c r="BR280" t="s">
        <v>84</v>
      </c>
      <c r="BS280" s="3">
        <v>45812</v>
      </c>
      <c r="BT280" s="4">
        <v>0.40277777777777779</v>
      </c>
      <c r="BU280" t="s">
        <v>805</v>
      </c>
      <c r="BV280" t="s">
        <v>86</v>
      </c>
      <c r="BY280">
        <v>1200</v>
      </c>
      <c r="BZ280" t="s">
        <v>87</v>
      </c>
      <c r="CA280" t="s">
        <v>310</v>
      </c>
      <c r="CC280" t="s">
        <v>92</v>
      </c>
      <c r="CD280">
        <v>7460</v>
      </c>
      <c r="CE280" t="s">
        <v>89</v>
      </c>
      <c r="CF280" s="3">
        <v>45813</v>
      </c>
      <c r="CI280">
        <v>1</v>
      </c>
      <c r="CJ280">
        <v>1</v>
      </c>
      <c r="CK280">
        <v>21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"080065727975"</f>
        <v>080065727975</v>
      </c>
      <c r="F281" s="3">
        <v>45811</v>
      </c>
      <c r="G281">
        <v>202603</v>
      </c>
      <c r="H281" t="s">
        <v>75</v>
      </c>
      <c r="I281" t="s">
        <v>76</v>
      </c>
      <c r="J281" t="s">
        <v>77</v>
      </c>
      <c r="K281" t="s">
        <v>78</v>
      </c>
      <c r="L281" t="s">
        <v>100</v>
      </c>
      <c r="M281" t="s">
        <v>101</v>
      </c>
      <c r="N281" t="s">
        <v>585</v>
      </c>
      <c r="O281" t="s">
        <v>82</v>
      </c>
      <c r="P281" t="str">
        <f>"4170041924                    "</f>
        <v xml:space="preserve">4170041924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21.38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69.98</v>
      </c>
      <c r="BM281">
        <v>10.5</v>
      </c>
      <c r="BN281">
        <v>80.48</v>
      </c>
      <c r="BO281">
        <v>80.48</v>
      </c>
      <c r="BQ281" t="s">
        <v>586</v>
      </c>
      <c r="BR281" t="s">
        <v>84</v>
      </c>
      <c r="BS281" s="3">
        <v>45812</v>
      </c>
      <c r="BT281" s="4">
        <v>0.38333333333333336</v>
      </c>
      <c r="BU281" t="s">
        <v>587</v>
      </c>
      <c r="BV281" t="s">
        <v>86</v>
      </c>
      <c r="BY281">
        <v>1200</v>
      </c>
      <c r="BZ281" t="s">
        <v>87</v>
      </c>
      <c r="CA281" t="s">
        <v>589</v>
      </c>
      <c r="CC281" t="s">
        <v>101</v>
      </c>
      <c r="CD281">
        <v>6001</v>
      </c>
      <c r="CE281" t="s">
        <v>89</v>
      </c>
      <c r="CF281" s="3">
        <v>45812</v>
      </c>
      <c r="CI281">
        <v>1</v>
      </c>
      <c r="CJ281">
        <v>1</v>
      </c>
      <c r="CK281">
        <v>21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"080065728029"</f>
        <v>080065728029</v>
      </c>
      <c r="F282" s="3">
        <v>45811</v>
      </c>
      <c r="G282">
        <v>202603</v>
      </c>
      <c r="H282" t="s">
        <v>75</v>
      </c>
      <c r="I282" t="s">
        <v>76</v>
      </c>
      <c r="J282" t="s">
        <v>77</v>
      </c>
      <c r="K282" t="s">
        <v>78</v>
      </c>
      <c r="L282" t="s">
        <v>136</v>
      </c>
      <c r="M282" t="s">
        <v>137</v>
      </c>
      <c r="N282" t="s">
        <v>806</v>
      </c>
      <c r="O282" t="s">
        <v>82</v>
      </c>
      <c r="P282" t="str">
        <f>"4170041916                    "</f>
        <v xml:space="preserve">4170041916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21.38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69.98</v>
      </c>
      <c r="BM282">
        <v>10.5</v>
      </c>
      <c r="BN282">
        <v>80.48</v>
      </c>
      <c r="BO282">
        <v>80.48</v>
      </c>
      <c r="BQ282" t="s">
        <v>807</v>
      </c>
      <c r="BR282" t="s">
        <v>84</v>
      </c>
      <c r="BS282" s="3">
        <v>45812</v>
      </c>
      <c r="BT282" s="4">
        <v>0.4375</v>
      </c>
      <c r="BU282" t="s">
        <v>808</v>
      </c>
      <c r="BV282" t="s">
        <v>86</v>
      </c>
      <c r="BY282">
        <v>1200</v>
      </c>
      <c r="BZ282" t="s">
        <v>87</v>
      </c>
      <c r="CA282" t="s">
        <v>320</v>
      </c>
      <c r="CC282" t="s">
        <v>137</v>
      </c>
      <c r="CD282">
        <v>5201</v>
      </c>
      <c r="CE282" t="s">
        <v>89</v>
      </c>
      <c r="CF282" s="3">
        <v>45812</v>
      </c>
      <c r="CI282">
        <v>1</v>
      </c>
      <c r="CJ282">
        <v>1</v>
      </c>
      <c r="CK282">
        <v>21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"080065728073"</f>
        <v>080065728073</v>
      </c>
      <c r="F283" s="3">
        <v>45811</v>
      </c>
      <c r="G283">
        <v>202603</v>
      </c>
      <c r="H283" t="s">
        <v>75</v>
      </c>
      <c r="I283" t="s">
        <v>76</v>
      </c>
      <c r="J283" t="s">
        <v>77</v>
      </c>
      <c r="K283" t="s">
        <v>78</v>
      </c>
      <c r="L283" t="s">
        <v>100</v>
      </c>
      <c r="M283" t="s">
        <v>101</v>
      </c>
      <c r="N283" t="s">
        <v>123</v>
      </c>
      <c r="O283" t="s">
        <v>82</v>
      </c>
      <c r="P283" t="str">
        <f>"4170041941                    "</f>
        <v xml:space="preserve">4170041941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21.38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69.98</v>
      </c>
      <c r="BM283">
        <v>10.5</v>
      </c>
      <c r="BN283">
        <v>80.48</v>
      </c>
      <c r="BO283">
        <v>80.48</v>
      </c>
      <c r="BQ283" t="s">
        <v>124</v>
      </c>
      <c r="BR283" t="s">
        <v>84</v>
      </c>
      <c r="BS283" s="3">
        <v>45812</v>
      </c>
      <c r="BT283" s="4">
        <v>0.38680555555555557</v>
      </c>
      <c r="BU283" t="s">
        <v>688</v>
      </c>
      <c r="BV283" t="s">
        <v>86</v>
      </c>
      <c r="BY283">
        <v>1200</v>
      </c>
      <c r="BZ283" t="s">
        <v>87</v>
      </c>
      <c r="CA283" t="s">
        <v>235</v>
      </c>
      <c r="CC283" t="s">
        <v>101</v>
      </c>
      <c r="CD283">
        <v>6001</v>
      </c>
      <c r="CE283" t="s">
        <v>89</v>
      </c>
      <c r="CF283" s="3">
        <v>45812</v>
      </c>
      <c r="CI283">
        <v>1</v>
      </c>
      <c r="CJ283">
        <v>1</v>
      </c>
      <c r="CK283">
        <v>21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"080065728140"</f>
        <v>080065728140</v>
      </c>
      <c r="F284" s="3">
        <v>45811</v>
      </c>
      <c r="G284">
        <v>202603</v>
      </c>
      <c r="H284" t="s">
        <v>75</v>
      </c>
      <c r="I284" t="s">
        <v>76</v>
      </c>
      <c r="J284" t="s">
        <v>77</v>
      </c>
      <c r="K284" t="s">
        <v>78</v>
      </c>
      <c r="L284" t="s">
        <v>100</v>
      </c>
      <c r="M284" t="s">
        <v>101</v>
      </c>
      <c r="N284" t="s">
        <v>102</v>
      </c>
      <c r="O284" t="s">
        <v>94</v>
      </c>
      <c r="P284" t="str">
        <f>"4170041809                    "</f>
        <v xml:space="preserve">4170041809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121.59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51</v>
      </c>
      <c r="BJ284">
        <v>61.9</v>
      </c>
      <c r="BK284">
        <v>62</v>
      </c>
      <c r="BL284">
        <v>403.5</v>
      </c>
      <c r="BM284">
        <v>60.53</v>
      </c>
      <c r="BN284">
        <v>464.03</v>
      </c>
      <c r="BO284">
        <v>464.03</v>
      </c>
      <c r="BQ284" t="s">
        <v>103</v>
      </c>
      <c r="BR284" t="s">
        <v>84</v>
      </c>
      <c r="BS284" s="3">
        <v>45818</v>
      </c>
      <c r="BT284" s="4">
        <v>0.38333333333333336</v>
      </c>
      <c r="BU284" t="s">
        <v>709</v>
      </c>
      <c r="BV284" t="s">
        <v>90</v>
      </c>
      <c r="BW284" t="s">
        <v>416</v>
      </c>
      <c r="BX284" t="s">
        <v>614</v>
      </c>
      <c r="BY284">
        <v>309672</v>
      </c>
      <c r="CA284" t="s">
        <v>283</v>
      </c>
      <c r="CC284" t="s">
        <v>101</v>
      </c>
      <c r="CD284">
        <v>6056</v>
      </c>
      <c r="CE284" t="s">
        <v>122</v>
      </c>
      <c r="CF284" s="3">
        <v>45818</v>
      </c>
      <c r="CI284">
        <v>3</v>
      </c>
      <c r="CJ284">
        <v>5</v>
      </c>
      <c r="CK284">
        <v>41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"080065728306"</f>
        <v>080065728306</v>
      </c>
      <c r="F285" s="3">
        <v>45811</v>
      </c>
      <c r="G285">
        <v>202603</v>
      </c>
      <c r="H285" t="s">
        <v>75</v>
      </c>
      <c r="I285" t="s">
        <v>76</v>
      </c>
      <c r="J285" t="s">
        <v>77</v>
      </c>
      <c r="K285" t="s">
        <v>78</v>
      </c>
      <c r="L285" t="s">
        <v>302</v>
      </c>
      <c r="M285" t="s">
        <v>303</v>
      </c>
      <c r="N285" t="s">
        <v>809</v>
      </c>
      <c r="O285" t="s">
        <v>82</v>
      </c>
      <c r="P285" t="str">
        <f>"4170041840                    "</f>
        <v xml:space="preserve">4170041840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88.2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4.0999999999999996</v>
      </c>
      <c r="BK285">
        <v>4.5</v>
      </c>
      <c r="BL285">
        <v>288.66000000000003</v>
      </c>
      <c r="BM285">
        <v>43.3</v>
      </c>
      <c r="BN285">
        <v>331.96</v>
      </c>
      <c r="BO285">
        <v>331.96</v>
      </c>
      <c r="BQ285" t="s">
        <v>810</v>
      </c>
      <c r="BR285" t="s">
        <v>84</v>
      </c>
      <c r="BS285" s="3">
        <v>45812</v>
      </c>
      <c r="BT285" s="4">
        <v>0.41736111111111113</v>
      </c>
      <c r="BU285" t="s">
        <v>786</v>
      </c>
      <c r="BV285" t="s">
        <v>86</v>
      </c>
      <c r="BY285">
        <v>20358</v>
      </c>
      <c r="BZ285" t="s">
        <v>87</v>
      </c>
      <c r="CA285" t="s">
        <v>811</v>
      </c>
      <c r="CC285" t="s">
        <v>303</v>
      </c>
      <c r="CD285">
        <v>299</v>
      </c>
      <c r="CE285" t="s">
        <v>99</v>
      </c>
      <c r="CF285" s="3">
        <v>45813</v>
      </c>
      <c r="CI285">
        <v>1</v>
      </c>
      <c r="CJ285">
        <v>1</v>
      </c>
      <c r="CK285">
        <v>23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"080065728350"</f>
        <v>080065728350</v>
      </c>
      <c r="F286" s="3">
        <v>45811</v>
      </c>
      <c r="G286">
        <v>202603</v>
      </c>
      <c r="H286" t="s">
        <v>75</v>
      </c>
      <c r="I286" t="s">
        <v>76</v>
      </c>
      <c r="J286" t="s">
        <v>77</v>
      </c>
      <c r="K286" t="s">
        <v>78</v>
      </c>
      <c r="L286" t="s">
        <v>701</v>
      </c>
      <c r="M286" t="s">
        <v>702</v>
      </c>
      <c r="N286" t="s">
        <v>649</v>
      </c>
      <c r="O286" t="s">
        <v>82</v>
      </c>
      <c r="P286" t="str">
        <f>"4170042006                    "</f>
        <v xml:space="preserve">4170042006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41.43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</v>
      </c>
      <c r="BJ286">
        <v>1.9</v>
      </c>
      <c r="BK286">
        <v>2</v>
      </c>
      <c r="BL286">
        <v>135.59</v>
      </c>
      <c r="BM286">
        <v>20.34</v>
      </c>
      <c r="BN286">
        <v>155.93</v>
      </c>
      <c r="BO286">
        <v>155.93</v>
      </c>
      <c r="BQ286" t="s">
        <v>812</v>
      </c>
      <c r="BR286" t="s">
        <v>84</v>
      </c>
      <c r="BS286" s="3">
        <v>45814</v>
      </c>
      <c r="BT286" s="4">
        <v>0.5</v>
      </c>
      <c r="BU286" t="s">
        <v>813</v>
      </c>
      <c r="BV286" t="s">
        <v>90</v>
      </c>
      <c r="BW286" t="s">
        <v>814</v>
      </c>
      <c r="BX286" t="s">
        <v>199</v>
      </c>
      <c r="BY286">
        <v>9600</v>
      </c>
      <c r="BZ286" t="s">
        <v>87</v>
      </c>
      <c r="CC286" t="s">
        <v>702</v>
      </c>
      <c r="CD286">
        <v>2302</v>
      </c>
      <c r="CE286" t="s">
        <v>99</v>
      </c>
      <c r="CF286" s="3">
        <v>45817</v>
      </c>
      <c r="CI286">
        <v>1</v>
      </c>
      <c r="CJ286">
        <v>3</v>
      </c>
      <c r="CK286">
        <v>23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"080065728407"</f>
        <v>080065728407</v>
      </c>
      <c r="F287" s="3">
        <v>45811</v>
      </c>
      <c r="G287">
        <v>202603</v>
      </c>
      <c r="H287" t="s">
        <v>75</v>
      </c>
      <c r="I287" t="s">
        <v>76</v>
      </c>
      <c r="J287" t="s">
        <v>77</v>
      </c>
      <c r="K287" t="s">
        <v>78</v>
      </c>
      <c r="L287" t="s">
        <v>174</v>
      </c>
      <c r="M287" t="s">
        <v>175</v>
      </c>
      <c r="N287" t="s">
        <v>815</v>
      </c>
      <c r="O287" t="s">
        <v>82</v>
      </c>
      <c r="P287" t="str">
        <f>"4170041989                    "</f>
        <v xml:space="preserve">4170041989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37.409999999999997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</v>
      </c>
      <c r="BJ287">
        <v>3.4</v>
      </c>
      <c r="BK287">
        <v>3.5</v>
      </c>
      <c r="BL287">
        <v>122.43</v>
      </c>
      <c r="BM287">
        <v>18.36</v>
      </c>
      <c r="BN287">
        <v>140.79</v>
      </c>
      <c r="BO287">
        <v>140.79</v>
      </c>
      <c r="BQ287" t="s">
        <v>816</v>
      </c>
      <c r="BR287" t="s">
        <v>84</v>
      </c>
      <c r="BS287" s="3">
        <v>45812</v>
      </c>
      <c r="BT287" s="4">
        <v>0.41875000000000001</v>
      </c>
      <c r="BU287" t="s">
        <v>817</v>
      </c>
      <c r="BV287" t="s">
        <v>86</v>
      </c>
      <c r="BY287">
        <v>16965</v>
      </c>
      <c r="BZ287" t="s">
        <v>87</v>
      </c>
      <c r="CA287" t="s">
        <v>596</v>
      </c>
      <c r="CC287" t="s">
        <v>175</v>
      </c>
      <c r="CD287">
        <v>3610</v>
      </c>
      <c r="CE287" t="s">
        <v>99</v>
      </c>
      <c r="CF287" s="3">
        <v>45813</v>
      </c>
      <c r="CI287">
        <v>1</v>
      </c>
      <c r="CJ287">
        <v>1</v>
      </c>
      <c r="CK287">
        <v>21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"080065728444"</f>
        <v>080065728444</v>
      </c>
      <c r="F288" s="3">
        <v>45811</v>
      </c>
      <c r="G288">
        <v>202603</v>
      </c>
      <c r="H288" t="s">
        <v>75</v>
      </c>
      <c r="I288" t="s">
        <v>76</v>
      </c>
      <c r="J288" t="s">
        <v>77</v>
      </c>
      <c r="K288" t="s">
        <v>78</v>
      </c>
      <c r="L288" t="s">
        <v>331</v>
      </c>
      <c r="M288" t="s">
        <v>332</v>
      </c>
      <c r="N288" t="s">
        <v>818</v>
      </c>
      <c r="O288" t="s">
        <v>82</v>
      </c>
      <c r="P288" t="str">
        <f>"4170041922                    "</f>
        <v xml:space="preserve">4170041922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21.38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1.1000000000000001</v>
      </c>
      <c r="BK288">
        <v>1.5</v>
      </c>
      <c r="BL288">
        <v>69.98</v>
      </c>
      <c r="BM288">
        <v>10.5</v>
      </c>
      <c r="BN288">
        <v>80.48</v>
      </c>
      <c r="BO288">
        <v>80.48</v>
      </c>
      <c r="BQ288" t="s">
        <v>819</v>
      </c>
      <c r="BR288" t="s">
        <v>84</v>
      </c>
      <c r="BS288" s="3">
        <v>45812</v>
      </c>
      <c r="BT288" s="4">
        <v>0.4375</v>
      </c>
      <c r="BU288" t="s">
        <v>820</v>
      </c>
      <c r="BV288" t="s">
        <v>86</v>
      </c>
      <c r="BY288">
        <v>5320</v>
      </c>
      <c r="BZ288" t="s">
        <v>87</v>
      </c>
      <c r="CA288" t="s">
        <v>418</v>
      </c>
      <c r="CC288" t="s">
        <v>332</v>
      </c>
      <c r="CD288">
        <v>4052</v>
      </c>
      <c r="CE288" t="s">
        <v>180</v>
      </c>
      <c r="CF288" s="3">
        <v>45812</v>
      </c>
      <c r="CI288">
        <v>1</v>
      </c>
      <c r="CJ288">
        <v>1</v>
      </c>
      <c r="CK288">
        <v>21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"080065728484"</f>
        <v>080065728484</v>
      </c>
      <c r="F289" s="3">
        <v>45811</v>
      </c>
      <c r="G289">
        <v>202603</v>
      </c>
      <c r="H289" t="s">
        <v>75</v>
      </c>
      <c r="I289" t="s">
        <v>76</v>
      </c>
      <c r="J289" t="s">
        <v>77</v>
      </c>
      <c r="K289" t="s">
        <v>78</v>
      </c>
      <c r="L289" t="s">
        <v>821</v>
      </c>
      <c r="M289" t="s">
        <v>822</v>
      </c>
      <c r="N289" t="s">
        <v>823</v>
      </c>
      <c r="O289" t="s">
        <v>82</v>
      </c>
      <c r="P289" t="str">
        <f>"4170041996                    "</f>
        <v xml:space="preserve">4170041996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41.43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1.1000000000000001</v>
      </c>
      <c r="BK289">
        <v>1.5</v>
      </c>
      <c r="BL289">
        <v>135.59</v>
      </c>
      <c r="BM289">
        <v>20.34</v>
      </c>
      <c r="BN289">
        <v>155.93</v>
      </c>
      <c r="BO289">
        <v>155.93</v>
      </c>
      <c r="BQ289" t="s">
        <v>824</v>
      </c>
      <c r="BR289" t="s">
        <v>84</v>
      </c>
      <c r="BS289" s="3">
        <v>45812</v>
      </c>
      <c r="BT289" s="4">
        <v>0.41944444444444445</v>
      </c>
      <c r="BU289" t="s">
        <v>825</v>
      </c>
      <c r="BV289" t="s">
        <v>86</v>
      </c>
      <c r="BY289">
        <v>5320</v>
      </c>
      <c r="BZ289" t="s">
        <v>87</v>
      </c>
      <c r="CA289" t="s">
        <v>826</v>
      </c>
      <c r="CC289" t="s">
        <v>822</v>
      </c>
      <c r="CD289">
        <v>7185</v>
      </c>
      <c r="CE289" t="s">
        <v>180</v>
      </c>
      <c r="CF289" s="3">
        <v>45813</v>
      </c>
      <c r="CI289">
        <v>2</v>
      </c>
      <c r="CJ289">
        <v>1</v>
      </c>
      <c r="CK289">
        <v>23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"080065728524"</f>
        <v>080065728524</v>
      </c>
      <c r="F290" s="3">
        <v>45811</v>
      </c>
      <c r="G290">
        <v>202603</v>
      </c>
      <c r="H290" t="s">
        <v>75</v>
      </c>
      <c r="I290" t="s">
        <v>76</v>
      </c>
      <c r="J290" t="s">
        <v>77</v>
      </c>
      <c r="K290" t="s">
        <v>78</v>
      </c>
      <c r="L290" t="s">
        <v>369</v>
      </c>
      <c r="M290" t="s">
        <v>370</v>
      </c>
      <c r="N290" t="s">
        <v>371</v>
      </c>
      <c r="O290" t="s">
        <v>82</v>
      </c>
      <c r="P290" t="str">
        <f>"4170041901                    "</f>
        <v xml:space="preserve">4170041901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265.94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14</v>
      </c>
      <c r="BJ290">
        <v>8.9</v>
      </c>
      <c r="BK290">
        <v>14</v>
      </c>
      <c r="BL290">
        <v>870.34</v>
      </c>
      <c r="BM290">
        <v>130.55000000000001</v>
      </c>
      <c r="BN290">
        <v>1000.89</v>
      </c>
      <c r="BO290">
        <v>1000.89</v>
      </c>
      <c r="BQ290" t="s">
        <v>372</v>
      </c>
      <c r="BR290" t="s">
        <v>84</v>
      </c>
      <c r="BS290" s="3">
        <v>45812</v>
      </c>
      <c r="BT290" s="4">
        <v>0.4236111111111111</v>
      </c>
      <c r="BU290" t="s">
        <v>373</v>
      </c>
      <c r="BV290" t="s">
        <v>86</v>
      </c>
      <c r="BY290">
        <v>44640</v>
      </c>
      <c r="BZ290" t="s">
        <v>87</v>
      </c>
      <c r="CA290" t="s">
        <v>374</v>
      </c>
      <c r="CC290" t="s">
        <v>370</v>
      </c>
      <c r="CD290">
        <v>7130</v>
      </c>
      <c r="CE290" t="s">
        <v>99</v>
      </c>
      <c r="CF290" s="3">
        <v>45813</v>
      </c>
      <c r="CI290">
        <v>1</v>
      </c>
      <c r="CJ290">
        <v>1</v>
      </c>
      <c r="CK290">
        <v>23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"080065728575"</f>
        <v>080065728575</v>
      </c>
      <c r="F291" s="3">
        <v>45811</v>
      </c>
      <c r="G291">
        <v>202603</v>
      </c>
      <c r="H291" t="s">
        <v>75</v>
      </c>
      <c r="I291" t="s">
        <v>76</v>
      </c>
      <c r="J291" t="s">
        <v>77</v>
      </c>
      <c r="K291" t="s">
        <v>78</v>
      </c>
      <c r="L291" t="s">
        <v>159</v>
      </c>
      <c r="M291" t="s">
        <v>160</v>
      </c>
      <c r="N291" t="s">
        <v>827</v>
      </c>
      <c r="O291" t="s">
        <v>82</v>
      </c>
      <c r="P291" t="str">
        <f>"4170041928                    "</f>
        <v xml:space="preserve">4170041928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16.7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1.9</v>
      </c>
      <c r="BK291">
        <v>2</v>
      </c>
      <c r="BL291">
        <v>54.66</v>
      </c>
      <c r="BM291">
        <v>8.1999999999999993</v>
      </c>
      <c r="BN291">
        <v>62.86</v>
      </c>
      <c r="BO291">
        <v>62.86</v>
      </c>
      <c r="BQ291" t="s">
        <v>828</v>
      </c>
      <c r="BR291" t="s">
        <v>84</v>
      </c>
      <c r="BS291" s="3">
        <v>45812</v>
      </c>
      <c r="BT291" s="4">
        <v>0.42708333333333331</v>
      </c>
      <c r="BU291" t="s">
        <v>829</v>
      </c>
      <c r="BV291" t="s">
        <v>86</v>
      </c>
      <c r="BY291">
        <v>9600</v>
      </c>
      <c r="BZ291" t="s">
        <v>87</v>
      </c>
      <c r="CA291" t="s">
        <v>233</v>
      </c>
      <c r="CC291" t="s">
        <v>160</v>
      </c>
      <c r="CD291">
        <v>2049</v>
      </c>
      <c r="CE291" t="s">
        <v>687</v>
      </c>
      <c r="CF291" s="3">
        <v>45812</v>
      </c>
      <c r="CI291">
        <v>1</v>
      </c>
      <c r="CJ291">
        <v>1</v>
      </c>
      <c r="CK291">
        <v>22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"080065728795"</f>
        <v>080065728795</v>
      </c>
      <c r="F292" s="3">
        <v>45811</v>
      </c>
      <c r="G292">
        <v>202603</v>
      </c>
      <c r="H292" t="s">
        <v>75</v>
      </c>
      <c r="I292" t="s">
        <v>76</v>
      </c>
      <c r="J292" t="s">
        <v>77</v>
      </c>
      <c r="K292" t="s">
        <v>78</v>
      </c>
      <c r="L292" t="s">
        <v>257</v>
      </c>
      <c r="M292" t="s">
        <v>258</v>
      </c>
      <c r="N292" t="s">
        <v>830</v>
      </c>
      <c r="O292" t="s">
        <v>94</v>
      </c>
      <c r="P292" t="str">
        <f>"4170041891                    "</f>
        <v xml:space="preserve">4170041891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120.88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36</v>
      </c>
      <c r="BJ292">
        <v>15.8</v>
      </c>
      <c r="BK292">
        <v>36</v>
      </c>
      <c r="BL292">
        <v>401.17</v>
      </c>
      <c r="BM292">
        <v>60.18</v>
      </c>
      <c r="BN292">
        <v>461.35</v>
      </c>
      <c r="BO292">
        <v>461.35</v>
      </c>
      <c r="BQ292" t="s">
        <v>831</v>
      </c>
      <c r="BR292" t="s">
        <v>84</v>
      </c>
      <c r="BS292" s="3">
        <v>45811</v>
      </c>
      <c r="BT292" s="4">
        <v>0.51875000000000004</v>
      </c>
      <c r="BU292" t="s">
        <v>832</v>
      </c>
      <c r="BV292" t="s">
        <v>86</v>
      </c>
      <c r="BY292">
        <v>79200</v>
      </c>
      <c r="BZ292" t="s">
        <v>97</v>
      </c>
      <c r="CA292" t="s">
        <v>833</v>
      </c>
      <c r="CC292" t="s">
        <v>258</v>
      </c>
      <c r="CD292">
        <v>3900</v>
      </c>
      <c r="CE292" t="s">
        <v>99</v>
      </c>
      <c r="CI292">
        <v>2</v>
      </c>
      <c r="CJ292">
        <v>0</v>
      </c>
      <c r="CK292">
        <v>43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"080065729089"</f>
        <v>080065729089</v>
      </c>
      <c r="F293" s="3">
        <v>45811</v>
      </c>
      <c r="G293">
        <v>202603</v>
      </c>
      <c r="H293" t="s">
        <v>75</v>
      </c>
      <c r="I293" t="s">
        <v>76</v>
      </c>
      <c r="J293" t="s">
        <v>77</v>
      </c>
      <c r="K293" t="s">
        <v>78</v>
      </c>
      <c r="L293" t="s">
        <v>331</v>
      </c>
      <c r="M293" t="s">
        <v>332</v>
      </c>
      <c r="N293" t="s">
        <v>834</v>
      </c>
      <c r="O293" t="s">
        <v>94</v>
      </c>
      <c r="P293" t="str">
        <f>"4170041891                    "</f>
        <v xml:space="preserve">4170041891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77.2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36</v>
      </c>
      <c r="BJ293">
        <v>15.8</v>
      </c>
      <c r="BK293">
        <v>36</v>
      </c>
      <c r="BL293">
        <v>258.23</v>
      </c>
      <c r="BM293">
        <v>38.729999999999997</v>
      </c>
      <c r="BN293">
        <v>296.95999999999998</v>
      </c>
      <c r="BO293">
        <v>296.95999999999998</v>
      </c>
      <c r="BQ293" t="s">
        <v>835</v>
      </c>
      <c r="BR293" t="s">
        <v>84</v>
      </c>
      <c r="BS293" s="3">
        <v>45813</v>
      </c>
      <c r="BT293" s="4">
        <v>0.53055555555555556</v>
      </c>
      <c r="BU293" t="s">
        <v>836</v>
      </c>
      <c r="BV293" t="s">
        <v>90</v>
      </c>
      <c r="BW293" t="s">
        <v>416</v>
      </c>
      <c r="BX293" t="s">
        <v>837</v>
      </c>
      <c r="BY293">
        <v>79200</v>
      </c>
      <c r="BZ293" t="s">
        <v>97</v>
      </c>
      <c r="CA293" t="s">
        <v>838</v>
      </c>
      <c r="CC293" t="s">
        <v>332</v>
      </c>
      <c r="CD293">
        <v>4052</v>
      </c>
      <c r="CE293" t="s">
        <v>99</v>
      </c>
      <c r="CF293" s="3">
        <v>45813</v>
      </c>
      <c r="CI293">
        <v>1</v>
      </c>
      <c r="CJ293">
        <v>2</v>
      </c>
      <c r="CK293">
        <v>41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"080011532806"</f>
        <v>080011532806</v>
      </c>
      <c r="F294" s="3">
        <v>45811</v>
      </c>
      <c r="G294">
        <v>202603</v>
      </c>
      <c r="H294" t="s">
        <v>331</v>
      </c>
      <c r="I294" t="s">
        <v>332</v>
      </c>
      <c r="J294" t="s">
        <v>839</v>
      </c>
      <c r="K294" t="s">
        <v>78</v>
      </c>
      <c r="L294" t="s">
        <v>75</v>
      </c>
      <c r="M294" t="s">
        <v>76</v>
      </c>
      <c r="N294" t="s">
        <v>188</v>
      </c>
      <c r="O294" t="s">
        <v>94</v>
      </c>
      <c r="P294" t="str">
        <f>"ZA1001387830                  "</f>
        <v xml:space="preserve">ZA1001387830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41.35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5</v>
      </c>
      <c r="BJ294">
        <v>7.2</v>
      </c>
      <c r="BK294">
        <v>8</v>
      </c>
      <c r="BL294">
        <v>140.9</v>
      </c>
      <c r="BM294">
        <v>21.14</v>
      </c>
      <c r="BN294">
        <v>162.04</v>
      </c>
      <c r="BO294">
        <v>162.04</v>
      </c>
      <c r="BP294" t="s">
        <v>189</v>
      </c>
      <c r="BQ294" t="s">
        <v>190</v>
      </c>
      <c r="BR294" t="s">
        <v>840</v>
      </c>
      <c r="BS294" s="3">
        <v>45812</v>
      </c>
      <c r="BT294" s="4">
        <v>0.375</v>
      </c>
      <c r="BU294" t="s">
        <v>192</v>
      </c>
      <c r="BV294" t="s">
        <v>86</v>
      </c>
      <c r="BY294">
        <v>36000</v>
      </c>
      <c r="BZ294" t="s">
        <v>97</v>
      </c>
      <c r="CA294" t="s">
        <v>193</v>
      </c>
      <c r="CC294" t="s">
        <v>76</v>
      </c>
      <c r="CD294">
        <v>1618</v>
      </c>
      <c r="CE294" t="s">
        <v>194</v>
      </c>
      <c r="CF294" s="3">
        <v>45812</v>
      </c>
      <c r="CI294">
        <v>1</v>
      </c>
      <c r="CJ294">
        <v>1</v>
      </c>
      <c r="CK294">
        <v>41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"080065729664"</f>
        <v>080065729664</v>
      </c>
      <c r="F295" s="3">
        <v>45811</v>
      </c>
      <c r="G295">
        <v>202603</v>
      </c>
      <c r="H295" t="s">
        <v>75</v>
      </c>
      <c r="I295" t="s">
        <v>76</v>
      </c>
      <c r="J295" t="s">
        <v>77</v>
      </c>
      <c r="K295" t="s">
        <v>78</v>
      </c>
      <c r="L295" t="s">
        <v>91</v>
      </c>
      <c r="M295" t="s">
        <v>92</v>
      </c>
      <c r="N295" t="s">
        <v>841</v>
      </c>
      <c r="O295" t="s">
        <v>82</v>
      </c>
      <c r="P295" t="str">
        <f>"009943879271                  "</f>
        <v xml:space="preserve">009943879271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32.07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2.9</v>
      </c>
      <c r="BK295">
        <v>3</v>
      </c>
      <c r="BL295">
        <v>104.95</v>
      </c>
      <c r="BM295">
        <v>15.74</v>
      </c>
      <c r="BN295">
        <v>120.69</v>
      </c>
      <c r="BO295">
        <v>120.69</v>
      </c>
      <c r="BQ295" t="s">
        <v>842</v>
      </c>
      <c r="BR295" t="s">
        <v>84</v>
      </c>
      <c r="BS295" s="3">
        <v>45812</v>
      </c>
      <c r="BT295" s="4">
        <v>0.43611111111111112</v>
      </c>
      <c r="BU295" t="s">
        <v>843</v>
      </c>
      <c r="BV295" t="s">
        <v>86</v>
      </c>
      <c r="BY295">
        <v>14280</v>
      </c>
      <c r="BZ295" t="s">
        <v>87</v>
      </c>
      <c r="CA295" t="s">
        <v>844</v>
      </c>
      <c r="CC295" t="s">
        <v>92</v>
      </c>
      <c r="CD295">
        <v>7535</v>
      </c>
      <c r="CE295" t="s">
        <v>166</v>
      </c>
      <c r="CF295" s="3">
        <v>45813</v>
      </c>
      <c r="CI295">
        <v>1</v>
      </c>
      <c r="CJ295">
        <v>1</v>
      </c>
      <c r="CK295">
        <v>21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"080065729707"</f>
        <v>080065729707</v>
      </c>
      <c r="F296" s="3">
        <v>45811</v>
      </c>
      <c r="G296">
        <v>202603</v>
      </c>
      <c r="H296" t="s">
        <v>75</v>
      </c>
      <c r="I296" t="s">
        <v>76</v>
      </c>
      <c r="J296" t="s">
        <v>77</v>
      </c>
      <c r="K296" t="s">
        <v>78</v>
      </c>
      <c r="L296" t="s">
        <v>91</v>
      </c>
      <c r="M296" t="s">
        <v>92</v>
      </c>
      <c r="N296" t="s">
        <v>327</v>
      </c>
      <c r="O296" t="s">
        <v>82</v>
      </c>
      <c r="P296" t="str">
        <f>"4170041979                    "</f>
        <v xml:space="preserve">4170041979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21.38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2</v>
      </c>
      <c r="BJ296">
        <v>1.5</v>
      </c>
      <c r="BK296">
        <v>2</v>
      </c>
      <c r="BL296">
        <v>69.98</v>
      </c>
      <c r="BM296">
        <v>10.5</v>
      </c>
      <c r="BN296">
        <v>80.48</v>
      </c>
      <c r="BO296">
        <v>80.48</v>
      </c>
      <c r="BQ296" t="s">
        <v>328</v>
      </c>
      <c r="BR296" t="s">
        <v>84</v>
      </c>
      <c r="BS296" s="3">
        <v>45812</v>
      </c>
      <c r="BT296" s="4">
        <v>0.3215277777777778</v>
      </c>
      <c r="BU296" t="s">
        <v>775</v>
      </c>
      <c r="BV296" t="s">
        <v>86</v>
      </c>
      <c r="BY296">
        <v>7540</v>
      </c>
      <c r="BZ296" t="s">
        <v>87</v>
      </c>
      <c r="CA296" t="s">
        <v>330</v>
      </c>
      <c r="CC296" t="s">
        <v>92</v>
      </c>
      <c r="CD296">
        <v>7530</v>
      </c>
      <c r="CE296" t="s">
        <v>99</v>
      </c>
      <c r="CF296" s="3">
        <v>45813</v>
      </c>
      <c r="CI296">
        <v>1</v>
      </c>
      <c r="CJ296">
        <v>1</v>
      </c>
      <c r="CK296">
        <v>21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"080065729722"</f>
        <v>080065729722</v>
      </c>
      <c r="F297" s="3">
        <v>45811</v>
      </c>
      <c r="G297">
        <v>202603</v>
      </c>
      <c r="H297" t="s">
        <v>75</v>
      </c>
      <c r="I297" t="s">
        <v>76</v>
      </c>
      <c r="J297" t="s">
        <v>77</v>
      </c>
      <c r="K297" t="s">
        <v>78</v>
      </c>
      <c r="L297" t="s">
        <v>331</v>
      </c>
      <c r="M297" t="s">
        <v>332</v>
      </c>
      <c r="N297" t="s">
        <v>845</v>
      </c>
      <c r="O297" t="s">
        <v>82</v>
      </c>
      <c r="P297" t="str">
        <f>"4170041909                    "</f>
        <v xml:space="preserve">4170041909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48.09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</v>
      </c>
      <c r="BJ297">
        <v>4.0999999999999996</v>
      </c>
      <c r="BK297">
        <v>4.5</v>
      </c>
      <c r="BL297">
        <v>157.38999999999999</v>
      </c>
      <c r="BM297">
        <v>23.61</v>
      </c>
      <c r="BN297">
        <v>181</v>
      </c>
      <c r="BO297">
        <v>181</v>
      </c>
      <c r="BQ297" t="s">
        <v>846</v>
      </c>
      <c r="BR297" t="s">
        <v>84</v>
      </c>
      <c r="BS297" s="3">
        <v>45812</v>
      </c>
      <c r="BT297" s="4">
        <v>0.42708333333333331</v>
      </c>
      <c r="BU297" t="s">
        <v>847</v>
      </c>
      <c r="BV297" t="s">
        <v>86</v>
      </c>
      <c r="BY297">
        <v>20358</v>
      </c>
      <c r="BZ297" t="s">
        <v>87</v>
      </c>
      <c r="CA297" t="s">
        <v>483</v>
      </c>
      <c r="CC297" t="s">
        <v>332</v>
      </c>
      <c r="CD297">
        <v>4051</v>
      </c>
      <c r="CE297" t="s">
        <v>99</v>
      </c>
      <c r="CF297" s="3">
        <v>45812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"080065729745"</f>
        <v>080065729745</v>
      </c>
      <c r="F298" s="3">
        <v>45811</v>
      </c>
      <c r="G298">
        <v>202603</v>
      </c>
      <c r="H298" t="s">
        <v>75</v>
      </c>
      <c r="I298" t="s">
        <v>76</v>
      </c>
      <c r="J298" t="s">
        <v>77</v>
      </c>
      <c r="K298" t="s">
        <v>78</v>
      </c>
      <c r="L298" t="s">
        <v>100</v>
      </c>
      <c r="M298" t="s">
        <v>101</v>
      </c>
      <c r="N298" t="s">
        <v>669</v>
      </c>
      <c r="O298" t="s">
        <v>82</v>
      </c>
      <c r="P298" t="str">
        <f>"4170042002                    "</f>
        <v xml:space="preserve">4170042002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64.12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3</v>
      </c>
      <c r="BJ298">
        <v>5.8</v>
      </c>
      <c r="BK298">
        <v>6</v>
      </c>
      <c r="BL298">
        <v>209.84</v>
      </c>
      <c r="BM298">
        <v>31.48</v>
      </c>
      <c r="BN298">
        <v>241.32</v>
      </c>
      <c r="BO298">
        <v>241.32</v>
      </c>
      <c r="BQ298" t="s">
        <v>670</v>
      </c>
      <c r="BR298" t="s">
        <v>84</v>
      </c>
      <c r="BS298" s="3">
        <v>45812</v>
      </c>
      <c r="BT298" s="4">
        <v>0.38194444444444442</v>
      </c>
      <c r="BU298" t="s">
        <v>848</v>
      </c>
      <c r="BV298" t="s">
        <v>86</v>
      </c>
      <c r="BY298">
        <v>28900</v>
      </c>
      <c r="BZ298" t="s">
        <v>87</v>
      </c>
      <c r="CA298" t="s">
        <v>283</v>
      </c>
      <c r="CC298" t="s">
        <v>101</v>
      </c>
      <c r="CD298">
        <v>6012</v>
      </c>
      <c r="CE298" t="s">
        <v>166</v>
      </c>
      <c r="CF298" s="3">
        <v>45812</v>
      </c>
      <c r="CI298">
        <v>1</v>
      </c>
      <c r="CJ298">
        <v>1</v>
      </c>
      <c r="CK298">
        <v>21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"080065729761"</f>
        <v>080065729761</v>
      </c>
      <c r="F299" s="3">
        <v>45811</v>
      </c>
      <c r="G299">
        <v>202603</v>
      </c>
      <c r="H299" t="s">
        <v>75</v>
      </c>
      <c r="I299" t="s">
        <v>76</v>
      </c>
      <c r="J299" t="s">
        <v>77</v>
      </c>
      <c r="K299" t="s">
        <v>78</v>
      </c>
      <c r="L299" t="s">
        <v>106</v>
      </c>
      <c r="M299" t="s">
        <v>107</v>
      </c>
      <c r="N299" t="s">
        <v>405</v>
      </c>
      <c r="O299" t="s">
        <v>82</v>
      </c>
      <c r="P299" t="str">
        <f>"4170041985                    "</f>
        <v xml:space="preserve">4170041985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32.07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</v>
      </c>
      <c r="BJ299">
        <v>1.7</v>
      </c>
      <c r="BK299">
        <v>3</v>
      </c>
      <c r="BL299">
        <v>104.95</v>
      </c>
      <c r="BM299">
        <v>15.74</v>
      </c>
      <c r="BN299">
        <v>120.69</v>
      </c>
      <c r="BO299">
        <v>120.69</v>
      </c>
      <c r="BQ299" t="s">
        <v>406</v>
      </c>
      <c r="BR299" t="s">
        <v>84</v>
      </c>
      <c r="BS299" s="3">
        <v>45812</v>
      </c>
      <c r="BT299" s="4">
        <v>0.58958333333333335</v>
      </c>
      <c r="BU299" t="s">
        <v>849</v>
      </c>
      <c r="BV299" t="s">
        <v>86</v>
      </c>
      <c r="BY299">
        <v>8496</v>
      </c>
      <c r="CA299" t="s">
        <v>850</v>
      </c>
      <c r="CC299" t="s">
        <v>107</v>
      </c>
      <c r="CD299">
        <v>186</v>
      </c>
      <c r="CE299" t="s">
        <v>166</v>
      </c>
      <c r="CF299" s="3">
        <v>45812</v>
      </c>
      <c r="CI299">
        <v>1</v>
      </c>
      <c r="CJ299">
        <v>1</v>
      </c>
      <c r="CK299">
        <v>21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"080065729786"</f>
        <v>080065729786</v>
      </c>
      <c r="F300" s="3">
        <v>45811</v>
      </c>
      <c r="G300">
        <v>202603</v>
      </c>
      <c r="H300" t="s">
        <v>75</v>
      </c>
      <c r="I300" t="s">
        <v>76</v>
      </c>
      <c r="J300" t="s">
        <v>77</v>
      </c>
      <c r="K300" t="s">
        <v>78</v>
      </c>
      <c r="L300" t="s">
        <v>100</v>
      </c>
      <c r="M300" t="s">
        <v>101</v>
      </c>
      <c r="N300" t="s">
        <v>123</v>
      </c>
      <c r="O300" t="s">
        <v>82</v>
      </c>
      <c r="P300" t="str">
        <f>"4170041939                    "</f>
        <v xml:space="preserve">4170041939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21.38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1.1000000000000001</v>
      </c>
      <c r="BK300">
        <v>1.5</v>
      </c>
      <c r="BL300">
        <v>69.98</v>
      </c>
      <c r="BM300">
        <v>10.5</v>
      </c>
      <c r="BN300">
        <v>80.48</v>
      </c>
      <c r="BO300">
        <v>80.48</v>
      </c>
      <c r="BQ300" t="s">
        <v>124</v>
      </c>
      <c r="BR300" t="s">
        <v>84</v>
      </c>
      <c r="BS300" s="3">
        <v>45812</v>
      </c>
      <c r="BT300" s="4">
        <v>0.38680555555555557</v>
      </c>
      <c r="BU300" t="s">
        <v>688</v>
      </c>
      <c r="BV300" t="s">
        <v>86</v>
      </c>
      <c r="BY300">
        <v>5320</v>
      </c>
      <c r="BZ300" t="s">
        <v>87</v>
      </c>
      <c r="CA300" t="s">
        <v>235</v>
      </c>
      <c r="CC300" t="s">
        <v>101</v>
      </c>
      <c r="CD300">
        <v>6001</v>
      </c>
      <c r="CE300" t="s">
        <v>99</v>
      </c>
      <c r="CF300" s="3">
        <v>45812</v>
      </c>
      <c r="CI300">
        <v>1</v>
      </c>
      <c r="CJ300">
        <v>1</v>
      </c>
      <c r="CK300">
        <v>21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"080065729792"</f>
        <v>080065729792</v>
      </c>
      <c r="F301" s="3">
        <v>45811</v>
      </c>
      <c r="G301">
        <v>202603</v>
      </c>
      <c r="H301" t="s">
        <v>75</v>
      </c>
      <c r="I301" t="s">
        <v>76</v>
      </c>
      <c r="J301" t="s">
        <v>77</v>
      </c>
      <c r="K301" t="s">
        <v>78</v>
      </c>
      <c r="L301" t="s">
        <v>116</v>
      </c>
      <c r="M301" t="s">
        <v>117</v>
      </c>
      <c r="N301" t="s">
        <v>851</v>
      </c>
      <c r="O301" t="s">
        <v>82</v>
      </c>
      <c r="P301" t="str">
        <f>"4170042021                    "</f>
        <v xml:space="preserve">4170042021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21.38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69.98</v>
      </c>
      <c r="BM301">
        <v>10.5</v>
      </c>
      <c r="BN301">
        <v>80.48</v>
      </c>
      <c r="BO301">
        <v>80.48</v>
      </c>
      <c r="BQ301" t="s">
        <v>852</v>
      </c>
      <c r="BR301" t="s">
        <v>84</v>
      </c>
      <c r="BS301" s="3">
        <v>45812</v>
      </c>
      <c r="BT301" s="4">
        <v>0.41666666666666669</v>
      </c>
      <c r="BU301" t="s">
        <v>853</v>
      </c>
      <c r="BV301" t="s">
        <v>86</v>
      </c>
      <c r="BY301">
        <v>1200</v>
      </c>
      <c r="BZ301" t="s">
        <v>87</v>
      </c>
      <c r="CA301" t="s">
        <v>491</v>
      </c>
      <c r="CC301" t="s">
        <v>117</v>
      </c>
      <c r="CD301">
        <v>3201</v>
      </c>
      <c r="CE301" t="s">
        <v>89</v>
      </c>
      <c r="CF301" s="3">
        <v>45813</v>
      </c>
      <c r="CI301">
        <v>5</v>
      </c>
      <c r="CJ301">
        <v>1</v>
      </c>
      <c r="CK301">
        <v>21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"080065729812"</f>
        <v>080065729812</v>
      </c>
      <c r="F302" s="3">
        <v>45811</v>
      </c>
      <c r="G302">
        <v>202603</v>
      </c>
      <c r="H302" t="s">
        <v>75</v>
      </c>
      <c r="I302" t="s">
        <v>76</v>
      </c>
      <c r="J302" t="s">
        <v>77</v>
      </c>
      <c r="K302" t="s">
        <v>78</v>
      </c>
      <c r="L302" t="s">
        <v>174</v>
      </c>
      <c r="M302" t="s">
        <v>175</v>
      </c>
      <c r="N302" t="s">
        <v>680</v>
      </c>
      <c r="O302" t="s">
        <v>82</v>
      </c>
      <c r="P302" t="str">
        <f>"4170041913                    "</f>
        <v xml:space="preserve">4170041913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21.38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69.98</v>
      </c>
      <c r="BM302">
        <v>10.5</v>
      </c>
      <c r="BN302">
        <v>80.48</v>
      </c>
      <c r="BO302">
        <v>80.48</v>
      </c>
      <c r="BQ302" t="s">
        <v>681</v>
      </c>
      <c r="BR302" t="s">
        <v>84</v>
      </c>
      <c r="BS302" s="3">
        <v>45812</v>
      </c>
      <c r="BT302" s="4">
        <v>0.80069444444444449</v>
      </c>
      <c r="BU302" t="s">
        <v>854</v>
      </c>
      <c r="BV302" t="s">
        <v>90</v>
      </c>
      <c r="BW302" t="s">
        <v>212</v>
      </c>
      <c r="BX302" t="s">
        <v>213</v>
      </c>
      <c r="BY302">
        <v>1200</v>
      </c>
      <c r="BZ302" t="s">
        <v>87</v>
      </c>
      <c r="CA302" t="s">
        <v>722</v>
      </c>
      <c r="CC302" t="s">
        <v>175</v>
      </c>
      <c r="CD302">
        <v>3610</v>
      </c>
      <c r="CE302" t="s">
        <v>89</v>
      </c>
      <c r="CF302" s="3">
        <v>45813</v>
      </c>
      <c r="CI302">
        <v>1</v>
      </c>
      <c r="CJ302">
        <v>1</v>
      </c>
      <c r="CK302">
        <v>21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"080065729816"</f>
        <v>080065729816</v>
      </c>
      <c r="F303" s="3">
        <v>45811</v>
      </c>
      <c r="G303">
        <v>202603</v>
      </c>
      <c r="H303" t="s">
        <v>75</v>
      </c>
      <c r="I303" t="s">
        <v>76</v>
      </c>
      <c r="J303" t="s">
        <v>77</v>
      </c>
      <c r="K303" t="s">
        <v>78</v>
      </c>
      <c r="L303" t="s">
        <v>100</v>
      </c>
      <c r="M303" t="s">
        <v>101</v>
      </c>
      <c r="N303" t="s">
        <v>516</v>
      </c>
      <c r="O303" t="s">
        <v>82</v>
      </c>
      <c r="P303" t="str">
        <f>"4170042008                    "</f>
        <v xml:space="preserve">4170042008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21.38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2</v>
      </c>
      <c r="BJ303">
        <v>1.1000000000000001</v>
      </c>
      <c r="BK303">
        <v>2</v>
      </c>
      <c r="BL303">
        <v>69.98</v>
      </c>
      <c r="BM303">
        <v>10.5</v>
      </c>
      <c r="BN303">
        <v>80.48</v>
      </c>
      <c r="BO303">
        <v>80.48</v>
      </c>
      <c r="BQ303" t="s">
        <v>517</v>
      </c>
      <c r="BR303" t="s">
        <v>84</v>
      </c>
      <c r="BS303" s="3">
        <v>45812</v>
      </c>
      <c r="BT303" s="4">
        <v>0.3659722222222222</v>
      </c>
      <c r="BU303" t="s">
        <v>855</v>
      </c>
      <c r="BV303" t="s">
        <v>86</v>
      </c>
      <c r="BY303">
        <v>5320</v>
      </c>
      <c r="BZ303" t="s">
        <v>87</v>
      </c>
      <c r="CA303" t="s">
        <v>283</v>
      </c>
      <c r="CC303" t="s">
        <v>101</v>
      </c>
      <c r="CD303">
        <v>6001</v>
      </c>
      <c r="CE303" t="s">
        <v>99</v>
      </c>
      <c r="CF303" s="3">
        <v>45812</v>
      </c>
      <c r="CI303">
        <v>1</v>
      </c>
      <c r="CJ303">
        <v>1</v>
      </c>
      <c r="CK303">
        <v>21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"080065729845"</f>
        <v>080065729845</v>
      </c>
      <c r="F304" s="3">
        <v>45811</v>
      </c>
      <c r="G304">
        <v>202603</v>
      </c>
      <c r="H304" t="s">
        <v>75</v>
      </c>
      <c r="I304" t="s">
        <v>76</v>
      </c>
      <c r="J304" t="s">
        <v>77</v>
      </c>
      <c r="K304" t="s">
        <v>78</v>
      </c>
      <c r="L304" t="s">
        <v>159</v>
      </c>
      <c r="M304" t="s">
        <v>160</v>
      </c>
      <c r="N304" t="s">
        <v>856</v>
      </c>
      <c r="O304" t="s">
        <v>82</v>
      </c>
      <c r="P304" t="str">
        <f>"4170041946                    "</f>
        <v xml:space="preserve">4170041946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16.7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0.2</v>
      </c>
      <c r="BK304">
        <v>1</v>
      </c>
      <c r="BL304">
        <v>54.66</v>
      </c>
      <c r="BM304">
        <v>8.1999999999999993</v>
      </c>
      <c r="BN304">
        <v>62.86</v>
      </c>
      <c r="BO304">
        <v>62.86</v>
      </c>
      <c r="BQ304" t="s">
        <v>857</v>
      </c>
      <c r="BR304" t="s">
        <v>84</v>
      </c>
      <c r="BS304" s="3">
        <v>45812</v>
      </c>
      <c r="BT304" s="4">
        <v>0.38472222222222224</v>
      </c>
      <c r="BU304" t="s">
        <v>858</v>
      </c>
      <c r="BV304" t="s">
        <v>86</v>
      </c>
      <c r="BY304">
        <v>1200</v>
      </c>
      <c r="BZ304" t="s">
        <v>87</v>
      </c>
      <c r="CA304" t="s">
        <v>444</v>
      </c>
      <c r="CC304" t="s">
        <v>160</v>
      </c>
      <c r="CD304">
        <v>2013</v>
      </c>
      <c r="CE304" t="s">
        <v>89</v>
      </c>
      <c r="CF304" s="3">
        <v>45813</v>
      </c>
      <c r="CI304">
        <v>1</v>
      </c>
      <c r="CJ304">
        <v>1</v>
      </c>
      <c r="CK304">
        <v>22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"080065729846"</f>
        <v>080065729846</v>
      </c>
      <c r="F305" s="3">
        <v>45811</v>
      </c>
      <c r="G305">
        <v>202603</v>
      </c>
      <c r="H305" t="s">
        <v>75</v>
      </c>
      <c r="I305" t="s">
        <v>76</v>
      </c>
      <c r="J305" t="s">
        <v>77</v>
      </c>
      <c r="K305" t="s">
        <v>78</v>
      </c>
      <c r="L305" t="s">
        <v>100</v>
      </c>
      <c r="M305" t="s">
        <v>101</v>
      </c>
      <c r="N305" t="s">
        <v>123</v>
      </c>
      <c r="O305" t="s">
        <v>82</v>
      </c>
      <c r="P305" t="str">
        <f>"4170041900                    "</f>
        <v xml:space="preserve">4170041900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48.09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2</v>
      </c>
      <c r="BJ305">
        <v>4.0999999999999996</v>
      </c>
      <c r="BK305">
        <v>4.5</v>
      </c>
      <c r="BL305">
        <v>157.38999999999999</v>
      </c>
      <c r="BM305">
        <v>23.61</v>
      </c>
      <c r="BN305">
        <v>181</v>
      </c>
      <c r="BO305">
        <v>181</v>
      </c>
      <c r="BQ305" t="s">
        <v>124</v>
      </c>
      <c r="BR305" t="s">
        <v>84</v>
      </c>
      <c r="BS305" s="3">
        <v>45812</v>
      </c>
      <c r="BT305" s="4">
        <v>0.38680555555555557</v>
      </c>
      <c r="BU305" t="s">
        <v>688</v>
      </c>
      <c r="BV305" t="s">
        <v>86</v>
      </c>
      <c r="BY305">
        <v>20358</v>
      </c>
      <c r="BZ305" t="s">
        <v>87</v>
      </c>
      <c r="CA305" t="s">
        <v>235</v>
      </c>
      <c r="CC305" t="s">
        <v>101</v>
      </c>
      <c r="CD305">
        <v>6001</v>
      </c>
      <c r="CE305" t="s">
        <v>99</v>
      </c>
      <c r="CF305" s="3">
        <v>45812</v>
      </c>
      <c r="CI305">
        <v>1</v>
      </c>
      <c r="CJ305">
        <v>1</v>
      </c>
      <c r="CK305">
        <v>21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"080065729893"</f>
        <v>080065729893</v>
      </c>
      <c r="F306" s="3">
        <v>45811</v>
      </c>
      <c r="G306">
        <v>202603</v>
      </c>
      <c r="H306" t="s">
        <v>75</v>
      </c>
      <c r="I306" t="s">
        <v>76</v>
      </c>
      <c r="J306" t="s">
        <v>77</v>
      </c>
      <c r="K306" t="s">
        <v>78</v>
      </c>
      <c r="L306" t="s">
        <v>91</v>
      </c>
      <c r="M306" t="s">
        <v>92</v>
      </c>
      <c r="N306" t="s">
        <v>419</v>
      </c>
      <c r="O306" t="s">
        <v>82</v>
      </c>
      <c r="P306" t="str">
        <f>"4170041952                    "</f>
        <v xml:space="preserve">4170041952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21.38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69.98</v>
      </c>
      <c r="BM306">
        <v>10.5</v>
      </c>
      <c r="BN306">
        <v>80.48</v>
      </c>
      <c r="BO306">
        <v>80.48</v>
      </c>
      <c r="BQ306" t="s">
        <v>420</v>
      </c>
      <c r="BR306" t="s">
        <v>84</v>
      </c>
      <c r="BS306" s="3">
        <v>45812</v>
      </c>
      <c r="BT306" s="4">
        <v>0.35069444444444442</v>
      </c>
      <c r="BU306" t="s">
        <v>859</v>
      </c>
      <c r="BV306" t="s">
        <v>86</v>
      </c>
      <c r="BY306">
        <v>1200</v>
      </c>
      <c r="BZ306" t="s">
        <v>87</v>
      </c>
      <c r="CA306" t="s">
        <v>310</v>
      </c>
      <c r="CC306" t="s">
        <v>92</v>
      </c>
      <c r="CD306">
        <v>7480</v>
      </c>
      <c r="CE306" t="s">
        <v>89</v>
      </c>
      <c r="CF306" s="3">
        <v>45813</v>
      </c>
      <c r="CI306">
        <v>1</v>
      </c>
      <c r="CJ306">
        <v>1</v>
      </c>
      <c r="CK306">
        <v>21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"080065729894"</f>
        <v>080065729894</v>
      </c>
      <c r="F307" s="3">
        <v>45811</v>
      </c>
      <c r="G307">
        <v>202603</v>
      </c>
      <c r="H307" t="s">
        <v>75</v>
      </c>
      <c r="I307" t="s">
        <v>76</v>
      </c>
      <c r="J307" t="s">
        <v>77</v>
      </c>
      <c r="K307" t="s">
        <v>78</v>
      </c>
      <c r="L307" t="s">
        <v>701</v>
      </c>
      <c r="M307" t="s">
        <v>702</v>
      </c>
      <c r="N307" t="s">
        <v>860</v>
      </c>
      <c r="O307" t="s">
        <v>82</v>
      </c>
      <c r="P307" t="str">
        <f>"4170041902                    "</f>
        <v xml:space="preserve">4170041902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191.1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10</v>
      </c>
      <c r="BJ307">
        <v>6.7</v>
      </c>
      <c r="BK307">
        <v>10</v>
      </c>
      <c r="BL307">
        <v>625.41999999999996</v>
      </c>
      <c r="BM307">
        <v>93.81</v>
      </c>
      <c r="BN307">
        <v>719.23</v>
      </c>
      <c r="BO307">
        <v>719.23</v>
      </c>
      <c r="BQ307" t="s">
        <v>861</v>
      </c>
      <c r="BR307" t="s">
        <v>84</v>
      </c>
      <c r="BS307" s="3">
        <v>45812</v>
      </c>
      <c r="BT307" s="4">
        <v>0.43402777777777779</v>
      </c>
      <c r="BU307" t="s">
        <v>862</v>
      </c>
      <c r="BV307" t="s">
        <v>86</v>
      </c>
      <c r="BY307">
        <v>33408</v>
      </c>
      <c r="BZ307" t="s">
        <v>87</v>
      </c>
      <c r="CC307" t="s">
        <v>702</v>
      </c>
      <c r="CD307">
        <v>2302</v>
      </c>
      <c r="CE307" t="s">
        <v>166</v>
      </c>
      <c r="CF307" s="3">
        <v>45812</v>
      </c>
      <c r="CI307">
        <v>1</v>
      </c>
      <c r="CJ307">
        <v>1</v>
      </c>
      <c r="CK307">
        <v>23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"080065729937"</f>
        <v>080065729937</v>
      </c>
      <c r="F308" s="3">
        <v>45811</v>
      </c>
      <c r="G308">
        <v>202603</v>
      </c>
      <c r="H308" t="s">
        <v>75</v>
      </c>
      <c r="I308" t="s">
        <v>76</v>
      </c>
      <c r="J308" t="s">
        <v>77</v>
      </c>
      <c r="K308" t="s">
        <v>78</v>
      </c>
      <c r="L308" t="s">
        <v>100</v>
      </c>
      <c r="M308" t="s">
        <v>101</v>
      </c>
      <c r="N308" t="s">
        <v>123</v>
      </c>
      <c r="O308" t="s">
        <v>82</v>
      </c>
      <c r="P308" t="str">
        <f>"4170041935                    "</f>
        <v xml:space="preserve">4170041935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21.38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69.98</v>
      </c>
      <c r="BM308">
        <v>10.5</v>
      </c>
      <c r="BN308">
        <v>80.48</v>
      </c>
      <c r="BO308">
        <v>80.48</v>
      </c>
      <c r="BQ308" t="s">
        <v>124</v>
      </c>
      <c r="BR308" t="s">
        <v>84</v>
      </c>
      <c r="BS308" s="3">
        <v>45812</v>
      </c>
      <c r="BT308" s="4">
        <v>0.38680555555555557</v>
      </c>
      <c r="BU308" t="s">
        <v>688</v>
      </c>
      <c r="BV308" t="s">
        <v>86</v>
      </c>
      <c r="BY308">
        <v>1200</v>
      </c>
      <c r="BZ308" t="s">
        <v>87</v>
      </c>
      <c r="CA308" t="s">
        <v>235</v>
      </c>
      <c r="CC308" t="s">
        <v>101</v>
      </c>
      <c r="CD308">
        <v>6001</v>
      </c>
      <c r="CE308" t="s">
        <v>89</v>
      </c>
      <c r="CF308" s="3">
        <v>45812</v>
      </c>
      <c r="CI308">
        <v>1</v>
      </c>
      <c r="CJ308">
        <v>1</v>
      </c>
      <c r="CK308">
        <v>21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"080065729957"</f>
        <v>080065729957</v>
      </c>
      <c r="F309" s="3">
        <v>45811</v>
      </c>
      <c r="G309">
        <v>202603</v>
      </c>
      <c r="H309" t="s">
        <v>75</v>
      </c>
      <c r="I309" t="s">
        <v>76</v>
      </c>
      <c r="J309" t="s">
        <v>77</v>
      </c>
      <c r="K309" t="s">
        <v>78</v>
      </c>
      <c r="L309" t="s">
        <v>615</v>
      </c>
      <c r="M309" t="s">
        <v>616</v>
      </c>
      <c r="N309" t="s">
        <v>863</v>
      </c>
      <c r="O309" t="s">
        <v>82</v>
      </c>
      <c r="P309" t="str">
        <f>"4170041969                    "</f>
        <v xml:space="preserve">4170041969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41.43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135.59</v>
      </c>
      <c r="BM309">
        <v>20.34</v>
      </c>
      <c r="BN309">
        <v>155.93</v>
      </c>
      <c r="BO309">
        <v>155.93</v>
      </c>
      <c r="BQ309" t="s">
        <v>864</v>
      </c>
      <c r="BR309" t="s">
        <v>84</v>
      </c>
      <c r="BS309" s="3">
        <v>45812</v>
      </c>
      <c r="BT309" s="4">
        <v>0.4861111111111111</v>
      </c>
      <c r="BU309" t="s">
        <v>865</v>
      </c>
      <c r="BV309" t="s">
        <v>86</v>
      </c>
      <c r="BY309">
        <v>1200</v>
      </c>
      <c r="BZ309" t="s">
        <v>87</v>
      </c>
      <c r="CA309" t="s">
        <v>866</v>
      </c>
      <c r="CC309" t="s">
        <v>616</v>
      </c>
      <c r="CD309">
        <v>6850</v>
      </c>
      <c r="CE309" t="s">
        <v>89</v>
      </c>
      <c r="CF309" s="3">
        <v>45813</v>
      </c>
      <c r="CI309">
        <v>2</v>
      </c>
      <c r="CJ309">
        <v>1</v>
      </c>
      <c r="CK309">
        <v>23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"080065729971"</f>
        <v>080065729971</v>
      </c>
      <c r="F310" s="3">
        <v>45811</v>
      </c>
      <c r="G310">
        <v>202603</v>
      </c>
      <c r="H310" t="s">
        <v>75</v>
      </c>
      <c r="I310" t="s">
        <v>76</v>
      </c>
      <c r="J310" t="s">
        <v>77</v>
      </c>
      <c r="K310" t="s">
        <v>78</v>
      </c>
      <c r="L310" t="s">
        <v>100</v>
      </c>
      <c r="M310" t="s">
        <v>101</v>
      </c>
      <c r="N310" t="s">
        <v>867</v>
      </c>
      <c r="O310" t="s">
        <v>82</v>
      </c>
      <c r="P310" t="str">
        <f>"4170041931                    "</f>
        <v xml:space="preserve">4170041931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21.38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69.98</v>
      </c>
      <c r="BM310">
        <v>10.5</v>
      </c>
      <c r="BN310">
        <v>80.48</v>
      </c>
      <c r="BO310">
        <v>80.48</v>
      </c>
      <c r="BQ310" t="s">
        <v>868</v>
      </c>
      <c r="BR310" t="s">
        <v>84</v>
      </c>
      <c r="BS310" s="3">
        <v>45812</v>
      </c>
      <c r="BT310" s="4">
        <v>0.3888888888888889</v>
      </c>
      <c r="BU310" t="s">
        <v>869</v>
      </c>
      <c r="BV310" t="s">
        <v>86</v>
      </c>
      <c r="BY310">
        <v>1200</v>
      </c>
      <c r="BZ310" t="s">
        <v>87</v>
      </c>
      <c r="CA310" t="s">
        <v>348</v>
      </c>
      <c r="CC310" t="s">
        <v>101</v>
      </c>
      <c r="CD310">
        <v>6020</v>
      </c>
      <c r="CE310" t="s">
        <v>89</v>
      </c>
      <c r="CF310" s="3">
        <v>45812</v>
      </c>
      <c r="CI310">
        <v>1</v>
      </c>
      <c r="CJ310">
        <v>1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"080065729996"</f>
        <v>080065729996</v>
      </c>
      <c r="F311" s="3">
        <v>45811</v>
      </c>
      <c r="G311">
        <v>202603</v>
      </c>
      <c r="H311" t="s">
        <v>75</v>
      </c>
      <c r="I311" t="s">
        <v>76</v>
      </c>
      <c r="J311" t="s">
        <v>77</v>
      </c>
      <c r="K311" t="s">
        <v>78</v>
      </c>
      <c r="L311" t="s">
        <v>91</v>
      </c>
      <c r="M311" t="s">
        <v>92</v>
      </c>
      <c r="N311" t="s">
        <v>419</v>
      </c>
      <c r="O311" t="s">
        <v>82</v>
      </c>
      <c r="P311" t="str">
        <f>"4170041938                    "</f>
        <v xml:space="preserve">4170041938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21.38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69.98</v>
      </c>
      <c r="BM311">
        <v>10.5</v>
      </c>
      <c r="BN311">
        <v>80.48</v>
      </c>
      <c r="BO311">
        <v>80.48</v>
      </c>
      <c r="BQ311" t="s">
        <v>420</v>
      </c>
      <c r="BR311" t="s">
        <v>84</v>
      </c>
      <c r="BS311" s="3">
        <v>45812</v>
      </c>
      <c r="BT311" s="4">
        <v>0.35069444444444442</v>
      </c>
      <c r="BU311" t="s">
        <v>859</v>
      </c>
      <c r="BV311" t="s">
        <v>86</v>
      </c>
      <c r="BY311">
        <v>1200</v>
      </c>
      <c r="BZ311" t="s">
        <v>87</v>
      </c>
      <c r="CA311" t="s">
        <v>310</v>
      </c>
      <c r="CC311" t="s">
        <v>92</v>
      </c>
      <c r="CD311">
        <v>7480</v>
      </c>
      <c r="CE311" t="s">
        <v>89</v>
      </c>
      <c r="CF311" s="3">
        <v>45813</v>
      </c>
      <c r="CI311">
        <v>1</v>
      </c>
      <c r="CJ311">
        <v>1</v>
      </c>
      <c r="CK311">
        <v>21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"080065730014"</f>
        <v>080065730014</v>
      </c>
      <c r="F312" s="3">
        <v>45811</v>
      </c>
      <c r="G312">
        <v>202603</v>
      </c>
      <c r="H312" t="s">
        <v>75</v>
      </c>
      <c r="I312" t="s">
        <v>76</v>
      </c>
      <c r="J312" t="s">
        <v>77</v>
      </c>
      <c r="K312" t="s">
        <v>78</v>
      </c>
      <c r="L312" t="s">
        <v>870</v>
      </c>
      <c r="M312" t="s">
        <v>871</v>
      </c>
      <c r="N312" t="s">
        <v>872</v>
      </c>
      <c r="O312" t="s">
        <v>82</v>
      </c>
      <c r="P312" t="str">
        <f>"4170041992                    "</f>
        <v xml:space="preserve">4170041992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41.43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1.1000000000000001</v>
      </c>
      <c r="BK312">
        <v>1.5</v>
      </c>
      <c r="BL312">
        <v>135.59</v>
      </c>
      <c r="BM312">
        <v>20.34</v>
      </c>
      <c r="BN312">
        <v>155.93</v>
      </c>
      <c r="BO312">
        <v>155.93</v>
      </c>
      <c r="BQ312" t="s">
        <v>873</v>
      </c>
      <c r="BR312" t="s">
        <v>84</v>
      </c>
      <c r="BS312" s="3">
        <v>45813</v>
      </c>
      <c r="BT312" s="4">
        <v>0.63194444444444442</v>
      </c>
      <c r="BU312" t="s">
        <v>874</v>
      </c>
      <c r="BV312" t="s">
        <v>90</v>
      </c>
      <c r="BW312" t="s">
        <v>875</v>
      </c>
      <c r="BX312" t="s">
        <v>876</v>
      </c>
      <c r="BY312">
        <v>5320</v>
      </c>
      <c r="BZ312" t="s">
        <v>87</v>
      </c>
      <c r="CA312" t="s">
        <v>877</v>
      </c>
      <c r="CC312" t="s">
        <v>871</v>
      </c>
      <c r="CD312">
        <v>7300</v>
      </c>
      <c r="CE312" t="s">
        <v>292</v>
      </c>
      <c r="CF312" s="3">
        <v>45814</v>
      </c>
      <c r="CI312">
        <v>1</v>
      </c>
      <c r="CJ312">
        <v>2</v>
      </c>
      <c r="CK312">
        <v>23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"080065730048"</f>
        <v>080065730048</v>
      </c>
      <c r="F313" s="3">
        <v>45811</v>
      </c>
      <c r="G313">
        <v>202603</v>
      </c>
      <c r="H313" t="s">
        <v>75</v>
      </c>
      <c r="I313" t="s">
        <v>76</v>
      </c>
      <c r="J313" t="s">
        <v>77</v>
      </c>
      <c r="K313" t="s">
        <v>78</v>
      </c>
      <c r="L313" t="s">
        <v>79</v>
      </c>
      <c r="M313" t="s">
        <v>80</v>
      </c>
      <c r="N313" t="s">
        <v>81</v>
      </c>
      <c r="O313" t="s">
        <v>82</v>
      </c>
      <c r="P313" t="str">
        <f>"4170041958                    "</f>
        <v xml:space="preserve">4170041958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103.29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7</v>
      </c>
      <c r="BJ313">
        <v>3.6</v>
      </c>
      <c r="BK313">
        <v>7</v>
      </c>
      <c r="BL313">
        <v>338.04</v>
      </c>
      <c r="BM313">
        <v>50.71</v>
      </c>
      <c r="BN313">
        <v>388.75</v>
      </c>
      <c r="BO313">
        <v>388.75</v>
      </c>
      <c r="BQ313" t="s">
        <v>83</v>
      </c>
      <c r="BR313" t="s">
        <v>84</v>
      </c>
      <c r="BS313" s="3">
        <v>45812</v>
      </c>
      <c r="BT313" s="4">
        <v>0.40972222222222221</v>
      </c>
      <c r="BU313" t="s">
        <v>85</v>
      </c>
      <c r="BV313" t="s">
        <v>86</v>
      </c>
      <c r="BY313">
        <v>18096</v>
      </c>
      <c r="BZ313" t="s">
        <v>87</v>
      </c>
      <c r="CA313" t="s">
        <v>88</v>
      </c>
      <c r="CC313" t="s">
        <v>80</v>
      </c>
      <c r="CD313">
        <v>1739</v>
      </c>
      <c r="CE313" t="s">
        <v>687</v>
      </c>
      <c r="CF313" s="3">
        <v>45813</v>
      </c>
      <c r="CI313">
        <v>1</v>
      </c>
      <c r="CJ313">
        <v>1</v>
      </c>
      <c r="CK313">
        <v>24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"080065730095"</f>
        <v>080065730095</v>
      </c>
      <c r="F314" s="3">
        <v>45811</v>
      </c>
      <c r="G314">
        <v>202603</v>
      </c>
      <c r="H314" t="s">
        <v>75</v>
      </c>
      <c r="I314" t="s">
        <v>76</v>
      </c>
      <c r="J314" t="s">
        <v>77</v>
      </c>
      <c r="K314" t="s">
        <v>78</v>
      </c>
      <c r="L314" t="s">
        <v>701</v>
      </c>
      <c r="M314" t="s">
        <v>702</v>
      </c>
      <c r="N314" t="s">
        <v>860</v>
      </c>
      <c r="O314" t="s">
        <v>82</v>
      </c>
      <c r="P314" t="str">
        <f>"4170041903                    "</f>
        <v xml:space="preserve">4170041903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172.39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9</v>
      </c>
      <c r="BJ314">
        <v>6</v>
      </c>
      <c r="BK314">
        <v>9</v>
      </c>
      <c r="BL314">
        <v>564.19000000000005</v>
      </c>
      <c r="BM314">
        <v>84.63</v>
      </c>
      <c r="BN314">
        <v>648.82000000000005</v>
      </c>
      <c r="BO314">
        <v>648.82000000000005</v>
      </c>
      <c r="BQ314" t="s">
        <v>861</v>
      </c>
      <c r="BR314" t="s">
        <v>84</v>
      </c>
      <c r="BS314" s="3">
        <v>45812</v>
      </c>
      <c r="BT314" s="4">
        <v>0.43402777777777779</v>
      </c>
      <c r="BU314" t="s">
        <v>878</v>
      </c>
      <c r="BV314" t="s">
        <v>86</v>
      </c>
      <c r="BY314">
        <v>29808</v>
      </c>
      <c r="BZ314" t="s">
        <v>87</v>
      </c>
      <c r="CC314" t="s">
        <v>702</v>
      </c>
      <c r="CD314">
        <v>2302</v>
      </c>
      <c r="CE314" t="s">
        <v>99</v>
      </c>
      <c r="CF314" s="3">
        <v>45812</v>
      </c>
      <c r="CI314">
        <v>1</v>
      </c>
      <c r="CJ314">
        <v>1</v>
      </c>
      <c r="CK314">
        <v>23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"080065730185"</f>
        <v>080065730185</v>
      </c>
      <c r="F315" s="3">
        <v>45811</v>
      </c>
      <c r="G315">
        <v>202603</v>
      </c>
      <c r="H315" t="s">
        <v>75</v>
      </c>
      <c r="I315" t="s">
        <v>76</v>
      </c>
      <c r="J315" t="s">
        <v>77</v>
      </c>
      <c r="K315" t="s">
        <v>78</v>
      </c>
      <c r="L315" t="s">
        <v>100</v>
      </c>
      <c r="M315" t="s">
        <v>101</v>
      </c>
      <c r="N315" t="s">
        <v>585</v>
      </c>
      <c r="O315" t="s">
        <v>82</v>
      </c>
      <c r="P315" t="str">
        <f>"4170041899                    "</f>
        <v xml:space="preserve">4170041899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64.12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3</v>
      </c>
      <c r="BJ315">
        <v>5.7</v>
      </c>
      <c r="BK315">
        <v>6</v>
      </c>
      <c r="BL315">
        <v>209.84</v>
      </c>
      <c r="BM315">
        <v>31.48</v>
      </c>
      <c r="BN315">
        <v>241.32</v>
      </c>
      <c r="BO315">
        <v>241.32</v>
      </c>
      <c r="BQ315" t="s">
        <v>586</v>
      </c>
      <c r="BR315" t="s">
        <v>84</v>
      </c>
      <c r="BS315" s="3">
        <v>45813</v>
      </c>
      <c r="BT315" s="4">
        <v>0.40972222222222221</v>
      </c>
      <c r="BU315" t="s">
        <v>879</v>
      </c>
      <c r="BV315" t="s">
        <v>90</v>
      </c>
      <c r="BW315" t="s">
        <v>416</v>
      </c>
      <c r="BX315" t="s">
        <v>614</v>
      </c>
      <c r="BY315">
        <v>28275</v>
      </c>
      <c r="BZ315" t="s">
        <v>87</v>
      </c>
      <c r="CA315" t="s">
        <v>589</v>
      </c>
      <c r="CC315" t="s">
        <v>101</v>
      </c>
      <c r="CD315">
        <v>6001</v>
      </c>
      <c r="CE315" t="s">
        <v>99</v>
      </c>
      <c r="CF315" s="3">
        <v>45813</v>
      </c>
      <c r="CI315">
        <v>1</v>
      </c>
      <c r="CJ315">
        <v>2</v>
      </c>
      <c r="CK315">
        <v>21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"080065730225"</f>
        <v>080065730225</v>
      </c>
      <c r="F316" s="3">
        <v>45811</v>
      </c>
      <c r="G316">
        <v>202603</v>
      </c>
      <c r="H316" t="s">
        <v>75</v>
      </c>
      <c r="I316" t="s">
        <v>76</v>
      </c>
      <c r="J316" t="s">
        <v>77</v>
      </c>
      <c r="K316" t="s">
        <v>78</v>
      </c>
      <c r="L316" t="s">
        <v>159</v>
      </c>
      <c r="M316" t="s">
        <v>160</v>
      </c>
      <c r="N316" t="s">
        <v>856</v>
      </c>
      <c r="O316" t="s">
        <v>82</v>
      </c>
      <c r="P316" t="str">
        <f>"4170041960                    "</f>
        <v xml:space="preserve">4170041960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16.7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2</v>
      </c>
      <c r="BJ316">
        <v>1.1000000000000001</v>
      </c>
      <c r="BK316">
        <v>2</v>
      </c>
      <c r="BL316">
        <v>54.66</v>
      </c>
      <c r="BM316">
        <v>8.1999999999999993</v>
      </c>
      <c r="BN316">
        <v>62.86</v>
      </c>
      <c r="BO316">
        <v>62.86</v>
      </c>
      <c r="BQ316" t="s">
        <v>857</v>
      </c>
      <c r="BR316" t="s">
        <v>84</v>
      </c>
      <c r="BS316" s="3">
        <v>45812</v>
      </c>
      <c r="BT316" s="4">
        <v>0.38472222222222224</v>
      </c>
      <c r="BU316" t="s">
        <v>858</v>
      </c>
      <c r="BV316" t="s">
        <v>86</v>
      </c>
      <c r="BY316">
        <v>5320</v>
      </c>
      <c r="BZ316" t="s">
        <v>87</v>
      </c>
      <c r="CA316" t="s">
        <v>444</v>
      </c>
      <c r="CC316" t="s">
        <v>160</v>
      </c>
      <c r="CD316">
        <v>2013</v>
      </c>
      <c r="CE316" t="s">
        <v>180</v>
      </c>
      <c r="CF316" s="3">
        <v>45813</v>
      </c>
      <c r="CI316">
        <v>1</v>
      </c>
      <c r="CJ316">
        <v>1</v>
      </c>
      <c r="CK316">
        <v>22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"080065730232"</f>
        <v>080065730232</v>
      </c>
      <c r="F317" s="3">
        <v>45811</v>
      </c>
      <c r="G317">
        <v>202603</v>
      </c>
      <c r="H317" t="s">
        <v>75</v>
      </c>
      <c r="I317" t="s">
        <v>76</v>
      </c>
      <c r="J317" t="s">
        <v>77</v>
      </c>
      <c r="K317" t="s">
        <v>78</v>
      </c>
      <c r="L317" t="s">
        <v>100</v>
      </c>
      <c r="M317" t="s">
        <v>101</v>
      </c>
      <c r="N317" t="s">
        <v>123</v>
      </c>
      <c r="O317" t="s">
        <v>82</v>
      </c>
      <c r="P317" t="str">
        <f>"4170041921                    "</f>
        <v xml:space="preserve">4170041921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21.38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0.2</v>
      </c>
      <c r="BK317">
        <v>1</v>
      </c>
      <c r="BL317">
        <v>69.98</v>
      </c>
      <c r="BM317">
        <v>10.5</v>
      </c>
      <c r="BN317">
        <v>80.48</v>
      </c>
      <c r="BO317">
        <v>80.48</v>
      </c>
      <c r="BQ317" t="s">
        <v>124</v>
      </c>
      <c r="BR317" t="s">
        <v>84</v>
      </c>
      <c r="BS317" s="3">
        <v>45812</v>
      </c>
      <c r="BT317" s="4">
        <v>0.38680555555555557</v>
      </c>
      <c r="BU317" t="s">
        <v>688</v>
      </c>
      <c r="BV317" t="s">
        <v>86</v>
      </c>
      <c r="BY317">
        <v>1200</v>
      </c>
      <c r="BZ317" t="s">
        <v>87</v>
      </c>
      <c r="CA317" t="s">
        <v>235</v>
      </c>
      <c r="CC317" t="s">
        <v>101</v>
      </c>
      <c r="CD317">
        <v>6001</v>
      </c>
      <c r="CE317" t="s">
        <v>89</v>
      </c>
      <c r="CF317" s="3">
        <v>45812</v>
      </c>
      <c r="CI317">
        <v>1</v>
      </c>
      <c r="CJ317">
        <v>1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"080065730262"</f>
        <v>080065730262</v>
      </c>
      <c r="F318" s="3">
        <v>45811</v>
      </c>
      <c r="G318">
        <v>202603</v>
      </c>
      <c r="H318" t="s">
        <v>75</v>
      </c>
      <c r="I318" t="s">
        <v>76</v>
      </c>
      <c r="J318" t="s">
        <v>77</v>
      </c>
      <c r="K318" t="s">
        <v>78</v>
      </c>
      <c r="L318" t="s">
        <v>426</v>
      </c>
      <c r="M318" t="s">
        <v>427</v>
      </c>
      <c r="N318" t="s">
        <v>759</v>
      </c>
      <c r="O318" t="s">
        <v>82</v>
      </c>
      <c r="P318" t="str">
        <f>"4170041971                    "</f>
        <v xml:space="preserve">4170041971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30.07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98.42</v>
      </c>
      <c r="BM318">
        <v>14.76</v>
      </c>
      <c r="BN318">
        <v>113.18</v>
      </c>
      <c r="BO318">
        <v>113.18</v>
      </c>
      <c r="BQ318" t="s">
        <v>796</v>
      </c>
      <c r="BR318" t="s">
        <v>84</v>
      </c>
      <c r="BS318" s="3">
        <v>45812</v>
      </c>
      <c r="BT318" s="4">
        <v>0.4375</v>
      </c>
      <c r="BU318" t="s">
        <v>797</v>
      </c>
      <c r="BV318" t="s">
        <v>86</v>
      </c>
      <c r="BY318">
        <v>1200</v>
      </c>
      <c r="BZ318" t="s">
        <v>87</v>
      </c>
      <c r="CA318" t="s">
        <v>798</v>
      </c>
      <c r="CC318" t="s">
        <v>427</v>
      </c>
      <c r="CD318">
        <v>1759</v>
      </c>
      <c r="CE318" t="s">
        <v>89</v>
      </c>
      <c r="CF318" s="3">
        <v>45812</v>
      </c>
      <c r="CI318">
        <v>1</v>
      </c>
      <c r="CJ318">
        <v>1</v>
      </c>
      <c r="CK318">
        <v>24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"080065730266"</f>
        <v>080065730266</v>
      </c>
      <c r="F319" s="3">
        <v>45811</v>
      </c>
      <c r="G319">
        <v>202603</v>
      </c>
      <c r="H319" t="s">
        <v>75</v>
      </c>
      <c r="I319" t="s">
        <v>76</v>
      </c>
      <c r="J319" t="s">
        <v>77</v>
      </c>
      <c r="K319" t="s">
        <v>78</v>
      </c>
      <c r="L319" t="s">
        <v>375</v>
      </c>
      <c r="M319" t="s">
        <v>376</v>
      </c>
      <c r="N319" t="s">
        <v>498</v>
      </c>
      <c r="O319" t="s">
        <v>82</v>
      </c>
      <c r="P319" t="str">
        <f>"4170041966                    "</f>
        <v xml:space="preserve">4170041966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16.7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0.2</v>
      </c>
      <c r="BK319">
        <v>1</v>
      </c>
      <c r="BL319">
        <v>54.66</v>
      </c>
      <c r="BM319">
        <v>8.1999999999999993</v>
      </c>
      <c r="BN319">
        <v>62.86</v>
      </c>
      <c r="BO319">
        <v>62.86</v>
      </c>
      <c r="BQ319" t="s">
        <v>499</v>
      </c>
      <c r="BR319" t="s">
        <v>84</v>
      </c>
      <c r="BS319" s="3">
        <v>45812</v>
      </c>
      <c r="BT319" s="4">
        <v>0.43402777777777779</v>
      </c>
      <c r="BU319" t="s">
        <v>880</v>
      </c>
      <c r="BV319" t="s">
        <v>86</v>
      </c>
      <c r="BY319">
        <v>1200</v>
      </c>
      <c r="BZ319" t="s">
        <v>87</v>
      </c>
      <c r="CA319" t="s">
        <v>501</v>
      </c>
      <c r="CC319" t="s">
        <v>376</v>
      </c>
      <c r="CD319">
        <v>1428</v>
      </c>
      <c r="CE319" t="s">
        <v>89</v>
      </c>
      <c r="CF319" s="3">
        <v>45812</v>
      </c>
      <c r="CI319">
        <v>1</v>
      </c>
      <c r="CJ319">
        <v>1</v>
      </c>
      <c r="CK319">
        <v>22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"080065730288"</f>
        <v>080065730288</v>
      </c>
      <c r="F320" s="3">
        <v>45811</v>
      </c>
      <c r="G320">
        <v>202603</v>
      </c>
      <c r="H320" t="s">
        <v>75</v>
      </c>
      <c r="I320" t="s">
        <v>76</v>
      </c>
      <c r="J320" t="s">
        <v>77</v>
      </c>
      <c r="K320" t="s">
        <v>78</v>
      </c>
      <c r="L320" t="s">
        <v>91</v>
      </c>
      <c r="M320" t="s">
        <v>92</v>
      </c>
      <c r="N320" t="s">
        <v>881</v>
      </c>
      <c r="O320" t="s">
        <v>82</v>
      </c>
      <c r="P320" t="str">
        <f>"4170041949                    "</f>
        <v xml:space="preserve">4170041949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21.38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0.2</v>
      </c>
      <c r="BK320">
        <v>1</v>
      </c>
      <c r="BL320">
        <v>69.98</v>
      </c>
      <c r="BM320">
        <v>10.5</v>
      </c>
      <c r="BN320">
        <v>80.48</v>
      </c>
      <c r="BO320">
        <v>80.48</v>
      </c>
      <c r="BQ320" t="s">
        <v>882</v>
      </c>
      <c r="BR320" t="s">
        <v>84</v>
      </c>
      <c r="BS320" s="3">
        <v>45812</v>
      </c>
      <c r="BT320" s="4">
        <v>0.40902777777777777</v>
      </c>
      <c r="BU320" t="s">
        <v>883</v>
      </c>
      <c r="BV320" t="s">
        <v>86</v>
      </c>
      <c r="BY320">
        <v>1200</v>
      </c>
      <c r="BZ320" t="s">
        <v>87</v>
      </c>
      <c r="CA320" t="s">
        <v>310</v>
      </c>
      <c r="CC320" t="s">
        <v>92</v>
      </c>
      <c r="CD320">
        <v>7460</v>
      </c>
      <c r="CE320" t="s">
        <v>89</v>
      </c>
      <c r="CF320" s="3">
        <v>45813</v>
      </c>
      <c r="CI320">
        <v>1</v>
      </c>
      <c r="CJ320">
        <v>1</v>
      </c>
      <c r="CK320">
        <v>21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"080065730290"</f>
        <v>080065730290</v>
      </c>
      <c r="F321" s="3">
        <v>45811</v>
      </c>
      <c r="G321">
        <v>202603</v>
      </c>
      <c r="H321" t="s">
        <v>75</v>
      </c>
      <c r="I321" t="s">
        <v>76</v>
      </c>
      <c r="J321" t="s">
        <v>77</v>
      </c>
      <c r="K321" t="s">
        <v>78</v>
      </c>
      <c r="L321" t="s">
        <v>350</v>
      </c>
      <c r="M321" t="s">
        <v>351</v>
      </c>
      <c r="N321" t="s">
        <v>884</v>
      </c>
      <c r="O321" t="s">
        <v>82</v>
      </c>
      <c r="P321" t="str">
        <f>"4170041973                    "</f>
        <v xml:space="preserve">4170041973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21.38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69.98</v>
      </c>
      <c r="BM321">
        <v>10.5</v>
      </c>
      <c r="BN321">
        <v>80.48</v>
      </c>
      <c r="BO321">
        <v>80.48</v>
      </c>
      <c r="BQ321" t="s">
        <v>885</v>
      </c>
      <c r="BR321" t="s">
        <v>84</v>
      </c>
      <c r="BS321" s="3">
        <v>45812</v>
      </c>
      <c r="BT321" s="4">
        <v>0.34444444444444444</v>
      </c>
      <c r="BU321" t="s">
        <v>886</v>
      </c>
      <c r="BV321" t="s">
        <v>86</v>
      </c>
      <c r="BY321">
        <v>1200</v>
      </c>
      <c r="BZ321" t="s">
        <v>87</v>
      </c>
      <c r="CA321" t="s">
        <v>887</v>
      </c>
      <c r="CC321" t="s">
        <v>351</v>
      </c>
      <c r="CD321">
        <v>157</v>
      </c>
      <c r="CE321" t="s">
        <v>89</v>
      </c>
      <c r="CF321" s="3">
        <v>45812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"080065730304"</f>
        <v>080065730304</v>
      </c>
      <c r="F322" s="3">
        <v>45811</v>
      </c>
      <c r="G322">
        <v>202603</v>
      </c>
      <c r="H322" t="s">
        <v>75</v>
      </c>
      <c r="I322" t="s">
        <v>76</v>
      </c>
      <c r="J322" t="s">
        <v>77</v>
      </c>
      <c r="K322" t="s">
        <v>78</v>
      </c>
      <c r="L322" t="s">
        <v>174</v>
      </c>
      <c r="M322" t="s">
        <v>175</v>
      </c>
      <c r="N322" t="s">
        <v>680</v>
      </c>
      <c r="O322" t="s">
        <v>82</v>
      </c>
      <c r="P322" t="str">
        <f>"4170042026                    "</f>
        <v xml:space="preserve">4170042026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21.38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69.98</v>
      </c>
      <c r="BM322">
        <v>10.5</v>
      </c>
      <c r="BN322">
        <v>80.48</v>
      </c>
      <c r="BO322">
        <v>80.48</v>
      </c>
      <c r="BQ322" t="s">
        <v>681</v>
      </c>
      <c r="BR322" t="s">
        <v>84</v>
      </c>
      <c r="BS322" s="3">
        <v>45812</v>
      </c>
      <c r="BT322" s="4">
        <v>0.79861111111111116</v>
      </c>
      <c r="BU322" t="s">
        <v>888</v>
      </c>
      <c r="BV322" t="s">
        <v>90</v>
      </c>
      <c r="BW322" t="s">
        <v>212</v>
      </c>
      <c r="BX322" t="s">
        <v>213</v>
      </c>
      <c r="BY322">
        <v>1200</v>
      </c>
      <c r="BZ322" t="s">
        <v>87</v>
      </c>
      <c r="CA322" t="s">
        <v>722</v>
      </c>
      <c r="CC322" t="s">
        <v>175</v>
      </c>
      <c r="CD322">
        <v>3610</v>
      </c>
      <c r="CE322" t="s">
        <v>89</v>
      </c>
      <c r="CF322" s="3">
        <v>45813</v>
      </c>
      <c r="CI322">
        <v>1</v>
      </c>
      <c r="CJ322">
        <v>1</v>
      </c>
      <c r="CK322">
        <v>21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"080065730307"</f>
        <v>080065730307</v>
      </c>
      <c r="F323" s="3">
        <v>45811</v>
      </c>
      <c r="G323">
        <v>202603</v>
      </c>
      <c r="H323" t="s">
        <v>75</v>
      </c>
      <c r="I323" t="s">
        <v>76</v>
      </c>
      <c r="J323" t="s">
        <v>77</v>
      </c>
      <c r="K323" t="s">
        <v>78</v>
      </c>
      <c r="L323" t="s">
        <v>159</v>
      </c>
      <c r="M323" t="s">
        <v>160</v>
      </c>
      <c r="N323" t="s">
        <v>571</v>
      </c>
      <c r="O323" t="s">
        <v>82</v>
      </c>
      <c r="P323" t="str">
        <f>"4170041984                    "</f>
        <v xml:space="preserve">4170041984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16.7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</v>
      </c>
      <c r="BJ323">
        <v>0.2</v>
      </c>
      <c r="BK323">
        <v>1</v>
      </c>
      <c r="BL323">
        <v>54.66</v>
      </c>
      <c r="BM323">
        <v>8.1999999999999993</v>
      </c>
      <c r="BN323">
        <v>62.86</v>
      </c>
      <c r="BO323">
        <v>62.86</v>
      </c>
      <c r="BQ323" t="s">
        <v>572</v>
      </c>
      <c r="BR323" t="s">
        <v>84</v>
      </c>
      <c r="BS323" s="3">
        <v>45812</v>
      </c>
      <c r="BT323" s="4">
        <v>0.41458333333333336</v>
      </c>
      <c r="BU323" t="s">
        <v>573</v>
      </c>
      <c r="BV323" t="s">
        <v>86</v>
      </c>
      <c r="BY323">
        <v>1200</v>
      </c>
      <c r="BZ323" t="s">
        <v>87</v>
      </c>
      <c r="CA323" t="s">
        <v>444</v>
      </c>
      <c r="CC323" t="s">
        <v>160</v>
      </c>
      <c r="CD323">
        <v>2013</v>
      </c>
      <c r="CE323" t="s">
        <v>89</v>
      </c>
      <c r="CF323" s="3">
        <v>45813</v>
      </c>
      <c r="CI323">
        <v>1</v>
      </c>
      <c r="CJ323">
        <v>1</v>
      </c>
      <c r="CK323">
        <v>22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"080065730331"</f>
        <v>080065730331</v>
      </c>
      <c r="F324" s="3">
        <v>45811</v>
      </c>
      <c r="G324">
        <v>202603</v>
      </c>
      <c r="H324" t="s">
        <v>75</v>
      </c>
      <c r="I324" t="s">
        <v>76</v>
      </c>
      <c r="J324" t="s">
        <v>77</v>
      </c>
      <c r="K324" t="s">
        <v>78</v>
      </c>
      <c r="L324" t="s">
        <v>100</v>
      </c>
      <c r="M324" t="s">
        <v>101</v>
      </c>
      <c r="N324" t="s">
        <v>123</v>
      </c>
      <c r="O324" t="s">
        <v>82</v>
      </c>
      <c r="P324" t="str">
        <f>"4170041944                    "</f>
        <v xml:space="preserve">4170041944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21.38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0.2</v>
      </c>
      <c r="BK324">
        <v>1</v>
      </c>
      <c r="BL324">
        <v>69.98</v>
      </c>
      <c r="BM324">
        <v>10.5</v>
      </c>
      <c r="BN324">
        <v>80.48</v>
      </c>
      <c r="BO324">
        <v>80.48</v>
      </c>
      <c r="BQ324" t="s">
        <v>124</v>
      </c>
      <c r="BR324" t="s">
        <v>84</v>
      </c>
      <c r="BS324" s="3">
        <v>45812</v>
      </c>
      <c r="BT324" s="4">
        <v>0.38680555555555557</v>
      </c>
      <c r="BU324" t="s">
        <v>688</v>
      </c>
      <c r="BV324" t="s">
        <v>86</v>
      </c>
      <c r="BY324">
        <v>1200</v>
      </c>
      <c r="BZ324" t="s">
        <v>87</v>
      </c>
      <c r="CA324" t="s">
        <v>235</v>
      </c>
      <c r="CC324" t="s">
        <v>101</v>
      </c>
      <c r="CD324">
        <v>6001</v>
      </c>
      <c r="CE324" t="s">
        <v>89</v>
      </c>
      <c r="CF324" s="3">
        <v>45812</v>
      </c>
      <c r="CI324">
        <v>1</v>
      </c>
      <c r="CJ324">
        <v>1</v>
      </c>
      <c r="CK324">
        <v>21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"080065730333"</f>
        <v>080065730333</v>
      </c>
      <c r="F325" s="3">
        <v>45811</v>
      </c>
      <c r="G325">
        <v>202603</v>
      </c>
      <c r="H325" t="s">
        <v>75</v>
      </c>
      <c r="I325" t="s">
        <v>76</v>
      </c>
      <c r="J325" t="s">
        <v>77</v>
      </c>
      <c r="K325" t="s">
        <v>78</v>
      </c>
      <c r="L325" t="s">
        <v>331</v>
      </c>
      <c r="M325" t="s">
        <v>332</v>
      </c>
      <c r="N325" t="s">
        <v>333</v>
      </c>
      <c r="O325" t="s">
        <v>82</v>
      </c>
      <c r="P325" t="str">
        <f>"4170041895                    "</f>
        <v xml:space="preserve">4170041895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48.09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2</v>
      </c>
      <c r="BJ325">
        <v>4.0999999999999996</v>
      </c>
      <c r="BK325">
        <v>4.5</v>
      </c>
      <c r="BL325">
        <v>157.38999999999999</v>
      </c>
      <c r="BM325">
        <v>23.61</v>
      </c>
      <c r="BN325">
        <v>181</v>
      </c>
      <c r="BO325">
        <v>181</v>
      </c>
      <c r="BQ325" t="s">
        <v>334</v>
      </c>
      <c r="BR325" t="s">
        <v>84</v>
      </c>
      <c r="BS325" s="3">
        <v>45812</v>
      </c>
      <c r="BT325" s="4">
        <v>0.33124999999999999</v>
      </c>
      <c r="BU325" t="s">
        <v>716</v>
      </c>
      <c r="BV325" t="s">
        <v>86</v>
      </c>
      <c r="BY325">
        <v>20358</v>
      </c>
      <c r="BZ325" t="s">
        <v>87</v>
      </c>
      <c r="CA325" t="s">
        <v>336</v>
      </c>
      <c r="CC325" t="s">
        <v>332</v>
      </c>
      <c r="CD325">
        <v>4000</v>
      </c>
      <c r="CE325" t="s">
        <v>99</v>
      </c>
      <c r="CF325" s="3">
        <v>45812</v>
      </c>
      <c r="CI325">
        <v>1</v>
      </c>
      <c r="CJ325">
        <v>1</v>
      </c>
      <c r="CK325">
        <v>21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"080065730351"</f>
        <v>080065730351</v>
      </c>
      <c r="F326" s="3">
        <v>45811</v>
      </c>
      <c r="G326">
        <v>202603</v>
      </c>
      <c r="H326" t="s">
        <v>75</v>
      </c>
      <c r="I326" t="s">
        <v>76</v>
      </c>
      <c r="J326" t="s">
        <v>77</v>
      </c>
      <c r="K326" t="s">
        <v>78</v>
      </c>
      <c r="L326" t="s">
        <v>106</v>
      </c>
      <c r="M326" t="s">
        <v>107</v>
      </c>
      <c r="N326" t="s">
        <v>889</v>
      </c>
      <c r="O326" t="s">
        <v>82</v>
      </c>
      <c r="P326" t="str">
        <f>"4170041915                    "</f>
        <v xml:space="preserve">4170041915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21.38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>
        <v>69.98</v>
      </c>
      <c r="BM326">
        <v>10.5</v>
      </c>
      <c r="BN326">
        <v>80.48</v>
      </c>
      <c r="BO326">
        <v>80.48</v>
      </c>
      <c r="BQ326" t="s">
        <v>890</v>
      </c>
      <c r="BR326" t="s">
        <v>84</v>
      </c>
      <c r="BS326" s="3">
        <v>45812</v>
      </c>
      <c r="BT326" s="4">
        <v>0.41388888888888886</v>
      </c>
      <c r="BU326" t="s">
        <v>891</v>
      </c>
      <c r="BV326" t="s">
        <v>86</v>
      </c>
      <c r="BY326">
        <v>1200</v>
      </c>
      <c r="BZ326" t="s">
        <v>87</v>
      </c>
      <c r="CA326" t="s">
        <v>892</v>
      </c>
      <c r="CC326" t="s">
        <v>107</v>
      </c>
      <c r="CD326">
        <v>200</v>
      </c>
      <c r="CE326" t="s">
        <v>89</v>
      </c>
      <c r="CF326" s="3">
        <v>45812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"080065730359"</f>
        <v>080065730359</v>
      </c>
      <c r="F327" s="3">
        <v>45811</v>
      </c>
      <c r="G327">
        <v>202603</v>
      </c>
      <c r="H327" t="s">
        <v>75</v>
      </c>
      <c r="I327" t="s">
        <v>76</v>
      </c>
      <c r="J327" t="s">
        <v>77</v>
      </c>
      <c r="K327" t="s">
        <v>78</v>
      </c>
      <c r="L327" t="s">
        <v>154</v>
      </c>
      <c r="M327" t="s">
        <v>154</v>
      </c>
      <c r="N327" t="s">
        <v>155</v>
      </c>
      <c r="O327" t="s">
        <v>82</v>
      </c>
      <c r="P327" t="str">
        <f>"4170041988                    "</f>
        <v xml:space="preserve">4170041988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60.14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3</v>
      </c>
      <c r="BJ327">
        <v>1.5</v>
      </c>
      <c r="BK327">
        <v>3</v>
      </c>
      <c r="BL327">
        <v>196.82</v>
      </c>
      <c r="BM327">
        <v>29.52</v>
      </c>
      <c r="BN327">
        <v>226.34</v>
      </c>
      <c r="BO327">
        <v>226.34</v>
      </c>
      <c r="BQ327" t="s">
        <v>156</v>
      </c>
      <c r="BR327" t="s">
        <v>84</v>
      </c>
      <c r="BS327" s="3">
        <v>45812</v>
      </c>
      <c r="BT327" s="4">
        <v>0.52430555555555558</v>
      </c>
      <c r="BU327" t="s">
        <v>532</v>
      </c>
      <c r="BV327" t="s">
        <v>86</v>
      </c>
      <c r="BY327">
        <v>7540</v>
      </c>
      <c r="BZ327" t="s">
        <v>87</v>
      </c>
      <c r="CA327" t="s">
        <v>158</v>
      </c>
      <c r="CC327" t="s">
        <v>154</v>
      </c>
      <c r="CD327">
        <v>7646</v>
      </c>
      <c r="CE327" t="s">
        <v>99</v>
      </c>
      <c r="CF327" s="3">
        <v>45813</v>
      </c>
      <c r="CI327">
        <v>1</v>
      </c>
      <c r="CJ327">
        <v>1</v>
      </c>
      <c r="CK327">
        <v>23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"080065730371"</f>
        <v>080065730371</v>
      </c>
      <c r="F328" s="3">
        <v>45811</v>
      </c>
      <c r="G328">
        <v>202603</v>
      </c>
      <c r="H328" t="s">
        <v>75</v>
      </c>
      <c r="I328" t="s">
        <v>76</v>
      </c>
      <c r="J328" t="s">
        <v>77</v>
      </c>
      <c r="K328" t="s">
        <v>78</v>
      </c>
      <c r="L328" t="s">
        <v>79</v>
      </c>
      <c r="M328" t="s">
        <v>80</v>
      </c>
      <c r="N328" t="s">
        <v>893</v>
      </c>
      <c r="O328" t="s">
        <v>82</v>
      </c>
      <c r="P328" t="str">
        <f>"4170041994                    "</f>
        <v xml:space="preserve">4170041994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30.07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98.42</v>
      </c>
      <c r="BM328">
        <v>14.76</v>
      </c>
      <c r="BN328">
        <v>113.18</v>
      </c>
      <c r="BO328">
        <v>113.18</v>
      </c>
      <c r="BQ328" t="s">
        <v>894</v>
      </c>
      <c r="BR328" t="s">
        <v>84</v>
      </c>
      <c r="BS328" s="3">
        <v>45812</v>
      </c>
      <c r="BT328" s="4">
        <v>0.4375</v>
      </c>
      <c r="BU328" t="s">
        <v>895</v>
      </c>
      <c r="BV328" t="s">
        <v>86</v>
      </c>
      <c r="BY328">
        <v>1200</v>
      </c>
      <c r="BZ328" t="s">
        <v>87</v>
      </c>
      <c r="CA328" t="s">
        <v>896</v>
      </c>
      <c r="CC328" t="s">
        <v>80</v>
      </c>
      <c r="CD328">
        <v>1748</v>
      </c>
      <c r="CE328" t="s">
        <v>89</v>
      </c>
      <c r="CF328" s="3">
        <v>45813</v>
      </c>
      <c r="CI328">
        <v>1</v>
      </c>
      <c r="CJ328">
        <v>1</v>
      </c>
      <c r="CK328">
        <v>24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"080065730420"</f>
        <v>080065730420</v>
      </c>
      <c r="F329" s="3">
        <v>45811</v>
      </c>
      <c r="G329">
        <v>202603</v>
      </c>
      <c r="H329" t="s">
        <v>75</v>
      </c>
      <c r="I329" t="s">
        <v>76</v>
      </c>
      <c r="J329" t="s">
        <v>77</v>
      </c>
      <c r="K329" t="s">
        <v>78</v>
      </c>
      <c r="L329" t="s">
        <v>159</v>
      </c>
      <c r="M329" t="s">
        <v>160</v>
      </c>
      <c r="N329" t="s">
        <v>897</v>
      </c>
      <c r="O329" t="s">
        <v>82</v>
      </c>
      <c r="P329" t="str">
        <f>"4170042012                    "</f>
        <v xml:space="preserve">4170042012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16.7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0.2</v>
      </c>
      <c r="BK329">
        <v>1</v>
      </c>
      <c r="BL329">
        <v>54.66</v>
      </c>
      <c r="BM329">
        <v>8.1999999999999993</v>
      </c>
      <c r="BN329">
        <v>62.86</v>
      </c>
      <c r="BO329">
        <v>62.86</v>
      </c>
      <c r="BQ329" t="s">
        <v>898</v>
      </c>
      <c r="BR329" t="s">
        <v>84</v>
      </c>
      <c r="BS329" s="3">
        <v>45812</v>
      </c>
      <c r="BT329" s="4">
        <v>0.32847222222222222</v>
      </c>
      <c r="BU329" t="s">
        <v>899</v>
      </c>
      <c r="BV329" t="s">
        <v>86</v>
      </c>
      <c r="BY329">
        <v>1200</v>
      </c>
      <c r="BZ329" t="s">
        <v>87</v>
      </c>
      <c r="CA329" t="s">
        <v>743</v>
      </c>
      <c r="CC329" t="s">
        <v>160</v>
      </c>
      <c r="CD329">
        <v>2042</v>
      </c>
      <c r="CE329" t="s">
        <v>89</v>
      </c>
      <c r="CF329" s="3">
        <v>45812</v>
      </c>
      <c r="CI329">
        <v>1</v>
      </c>
      <c r="CJ329">
        <v>1</v>
      </c>
      <c r="CK329">
        <v>22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"080065730393"</f>
        <v>080065730393</v>
      </c>
      <c r="F330" s="3">
        <v>45811</v>
      </c>
      <c r="G330">
        <v>202603</v>
      </c>
      <c r="H330" t="s">
        <v>75</v>
      </c>
      <c r="I330" t="s">
        <v>76</v>
      </c>
      <c r="J330" t="s">
        <v>77</v>
      </c>
      <c r="K330" t="s">
        <v>78</v>
      </c>
      <c r="L330" t="s">
        <v>900</v>
      </c>
      <c r="M330" t="s">
        <v>901</v>
      </c>
      <c r="N330" t="s">
        <v>902</v>
      </c>
      <c r="O330" t="s">
        <v>82</v>
      </c>
      <c r="P330" t="str">
        <f>"4170041926                    "</f>
        <v xml:space="preserve">4170041926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21.38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0.2</v>
      </c>
      <c r="BK330">
        <v>1</v>
      </c>
      <c r="BL330">
        <v>69.98</v>
      </c>
      <c r="BM330">
        <v>10.5</v>
      </c>
      <c r="BN330">
        <v>80.48</v>
      </c>
      <c r="BO330">
        <v>80.48</v>
      </c>
      <c r="BQ330" t="s">
        <v>903</v>
      </c>
      <c r="BR330" t="s">
        <v>84</v>
      </c>
      <c r="BS330" s="3">
        <v>45812</v>
      </c>
      <c r="BT330" s="4">
        <v>0.3923611111111111</v>
      </c>
      <c r="BU330" t="s">
        <v>904</v>
      </c>
      <c r="BV330" t="s">
        <v>86</v>
      </c>
      <c r="BY330">
        <v>1200</v>
      </c>
      <c r="BZ330" t="s">
        <v>87</v>
      </c>
      <c r="CA330" t="s">
        <v>418</v>
      </c>
      <c r="CC330" t="s">
        <v>901</v>
      </c>
      <c r="CD330">
        <v>4026</v>
      </c>
      <c r="CE330" t="s">
        <v>89</v>
      </c>
      <c r="CF330" s="3">
        <v>45812</v>
      </c>
      <c r="CI330">
        <v>1</v>
      </c>
      <c r="CJ330">
        <v>1</v>
      </c>
      <c r="CK330">
        <v>21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"080065730388"</f>
        <v>080065730388</v>
      </c>
      <c r="F331" s="3">
        <v>45811</v>
      </c>
      <c r="G331">
        <v>202603</v>
      </c>
      <c r="H331" t="s">
        <v>75</v>
      </c>
      <c r="I331" t="s">
        <v>76</v>
      </c>
      <c r="J331" t="s">
        <v>77</v>
      </c>
      <c r="K331" t="s">
        <v>78</v>
      </c>
      <c r="L331" t="s">
        <v>331</v>
      </c>
      <c r="M331" t="s">
        <v>332</v>
      </c>
      <c r="N331" t="s">
        <v>905</v>
      </c>
      <c r="O331" t="s">
        <v>82</v>
      </c>
      <c r="P331" t="str">
        <f>"4170041896                    "</f>
        <v xml:space="preserve">4170041896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48.09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2</v>
      </c>
      <c r="BJ331">
        <v>4.0999999999999996</v>
      </c>
      <c r="BK331">
        <v>4.5</v>
      </c>
      <c r="BL331">
        <v>157.38999999999999</v>
      </c>
      <c r="BM331">
        <v>23.61</v>
      </c>
      <c r="BN331">
        <v>181</v>
      </c>
      <c r="BO331">
        <v>181</v>
      </c>
      <c r="BQ331" t="s">
        <v>906</v>
      </c>
      <c r="BR331" t="s">
        <v>84</v>
      </c>
      <c r="BS331" s="3">
        <v>45812</v>
      </c>
      <c r="BT331" s="4">
        <v>0.42777777777777776</v>
      </c>
      <c r="BU331" t="s">
        <v>907</v>
      </c>
      <c r="BV331" t="s">
        <v>86</v>
      </c>
      <c r="BY331">
        <v>20358</v>
      </c>
      <c r="BZ331" t="s">
        <v>87</v>
      </c>
      <c r="CA331" t="s">
        <v>487</v>
      </c>
      <c r="CC331" t="s">
        <v>332</v>
      </c>
      <c r="CD331">
        <v>4052</v>
      </c>
      <c r="CE331" t="s">
        <v>99</v>
      </c>
      <c r="CF331" s="3">
        <v>45812</v>
      </c>
      <c r="CI331">
        <v>1</v>
      </c>
      <c r="CJ331">
        <v>1</v>
      </c>
      <c r="CK331">
        <v>21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"080065730455"</f>
        <v>080065730455</v>
      </c>
      <c r="F332" s="3">
        <v>45811</v>
      </c>
      <c r="G332">
        <v>202603</v>
      </c>
      <c r="H332" t="s">
        <v>75</v>
      </c>
      <c r="I332" t="s">
        <v>76</v>
      </c>
      <c r="J332" t="s">
        <v>77</v>
      </c>
      <c r="K332" t="s">
        <v>78</v>
      </c>
      <c r="L332" t="s">
        <v>284</v>
      </c>
      <c r="M332" t="s">
        <v>285</v>
      </c>
      <c r="N332" t="s">
        <v>908</v>
      </c>
      <c r="O332" t="s">
        <v>82</v>
      </c>
      <c r="P332" t="str">
        <f>"4170041959                    "</f>
        <v xml:space="preserve">4170041959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16.7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2</v>
      </c>
      <c r="BJ332">
        <v>1.1000000000000001</v>
      </c>
      <c r="BK332">
        <v>2</v>
      </c>
      <c r="BL332">
        <v>54.66</v>
      </c>
      <c r="BM332">
        <v>8.1999999999999993</v>
      </c>
      <c r="BN332">
        <v>62.86</v>
      </c>
      <c r="BO332">
        <v>62.86</v>
      </c>
      <c r="BQ332" t="s">
        <v>909</v>
      </c>
      <c r="BR332" t="s">
        <v>84</v>
      </c>
      <c r="BS332" s="3">
        <v>45812</v>
      </c>
      <c r="BT332" s="4">
        <v>0.40972222222222221</v>
      </c>
      <c r="BU332" t="s">
        <v>910</v>
      </c>
      <c r="BV332" t="s">
        <v>86</v>
      </c>
      <c r="BY332">
        <v>5320</v>
      </c>
      <c r="BZ332" t="s">
        <v>87</v>
      </c>
      <c r="CA332" t="s">
        <v>911</v>
      </c>
      <c r="CC332" t="s">
        <v>285</v>
      </c>
      <c r="CD332">
        <v>1559</v>
      </c>
      <c r="CE332" t="s">
        <v>99</v>
      </c>
      <c r="CF332" s="3">
        <v>45812</v>
      </c>
      <c r="CI332">
        <v>1</v>
      </c>
      <c r="CJ332">
        <v>1</v>
      </c>
      <c r="CK332">
        <v>22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"080065730485"</f>
        <v>080065730485</v>
      </c>
      <c r="F333" s="3">
        <v>45811</v>
      </c>
      <c r="G333">
        <v>202603</v>
      </c>
      <c r="H333" t="s">
        <v>75</v>
      </c>
      <c r="I333" t="s">
        <v>76</v>
      </c>
      <c r="J333" t="s">
        <v>77</v>
      </c>
      <c r="K333" t="s">
        <v>78</v>
      </c>
      <c r="L333" t="s">
        <v>91</v>
      </c>
      <c r="M333" t="s">
        <v>92</v>
      </c>
      <c r="N333" t="s">
        <v>540</v>
      </c>
      <c r="O333" t="s">
        <v>82</v>
      </c>
      <c r="P333" t="str">
        <f>"4170042041                    "</f>
        <v xml:space="preserve">4170042041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80.14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5</v>
      </c>
      <c r="BJ333">
        <v>7.4</v>
      </c>
      <c r="BK333">
        <v>7.5</v>
      </c>
      <c r="BL333">
        <v>262.27999999999997</v>
      </c>
      <c r="BM333">
        <v>39.340000000000003</v>
      </c>
      <c r="BN333">
        <v>301.62</v>
      </c>
      <c r="BO333">
        <v>301.62</v>
      </c>
      <c r="BQ333" t="s">
        <v>541</v>
      </c>
      <c r="BR333" t="s">
        <v>84</v>
      </c>
      <c r="BS333" s="3">
        <v>45812</v>
      </c>
      <c r="BT333" s="4">
        <v>0.41458333333333336</v>
      </c>
      <c r="BU333" t="s">
        <v>542</v>
      </c>
      <c r="BV333" t="s">
        <v>86</v>
      </c>
      <c r="BY333">
        <v>36963</v>
      </c>
      <c r="BZ333" t="s">
        <v>87</v>
      </c>
      <c r="CA333" t="s">
        <v>543</v>
      </c>
      <c r="CC333" t="s">
        <v>92</v>
      </c>
      <c r="CD333">
        <v>7441</v>
      </c>
      <c r="CE333" t="s">
        <v>912</v>
      </c>
      <c r="CF333" s="3">
        <v>45813</v>
      </c>
      <c r="CI333">
        <v>1</v>
      </c>
      <c r="CJ333">
        <v>1</v>
      </c>
      <c r="CK333">
        <v>21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"080065730550"</f>
        <v>080065730550</v>
      </c>
      <c r="F334" s="3">
        <v>45811</v>
      </c>
      <c r="G334">
        <v>202603</v>
      </c>
      <c r="H334" t="s">
        <v>75</v>
      </c>
      <c r="I334" t="s">
        <v>76</v>
      </c>
      <c r="J334" t="s">
        <v>77</v>
      </c>
      <c r="K334" t="s">
        <v>78</v>
      </c>
      <c r="L334" t="s">
        <v>413</v>
      </c>
      <c r="M334" t="s">
        <v>414</v>
      </c>
      <c r="N334" t="s">
        <v>913</v>
      </c>
      <c r="O334" t="s">
        <v>82</v>
      </c>
      <c r="P334" t="str">
        <f>"4170041904                    "</f>
        <v xml:space="preserve">4170041904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138.9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2</v>
      </c>
      <c r="BI334">
        <v>13</v>
      </c>
      <c r="BJ334">
        <v>9.8000000000000007</v>
      </c>
      <c r="BK334">
        <v>13</v>
      </c>
      <c r="BL334">
        <v>454.58</v>
      </c>
      <c r="BM334">
        <v>68.19</v>
      </c>
      <c r="BN334">
        <v>522.77</v>
      </c>
      <c r="BO334">
        <v>522.77</v>
      </c>
      <c r="BQ334" t="s">
        <v>914</v>
      </c>
      <c r="BR334" t="s">
        <v>84</v>
      </c>
      <c r="BS334" s="3">
        <v>45812</v>
      </c>
      <c r="BT334" s="4">
        <v>0.54722222222222228</v>
      </c>
      <c r="BU334" t="s">
        <v>915</v>
      </c>
      <c r="BV334" t="s">
        <v>90</v>
      </c>
      <c r="BW334" t="s">
        <v>212</v>
      </c>
      <c r="BX334" t="s">
        <v>213</v>
      </c>
      <c r="BY334">
        <v>49070</v>
      </c>
      <c r="BZ334" t="s">
        <v>87</v>
      </c>
      <c r="CA334" t="s">
        <v>418</v>
      </c>
      <c r="CC334" t="s">
        <v>414</v>
      </c>
      <c r="CD334">
        <v>4113</v>
      </c>
      <c r="CE334" t="s">
        <v>99</v>
      </c>
      <c r="CF334" s="3">
        <v>45812</v>
      </c>
      <c r="CI334">
        <v>1</v>
      </c>
      <c r="CJ334">
        <v>1</v>
      </c>
      <c r="CK334">
        <v>21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"080065730996"</f>
        <v>080065730996</v>
      </c>
      <c r="F335" s="3">
        <v>45811</v>
      </c>
      <c r="G335">
        <v>202603</v>
      </c>
      <c r="H335" t="s">
        <v>75</v>
      </c>
      <c r="I335" t="s">
        <v>76</v>
      </c>
      <c r="J335" t="s">
        <v>77</v>
      </c>
      <c r="K335" t="s">
        <v>78</v>
      </c>
      <c r="L335" t="s">
        <v>159</v>
      </c>
      <c r="M335" t="s">
        <v>160</v>
      </c>
      <c r="N335" t="s">
        <v>916</v>
      </c>
      <c r="O335" t="s">
        <v>82</v>
      </c>
      <c r="P335" t="str">
        <f>"4170041925                    "</f>
        <v xml:space="preserve">4170041925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16.7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1.9</v>
      </c>
      <c r="BK335">
        <v>2</v>
      </c>
      <c r="BL335">
        <v>54.66</v>
      </c>
      <c r="BM335">
        <v>8.1999999999999993</v>
      </c>
      <c r="BN335">
        <v>62.86</v>
      </c>
      <c r="BO335">
        <v>62.86</v>
      </c>
      <c r="BQ335" t="s">
        <v>917</v>
      </c>
      <c r="BR335" t="s">
        <v>84</v>
      </c>
      <c r="BS335" s="3">
        <v>45812</v>
      </c>
      <c r="BT335" s="4">
        <v>0.42708333333333331</v>
      </c>
      <c r="BU335" t="s">
        <v>918</v>
      </c>
      <c r="BV335" t="s">
        <v>86</v>
      </c>
      <c r="BY335">
        <v>9600</v>
      </c>
      <c r="BZ335" t="s">
        <v>87</v>
      </c>
      <c r="CA335" t="s">
        <v>233</v>
      </c>
      <c r="CC335" t="s">
        <v>160</v>
      </c>
      <c r="CD335">
        <v>2197</v>
      </c>
      <c r="CE335" t="s">
        <v>99</v>
      </c>
      <c r="CF335" s="3">
        <v>45812</v>
      </c>
      <c r="CI335">
        <v>1</v>
      </c>
      <c r="CJ335">
        <v>1</v>
      </c>
      <c r="CK335">
        <v>22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"080065731002"</f>
        <v>080065731002</v>
      </c>
      <c r="F336" s="3">
        <v>45811</v>
      </c>
      <c r="G336">
        <v>202603</v>
      </c>
      <c r="H336" t="s">
        <v>75</v>
      </c>
      <c r="I336" t="s">
        <v>76</v>
      </c>
      <c r="J336" t="s">
        <v>77</v>
      </c>
      <c r="K336" t="s">
        <v>78</v>
      </c>
      <c r="L336" t="s">
        <v>106</v>
      </c>
      <c r="M336" t="s">
        <v>107</v>
      </c>
      <c r="N336" t="s">
        <v>919</v>
      </c>
      <c r="O336" t="s">
        <v>82</v>
      </c>
      <c r="P336" t="str">
        <f>"4170042050                    "</f>
        <v xml:space="preserve">4170042050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21.38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69.98</v>
      </c>
      <c r="BM336">
        <v>10.5</v>
      </c>
      <c r="BN336">
        <v>80.48</v>
      </c>
      <c r="BO336">
        <v>80.48</v>
      </c>
      <c r="BQ336" t="s">
        <v>920</v>
      </c>
      <c r="BR336" t="s">
        <v>84</v>
      </c>
      <c r="BS336" s="3">
        <v>45812</v>
      </c>
      <c r="BT336" s="4">
        <v>0.40972222222222221</v>
      </c>
      <c r="BU336" t="s">
        <v>449</v>
      </c>
      <c r="BV336" t="s">
        <v>86</v>
      </c>
      <c r="BY336">
        <v>1200</v>
      </c>
      <c r="BZ336" t="s">
        <v>87</v>
      </c>
      <c r="CA336" t="s">
        <v>850</v>
      </c>
      <c r="CC336" t="s">
        <v>107</v>
      </c>
      <c r="CD336">
        <v>127</v>
      </c>
      <c r="CE336" t="s">
        <v>89</v>
      </c>
      <c r="CF336" s="3">
        <v>45812</v>
      </c>
      <c r="CI336">
        <v>1</v>
      </c>
      <c r="CJ336">
        <v>1</v>
      </c>
      <c r="CK336">
        <v>21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"080065731046"</f>
        <v>080065731046</v>
      </c>
      <c r="F337" s="3">
        <v>45811</v>
      </c>
      <c r="G337">
        <v>202603</v>
      </c>
      <c r="H337" t="s">
        <v>75</v>
      </c>
      <c r="I337" t="s">
        <v>76</v>
      </c>
      <c r="J337" t="s">
        <v>77</v>
      </c>
      <c r="K337" t="s">
        <v>78</v>
      </c>
      <c r="L337" t="s">
        <v>91</v>
      </c>
      <c r="M337" t="s">
        <v>92</v>
      </c>
      <c r="N337" t="s">
        <v>540</v>
      </c>
      <c r="O337" t="s">
        <v>82</v>
      </c>
      <c r="P337" t="str">
        <f>"4170042056                    "</f>
        <v xml:space="preserve">4170042056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21.38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</v>
      </c>
      <c r="BJ337">
        <v>1.7</v>
      </c>
      <c r="BK337">
        <v>2</v>
      </c>
      <c r="BL337">
        <v>69.98</v>
      </c>
      <c r="BM337">
        <v>10.5</v>
      </c>
      <c r="BN337">
        <v>80.48</v>
      </c>
      <c r="BO337">
        <v>80.48</v>
      </c>
      <c r="BQ337" t="s">
        <v>541</v>
      </c>
      <c r="BR337" t="s">
        <v>84</v>
      </c>
      <c r="BS337" s="3">
        <v>45812</v>
      </c>
      <c r="BT337" s="4">
        <v>0.41458333333333336</v>
      </c>
      <c r="BU337" t="s">
        <v>542</v>
      </c>
      <c r="BV337" t="s">
        <v>86</v>
      </c>
      <c r="BY337">
        <v>8550</v>
      </c>
      <c r="BZ337" t="s">
        <v>87</v>
      </c>
      <c r="CA337" t="s">
        <v>543</v>
      </c>
      <c r="CC337" t="s">
        <v>92</v>
      </c>
      <c r="CD337">
        <v>7441</v>
      </c>
      <c r="CE337" t="s">
        <v>180</v>
      </c>
      <c r="CF337" s="3">
        <v>45813</v>
      </c>
      <c r="CI337">
        <v>1</v>
      </c>
      <c r="CJ337">
        <v>1</v>
      </c>
      <c r="CK337">
        <v>21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"080065731082"</f>
        <v>080065731082</v>
      </c>
      <c r="F338" s="3">
        <v>45811</v>
      </c>
      <c r="G338">
        <v>202603</v>
      </c>
      <c r="H338" t="s">
        <v>75</v>
      </c>
      <c r="I338" t="s">
        <v>76</v>
      </c>
      <c r="J338" t="s">
        <v>77</v>
      </c>
      <c r="K338" t="s">
        <v>78</v>
      </c>
      <c r="L338" t="s">
        <v>174</v>
      </c>
      <c r="M338" t="s">
        <v>175</v>
      </c>
      <c r="N338" t="s">
        <v>176</v>
      </c>
      <c r="O338" t="s">
        <v>82</v>
      </c>
      <c r="P338" t="str">
        <f>"4170042036                    "</f>
        <v xml:space="preserve">4170042036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21.38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2</v>
      </c>
      <c r="BJ338">
        <v>1.8</v>
      </c>
      <c r="BK338">
        <v>2</v>
      </c>
      <c r="BL338">
        <v>69.98</v>
      </c>
      <c r="BM338">
        <v>10.5</v>
      </c>
      <c r="BN338">
        <v>80.48</v>
      </c>
      <c r="BO338">
        <v>80.48</v>
      </c>
      <c r="BQ338" t="s">
        <v>177</v>
      </c>
      <c r="BR338" t="s">
        <v>84</v>
      </c>
      <c r="BS338" s="3">
        <v>45812</v>
      </c>
      <c r="BT338" s="4">
        <v>0.80138888888888893</v>
      </c>
      <c r="BU338" t="s">
        <v>921</v>
      </c>
      <c r="BV338" t="s">
        <v>90</v>
      </c>
      <c r="BW338" t="s">
        <v>212</v>
      </c>
      <c r="BX338" t="s">
        <v>213</v>
      </c>
      <c r="BY338">
        <v>9044</v>
      </c>
      <c r="BZ338" t="s">
        <v>87</v>
      </c>
      <c r="CA338" t="s">
        <v>722</v>
      </c>
      <c r="CC338" t="s">
        <v>175</v>
      </c>
      <c r="CD338">
        <v>3610</v>
      </c>
      <c r="CE338" t="s">
        <v>180</v>
      </c>
      <c r="CF338" s="3">
        <v>45813</v>
      </c>
      <c r="CI338">
        <v>1</v>
      </c>
      <c r="CJ338">
        <v>1</v>
      </c>
      <c r="CK338">
        <v>21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"080065731089"</f>
        <v>080065731089</v>
      </c>
      <c r="F339" s="3">
        <v>45811</v>
      </c>
      <c r="G339">
        <v>202603</v>
      </c>
      <c r="H339" t="s">
        <v>75</v>
      </c>
      <c r="I339" t="s">
        <v>76</v>
      </c>
      <c r="J339" t="s">
        <v>77</v>
      </c>
      <c r="K339" t="s">
        <v>78</v>
      </c>
      <c r="L339" t="s">
        <v>130</v>
      </c>
      <c r="M339" t="s">
        <v>131</v>
      </c>
      <c r="N339" t="s">
        <v>451</v>
      </c>
      <c r="O339" t="s">
        <v>94</v>
      </c>
      <c r="P339" t="str">
        <f>"4170042022                    "</f>
        <v xml:space="preserve">4170042022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34.71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18</v>
      </c>
      <c r="BJ339">
        <v>9.1</v>
      </c>
      <c r="BK339">
        <v>18</v>
      </c>
      <c r="BL339">
        <v>119.16</v>
      </c>
      <c r="BM339">
        <v>17.87</v>
      </c>
      <c r="BN339">
        <v>137.03</v>
      </c>
      <c r="BO339">
        <v>137.03</v>
      </c>
      <c r="BQ339" t="s">
        <v>452</v>
      </c>
      <c r="BR339" t="s">
        <v>84</v>
      </c>
      <c r="BS339" s="3">
        <v>45812</v>
      </c>
      <c r="BT339" s="4">
        <v>0.4909722222222222</v>
      </c>
      <c r="BU339" t="s">
        <v>922</v>
      </c>
      <c r="BV339" t="s">
        <v>86</v>
      </c>
      <c r="BY339">
        <v>45632</v>
      </c>
      <c r="BZ339" t="s">
        <v>97</v>
      </c>
      <c r="CC339" t="s">
        <v>131</v>
      </c>
      <c r="CD339">
        <v>1469</v>
      </c>
      <c r="CE339" t="s">
        <v>99</v>
      </c>
      <c r="CF339" s="3">
        <v>45812</v>
      </c>
      <c r="CI339">
        <v>1</v>
      </c>
      <c r="CJ339">
        <v>1</v>
      </c>
      <c r="CK339">
        <v>42</v>
      </c>
      <c r="CL339" t="s">
        <v>90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"080065731102"</f>
        <v>080065731102</v>
      </c>
      <c r="F340" s="3">
        <v>45811</v>
      </c>
      <c r="G340">
        <v>202603</v>
      </c>
      <c r="H340" t="s">
        <v>75</v>
      </c>
      <c r="I340" t="s">
        <v>76</v>
      </c>
      <c r="J340" t="s">
        <v>77</v>
      </c>
      <c r="K340" t="s">
        <v>78</v>
      </c>
      <c r="L340" t="s">
        <v>266</v>
      </c>
      <c r="M340" t="s">
        <v>267</v>
      </c>
      <c r="N340" t="s">
        <v>923</v>
      </c>
      <c r="O340" t="s">
        <v>94</v>
      </c>
      <c r="P340" t="str">
        <f>"4170042015                    "</f>
        <v xml:space="preserve">4170042015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68.67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13</v>
      </c>
      <c r="BJ340">
        <v>30.9</v>
      </c>
      <c r="BK340">
        <v>31</v>
      </c>
      <c r="BL340">
        <v>230.3</v>
      </c>
      <c r="BM340">
        <v>34.549999999999997</v>
      </c>
      <c r="BN340">
        <v>264.85000000000002</v>
      </c>
      <c r="BO340">
        <v>264.85000000000002</v>
      </c>
      <c r="BQ340" t="s">
        <v>924</v>
      </c>
      <c r="BR340" t="s">
        <v>84</v>
      </c>
      <c r="BS340" s="3">
        <v>45813</v>
      </c>
      <c r="BT340" s="4">
        <v>0.46666666666666667</v>
      </c>
      <c r="BU340" t="s">
        <v>925</v>
      </c>
      <c r="BV340" t="s">
        <v>86</v>
      </c>
      <c r="BY340">
        <v>154560</v>
      </c>
      <c r="BZ340" t="s">
        <v>97</v>
      </c>
      <c r="CA340" t="s">
        <v>271</v>
      </c>
      <c r="CC340" t="s">
        <v>267</v>
      </c>
      <c r="CD340">
        <v>6229</v>
      </c>
      <c r="CE340" t="s">
        <v>99</v>
      </c>
      <c r="CF340" s="3">
        <v>45813</v>
      </c>
      <c r="CI340">
        <v>3</v>
      </c>
      <c r="CJ340">
        <v>2</v>
      </c>
      <c r="CK340">
        <v>41</v>
      </c>
      <c r="CL340" t="s">
        <v>90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"080065731115"</f>
        <v>080065731115</v>
      </c>
      <c r="F341" s="3">
        <v>45811</v>
      </c>
      <c r="G341">
        <v>202603</v>
      </c>
      <c r="H341" t="s">
        <v>75</v>
      </c>
      <c r="I341" t="s">
        <v>76</v>
      </c>
      <c r="J341" t="s">
        <v>77</v>
      </c>
      <c r="K341" t="s">
        <v>78</v>
      </c>
      <c r="L341" t="s">
        <v>91</v>
      </c>
      <c r="M341" t="s">
        <v>92</v>
      </c>
      <c r="N341" t="s">
        <v>676</v>
      </c>
      <c r="O341" t="s">
        <v>82</v>
      </c>
      <c r="P341" t="str">
        <f>"4170041933                    "</f>
        <v xml:space="preserve">4170041933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160.27000000000001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15</v>
      </c>
      <c r="BJ341">
        <v>9.1</v>
      </c>
      <c r="BK341">
        <v>15</v>
      </c>
      <c r="BL341">
        <v>524.51</v>
      </c>
      <c r="BM341">
        <v>78.680000000000007</v>
      </c>
      <c r="BN341">
        <v>603.19000000000005</v>
      </c>
      <c r="BO341">
        <v>603.19000000000005</v>
      </c>
      <c r="BQ341" t="s">
        <v>677</v>
      </c>
      <c r="BR341" t="s">
        <v>84</v>
      </c>
      <c r="BS341" s="3">
        <v>45812</v>
      </c>
      <c r="BT341" s="4">
        <v>0.46805555555555556</v>
      </c>
      <c r="BU341" t="s">
        <v>678</v>
      </c>
      <c r="BV341" t="s">
        <v>86</v>
      </c>
      <c r="BY341">
        <v>45632</v>
      </c>
      <c r="BZ341" t="s">
        <v>87</v>
      </c>
      <c r="CA341" t="s">
        <v>679</v>
      </c>
      <c r="CC341" t="s">
        <v>92</v>
      </c>
      <c r="CD341">
        <v>7975</v>
      </c>
      <c r="CE341" t="s">
        <v>99</v>
      </c>
      <c r="CF341" s="3">
        <v>45813</v>
      </c>
      <c r="CI341">
        <v>1</v>
      </c>
      <c r="CJ341">
        <v>1</v>
      </c>
      <c r="CK341">
        <v>21</v>
      </c>
      <c r="CL341" t="s">
        <v>90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"080065731129"</f>
        <v>080065731129</v>
      </c>
      <c r="F342" s="3">
        <v>45811</v>
      </c>
      <c r="G342">
        <v>202603</v>
      </c>
      <c r="H342" t="s">
        <v>75</v>
      </c>
      <c r="I342" t="s">
        <v>76</v>
      </c>
      <c r="J342" t="s">
        <v>77</v>
      </c>
      <c r="K342" t="s">
        <v>78</v>
      </c>
      <c r="L342" t="s">
        <v>174</v>
      </c>
      <c r="M342" t="s">
        <v>175</v>
      </c>
      <c r="N342" t="s">
        <v>926</v>
      </c>
      <c r="O342" t="s">
        <v>94</v>
      </c>
      <c r="P342" t="str">
        <f>"4170041890                    "</f>
        <v xml:space="preserve">4170041890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77.2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36</v>
      </c>
      <c r="BJ342">
        <v>16.3</v>
      </c>
      <c r="BK342">
        <v>36</v>
      </c>
      <c r="BL342">
        <v>258.23</v>
      </c>
      <c r="BM342">
        <v>38.729999999999997</v>
      </c>
      <c r="BN342">
        <v>296.95999999999998</v>
      </c>
      <c r="BO342">
        <v>296.95999999999998</v>
      </c>
      <c r="BQ342" t="s">
        <v>927</v>
      </c>
      <c r="BR342" t="s">
        <v>84</v>
      </c>
      <c r="BS342" s="3">
        <v>45812</v>
      </c>
      <c r="BT342" s="4">
        <v>0.57291666666666663</v>
      </c>
      <c r="BU342" t="s">
        <v>928</v>
      </c>
      <c r="BV342" t="s">
        <v>86</v>
      </c>
      <c r="BY342">
        <v>81600</v>
      </c>
      <c r="BZ342" t="s">
        <v>97</v>
      </c>
      <c r="CA342" t="s">
        <v>929</v>
      </c>
      <c r="CC342" t="s">
        <v>175</v>
      </c>
      <c r="CD342">
        <v>3610</v>
      </c>
      <c r="CE342" t="s">
        <v>930</v>
      </c>
      <c r="CF342" s="3">
        <v>45813</v>
      </c>
      <c r="CI342">
        <v>1</v>
      </c>
      <c r="CJ342">
        <v>1</v>
      </c>
      <c r="CK342">
        <v>41</v>
      </c>
      <c r="CL342" t="s">
        <v>90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"080065731162"</f>
        <v>080065731162</v>
      </c>
      <c r="F343" s="3">
        <v>45811</v>
      </c>
      <c r="G343">
        <v>202603</v>
      </c>
      <c r="H343" t="s">
        <v>75</v>
      </c>
      <c r="I343" t="s">
        <v>76</v>
      </c>
      <c r="J343" t="s">
        <v>77</v>
      </c>
      <c r="K343" t="s">
        <v>78</v>
      </c>
      <c r="L343" t="s">
        <v>224</v>
      </c>
      <c r="M343" t="s">
        <v>225</v>
      </c>
      <c r="N343" t="s">
        <v>226</v>
      </c>
      <c r="O343" t="s">
        <v>82</v>
      </c>
      <c r="P343" t="str">
        <f>"4170042013                    "</f>
        <v xml:space="preserve">4170042013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97.56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4</v>
      </c>
      <c r="BJ343">
        <v>5</v>
      </c>
      <c r="BK343">
        <v>5</v>
      </c>
      <c r="BL343">
        <v>319.27999999999997</v>
      </c>
      <c r="BM343">
        <v>47.89</v>
      </c>
      <c r="BN343">
        <v>367.17</v>
      </c>
      <c r="BO343">
        <v>367.17</v>
      </c>
      <c r="BQ343" t="s">
        <v>227</v>
      </c>
      <c r="BR343" t="s">
        <v>84</v>
      </c>
      <c r="BS343" s="3">
        <v>45812</v>
      </c>
      <c r="BT343" s="4">
        <v>0.58194444444444449</v>
      </c>
      <c r="BU343" t="s">
        <v>228</v>
      </c>
      <c r="BV343" t="s">
        <v>86</v>
      </c>
      <c r="BY343">
        <v>25000</v>
      </c>
      <c r="BZ343" t="s">
        <v>87</v>
      </c>
      <c r="CA343" t="s">
        <v>229</v>
      </c>
      <c r="CC343" t="s">
        <v>225</v>
      </c>
      <c r="CD343">
        <v>6300</v>
      </c>
      <c r="CE343" t="s">
        <v>931</v>
      </c>
      <c r="CF343" s="3">
        <v>45812</v>
      </c>
      <c r="CI343">
        <v>2</v>
      </c>
      <c r="CJ343">
        <v>1</v>
      </c>
      <c r="CK343">
        <v>23</v>
      </c>
      <c r="CL343" t="s">
        <v>90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"080065731267"</f>
        <v>080065731267</v>
      </c>
      <c r="F344" s="3">
        <v>45811</v>
      </c>
      <c r="G344">
        <v>202603</v>
      </c>
      <c r="H344" t="s">
        <v>75</v>
      </c>
      <c r="I344" t="s">
        <v>76</v>
      </c>
      <c r="J344" t="s">
        <v>77</v>
      </c>
      <c r="K344" t="s">
        <v>78</v>
      </c>
      <c r="L344" t="s">
        <v>100</v>
      </c>
      <c r="M344" t="s">
        <v>101</v>
      </c>
      <c r="N344" t="s">
        <v>726</v>
      </c>
      <c r="O344" t="s">
        <v>82</v>
      </c>
      <c r="P344" t="str">
        <f>"4170041955                    "</f>
        <v xml:space="preserve">4170041955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42.75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4</v>
      </c>
      <c r="BJ344">
        <v>1.1000000000000001</v>
      </c>
      <c r="BK344">
        <v>4</v>
      </c>
      <c r="BL344">
        <v>139.91</v>
      </c>
      <c r="BM344">
        <v>20.99</v>
      </c>
      <c r="BN344">
        <v>160.9</v>
      </c>
      <c r="BO344">
        <v>160.9</v>
      </c>
      <c r="BQ344" t="s">
        <v>727</v>
      </c>
      <c r="BR344" t="s">
        <v>84</v>
      </c>
      <c r="BS344" s="3">
        <v>45812</v>
      </c>
      <c r="BT344" s="4">
        <v>0.38541666666666669</v>
      </c>
      <c r="BU344" t="s">
        <v>932</v>
      </c>
      <c r="BV344" t="s">
        <v>86</v>
      </c>
      <c r="BY344">
        <v>5320</v>
      </c>
      <c r="BZ344" t="s">
        <v>87</v>
      </c>
      <c r="CA344" t="s">
        <v>394</v>
      </c>
      <c r="CC344" t="s">
        <v>101</v>
      </c>
      <c r="CD344">
        <v>6001</v>
      </c>
      <c r="CE344" t="s">
        <v>292</v>
      </c>
      <c r="CF344" s="3">
        <v>45812</v>
      </c>
      <c r="CI344">
        <v>1</v>
      </c>
      <c r="CJ344">
        <v>1</v>
      </c>
      <c r="CK344">
        <v>21</v>
      </c>
      <c r="CL344" t="s">
        <v>90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"080065731931"</f>
        <v>080065731931</v>
      </c>
      <c r="F345" s="3">
        <v>45811</v>
      </c>
      <c r="G345">
        <v>202603</v>
      </c>
      <c r="H345" t="s">
        <v>75</v>
      </c>
      <c r="I345" t="s">
        <v>76</v>
      </c>
      <c r="J345" t="s">
        <v>77</v>
      </c>
      <c r="K345" t="s">
        <v>78</v>
      </c>
      <c r="L345" t="s">
        <v>350</v>
      </c>
      <c r="M345" t="s">
        <v>351</v>
      </c>
      <c r="N345" t="s">
        <v>933</v>
      </c>
      <c r="O345" t="s">
        <v>82</v>
      </c>
      <c r="P345" t="str">
        <f>"4170041940                    "</f>
        <v xml:space="preserve">4170041940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21.38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0.2</v>
      </c>
      <c r="BK345">
        <v>1</v>
      </c>
      <c r="BL345">
        <v>69.98</v>
      </c>
      <c r="BM345">
        <v>10.5</v>
      </c>
      <c r="BN345">
        <v>80.48</v>
      </c>
      <c r="BO345">
        <v>80.48</v>
      </c>
      <c r="BQ345" t="s">
        <v>934</v>
      </c>
      <c r="BR345" t="s">
        <v>84</v>
      </c>
      <c r="BS345" s="3">
        <v>45812</v>
      </c>
      <c r="BT345" s="4">
        <v>0.3840277777777778</v>
      </c>
      <c r="BU345" t="s">
        <v>935</v>
      </c>
      <c r="BV345" t="s">
        <v>86</v>
      </c>
      <c r="BY345">
        <v>1200</v>
      </c>
      <c r="BZ345" t="s">
        <v>87</v>
      </c>
      <c r="CA345" t="s">
        <v>515</v>
      </c>
      <c r="CC345" t="s">
        <v>351</v>
      </c>
      <c r="CD345">
        <v>157</v>
      </c>
      <c r="CE345" t="s">
        <v>89</v>
      </c>
      <c r="CF345" s="3">
        <v>45812</v>
      </c>
      <c r="CI345">
        <v>1</v>
      </c>
      <c r="CJ345">
        <v>1</v>
      </c>
      <c r="CK345">
        <v>21</v>
      </c>
      <c r="CL345" t="s">
        <v>90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"080065731946"</f>
        <v>080065731946</v>
      </c>
      <c r="F346" s="3">
        <v>45811</v>
      </c>
      <c r="G346">
        <v>202603</v>
      </c>
      <c r="H346" t="s">
        <v>75</v>
      </c>
      <c r="I346" t="s">
        <v>76</v>
      </c>
      <c r="J346" t="s">
        <v>77</v>
      </c>
      <c r="K346" t="s">
        <v>78</v>
      </c>
      <c r="L346" t="s">
        <v>116</v>
      </c>
      <c r="M346" t="s">
        <v>117</v>
      </c>
      <c r="N346" t="s">
        <v>936</v>
      </c>
      <c r="O346" t="s">
        <v>82</v>
      </c>
      <c r="P346" t="str">
        <f>"4170041991                    "</f>
        <v xml:space="preserve">4170041991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64.12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6</v>
      </c>
      <c r="BJ346">
        <v>3.9</v>
      </c>
      <c r="BK346">
        <v>6</v>
      </c>
      <c r="BL346">
        <v>209.84</v>
      </c>
      <c r="BM346">
        <v>31.48</v>
      </c>
      <c r="BN346">
        <v>241.32</v>
      </c>
      <c r="BO346">
        <v>241.32</v>
      </c>
      <c r="BQ346" t="s">
        <v>937</v>
      </c>
      <c r="BR346" t="s">
        <v>84</v>
      </c>
      <c r="BS346" s="3">
        <v>45812</v>
      </c>
      <c r="BT346" s="4">
        <v>0.44236111111111109</v>
      </c>
      <c r="BU346" t="s">
        <v>938</v>
      </c>
      <c r="BV346" t="s">
        <v>86</v>
      </c>
      <c r="BY346">
        <v>19360</v>
      </c>
      <c r="BZ346" t="s">
        <v>87</v>
      </c>
      <c r="CA346" t="s">
        <v>939</v>
      </c>
      <c r="CC346" t="s">
        <v>117</v>
      </c>
      <c r="CD346">
        <v>3201</v>
      </c>
      <c r="CE346" t="s">
        <v>166</v>
      </c>
      <c r="CF346" s="3">
        <v>45812</v>
      </c>
      <c r="CI346">
        <v>1</v>
      </c>
      <c r="CJ346">
        <v>1</v>
      </c>
      <c r="CK346">
        <v>21</v>
      </c>
      <c r="CL346" t="s">
        <v>90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"080065731951"</f>
        <v>080065731951</v>
      </c>
      <c r="F347" s="3">
        <v>45811</v>
      </c>
      <c r="G347">
        <v>202603</v>
      </c>
      <c r="H347" t="s">
        <v>75</v>
      </c>
      <c r="I347" t="s">
        <v>76</v>
      </c>
      <c r="J347" t="s">
        <v>77</v>
      </c>
      <c r="K347" t="s">
        <v>78</v>
      </c>
      <c r="L347" t="s">
        <v>350</v>
      </c>
      <c r="M347" t="s">
        <v>351</v>
      </c>
      <c r="N347" t="s">
        <v>933</v>
      </c>
      <c r="O347" t="s">
        <v>82</v>
      </c>
      <c r="P347" t="str">
        <f>"4170041943                    "</f>
        <v xml:space="preserve">4170041943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21.38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69.98</v>
      </c>
      <c r="BM347">
        <v>10.5</v>
      </c>
      <c r="BN347">
        <v>80.48</v>
      </c>
      <c r="BO347">
        <v>80.48</v>
      </c>
      <c r="BQ347" t="s">
        <v>934</v>
      </c>
      <c r="BR347" t="s">
        <v>84</v>
      </c>
      <c r="BS347" s="3">
        <v>45812</v>
      </c>
      <c r="BT347" s="4">
        <v>0.3840277777777778</v>
      </c>
      <c r="BU347" t="s">
        <v>935</v>
      </c>
      <c r="BV347" t="s">
        <v>86</v>
      </c>
      <c r="BY347">
        <v>1200</v>
      </c>
      <c r="BZ347" t="s">
        <v>87</v>
      </c>
      <c r="CA347" t="s">
        <v>515</v>
      </c>
      <c r="CC347" t="s">
        <v>351</v>
      </c>
      <c r="CD347">
        <v>157</v>
      </c>
      <c r="CE347" t="s">
        <v>89</v>
      </c>
      <c r="CF347" s="3">
        <v>45812</v>
      </c>
      <c r="CI347">
        <v>1</v>
      </c>
      <c r="CJ347">
        <v>1</v>
      </c>
      <c r="CK347">
        <v>21</v>
      </c>
      <c r="CL347" t="s">
        <v>90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"080065731978"</f>
        <v>080065731978</v>
      </c>
      <c r="F348" s="3">
        <v>45811</v>
      </c>
      <c r="G348">
        <v>202603</v>
      </c>
      <c r="H348" t="s">
        <v>75</v>
      </c>
      <c r="I348" t="s">
        <v>76</v>
      </c>
      <c r="J348" t="s">
        <v>77</v>
      </c>
      <c r="K348" t="s">
        <v>78</v>
      </c>
      <c r="L348" t="s">
        <v>106</v>
      </c>
      <c r="M348" t="s">
        <v>107</v>
      </c>
      <c r="N348" t="s">
        <v>744</v>
      </c>
      <c r="O348" t="s">
        <v>82</v>
      </c>
      <c r="P348" t="str">
        <f>"4170042045                    "</f>
        <v xml:space="preserve">4170042045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21.38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0.2</v>
      </c>
      <c r="BK348">
        <v>1</v>
      </c>
      <c r="BL348">
        <v>69.98</v>
      </c>
      <c r="BM348">
        <v>10.5</v>
      </c>
      <c r="BN348">
        <v>80.48</v>
      </c>
      <c r="BO348">
        <v>80.48</v>
      </c>
      <c r="BQ348" t="s">
        <v>745</v>
      </c>
      <c r="BR348" t="s">
        <v>84</v>
      </c>
      <c r="BS348" s="3">
        <v>45812</v>
      </c>
      <c r="BT348" s="4">
        <v>0.38680555555555557</v>
      </c>
      <c r="BU348" t="s">
        <v>746</v>
      </c>
      <c r="BV348" t="s">
        <v>86</v>
      </c>
      <c r="BY348">
        <v>1200</v>
      </c>
      <c r="BZ348" t="s">
        <v>87</v>
      </c>
      <c r="CA348" t="s">
        <v>747</v>
      </c>
      <c r="CC348" t="s">
        <v>107</v>
      </c>
      <c r="CD348">
        <v>117</v>
      </c>
      <c r="CE348" t="s">
        <v>89</v>
      </c>
      <c r="CF348" s="3">
        <v>45812</v>
      </c>
      <c r="CI348">
        <v>1</v>
      </c>
      <c r="CJ348">
        <v>1</v>
      </c>
      <c r="CK348">
        <v>21</v>
      </c>
      <c r="CL348" t="s">
        <v>90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"080065731994"</f>
        <v>080065731994</v>
      </c>
      <c r="F349" s="3">
        <v>45811</v>
      </c>
      <c r="G349">
        <v>202603</v>
      </c>
      <c r="H349" t="s">
        <v>75</v>
      </c>
      <c r="I349" t="s">
        <v>76</v>
      </c>
      <c r="J349" t="s">
        <v>77</v>
      </c>
      <c r="K349" t="s">
        <v>78</v>
      </c>
      <c r="L349" t="s">
        <v>100</v>
      </c>
      <c r="M349" t="s">
        <v>101</v>
      </c>
      <c r="N349" t="s">
        <v>123</v>
      </c>
      <c r="O349" t="s">
        <v>82</v>
      </c>
      <c r="P349" t="str">
        <f>"4170041930                    "</f>
        <v xml:space="preserve">4170041930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21.38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</v>
      </c>
      <c r="BJ349">
        <v>1.1000000000000001</v>
      </c>
      <c r="BK349">
        <v>1.5</v>
      </c>
      <c r="BL349">
        <v>69.98</v>
      </c>
      <c r="BM349">
        <v>10.5</v>
      </c>
      <c r="BN349">
        <v>80.48</v>
      </c>
      <c r="BO349">
        <v>80.48</v>
      </c>
      <c r="BQ349" t="s">
        <v>124</v>
      </c>
      <c r="BR349" t="s">
        <v>84</v>
      </c>
      <c r="BS349" s="3">
        <v>45812</v>
      </c>
      <c r="BT349" s="4">
        <v>0.38680555555555557</v>
      </c>
      <c r="BU349" t="s">
        <v>688</v>
      </c>
      <c r="BV349" t="s">
        <v>86</v>
      </c>
      <c r="BY349">
        <v>5320</v>
      </c>
      <c r="BZ349" t="s">
        <v>87</v>
      </c>
      <c r="CA349" t="s">
        <v>235</v>
      </c>
      <c r="CC349" t="s">
        <v>101</v>
      </c>
      <c r="CD349">
        <v>6001</v>
      </c>
      <c r="CE349" t="s">
        <v>180</v>
      </c>
      <c r="CF349" s="3">
        <v>45812</v>
      </c>
      <c r="CI349">
        <v>1</v>
      </c>
      <c r="CJ349">
        <v>1</v>
      </c>
      <c r="CK349">
        <v>21</v>
      </c>
      <c r="CL349" t="s">
        <v>90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"080065732009"</f>
        <v>080065732009</v>
      </c>
      <c r="F350" s="3">
        <v>45811</v>
      </c>
      <c r="G350">
        <v>202603</v>
      </c>
      <c r="H350" t="s">
        <v>75</v>
      </c>
      <c r="I350" t="s">
        <v>76</v>
      </c>
      <c r="J350" t="s">
        <v>77</v>
      </c>
      <c r="K350" t="s">
        <v>78</v>
      </c>
      <c r="L350" t="s">
        <v>284</v>
      </c>
      <c r="M350" t="s">
        <v>285</v>
      </c>
      <c r="N350" t="s">
        <v>908</v>
      </c>
      <c r="O350" t="s">
        <v>82</v>
      </c>
      <c r="P350" t="str">
        <f>"4170041953                    "</f>
        <v xml:space="preserve">4170041953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16.7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0.2</v>
      </c>
      <c r="BK350">
        <v>1</v>
      </c>
      <c r="BL350">
        <v>54.66</v>
      </c>
      <c r="BM350">
        <v>8.1999999999999993</v>
      </c>
      <c r="BN350">
        <v>62.86</v>
      </c>
      <c r="BO350">
        <v>62.86</v>
      </c>
      <c r="BQ350" t="s">
        <v>909</v>
      </c>
      <c r="BR350" t="s">
        <v>84</v>
      </c>
      <c r="BS350" s="3">
        <v>45812</v>
      </c>
      <c r="BT350" s="4">
        <v>0.40972222222222221</v>
      </c>
      <c r="BU350" t="s">
        <v>910</v>
      </c>
      <c r="BV350" t="s">
        <v>86</v>
      </c>
      <c r="BY350">
        <v>1200</v>
      </c>
      <c r="BZ350" t="s">
        <v>87</v>
      </c>
      <c r="CA350" t="s">
        <v>911</v>
      </c>
      <c r="CC350" t="s">
        <v>285</v>
      </c>
      <c r="CD350">
        <v>1559</v>
      </c>
      <c r="CE350" t="s">
        <v>89</v>
      </c>
      <c r="CF350" s="3">
        <v>45812</v>
      </c>
      <c r="CI350">
        <v>1</v>
      </c>
      <c r="CJ350">
        <v>1</v>
      </c>
      <c r="CK350">
        <v>22</v>
      </c>
      <c r="CL350" t="s">
        <v>90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"080065732020"</f>
        <v>080065732020</v>
      </c>
      <c r="F351" s="3">
        <v>45811</v>
      </c>
      <c r="G351">
        <v>202603</v>
      </c>
      <c r="H351" t="s">
        <v>75</v>
      </c>
      <c r="I351" t="s">
        <v>76</v>
      </c>
      <c r="J351" t="s">
        <v>77</v>
      </c>
      <c r="K351" t="s">
        <v>78</v>
      </c>
      <c r="L351" t="s">
        <v>91</v>
      </c>
      <c r="M351" t="s">
        <v>92</v>
      </c>
      <c r="N351" t="s">
        <v>93</v>
      </c>
      <c r="O351" t="s">
        <v>82</v>
      </c>
      <c r="P351" t="str">
        <f>"4170041906                    "</f>
        <v xml:space="preserve">4170041906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21.38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1.9</v>
      </c>
      <c r="BK351">
        <v>2</v>
      </c>
      <c r="BL351">
        <v>69.98</v>
      </c>
      <c r="BM351">
        <v>10.5</v>
      </c>
      <c r="BN351">
        <v>80.48</v>
      </c>
      <c r="BO351">
        <v>80.48</v>
      </c>
      <c r="BQ351" t="s">
        <v>95</v>
      </c>
      <c r="BR351" t="s">
        <v>84</v>
      </c>
      <c r="BS351" s="3">
        <v>45812</v>
      </c>
      <c r="BT351" s="4">
        <v>0.36666666666666664</v>
      </c>
      <c r="BU351" t="s">
        <v>290</v>
      </c>
      <c r="BV351" t="s">
        <v>86</v>
      </c>
      <c r="BY351">
        <v>9576</v>
      </c>
      <c r="BZ351" t="s">
        <v>87</v>
      </c>
      <c r="CA351" t="s">
        <v>291</v>
      </c>
      <c r="CC351" t="s">
        <v>92</v>
      </c>
      <c r="CD351">
        <v>7441</v>
      </c>
      <c r="CE351" t="s">
        <v>99</v>
      </c>
      <c r="CF351" s="3">
        <v>45813</v>
      </c>
      <c r="CI351">
        <v>1</v>
      </c>
      <c r="CJ351">
        <v>1</v>
      </c>
      <c r="CK351">
        <v>21</v>
      </c>
      <c r="CL351" t="s">
        <v>90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"080065732023"</f>
        <v>080065732023</v>
      </c>
      <c r="F352" s="3">
        <v>45811</v>
      </c>
      <c r="G352">
        <v>202603</v>
      </c>
      <c r="H352" t="s">
        <v>75</v>
      </c>
      <c r="I352" t="s">
        <v>76</v>
      </c>
      <c r="J352" t="s">
        <v>77</v>
      </c>
      <c r="K352" t="s">
        <v>78</v>
      </c>
      <c r="L352" t="s">
        <v>106</v>
      </c>
      <c r="M352" t="s">
        <v>107</v>
      </c>
      <c r="N352" t="s">
        <v>940</v>
      </c>
      <c r="O352" t="s">
        <v>82</v>
      </c>
      <c r="P352" t="str">
        <f>"4170042054                    "</f>
        <v xml:space="preserve">4170042054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21.38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69.98</v>
      </c>
      <c r="BM352">
        <v>10.5</v>
      </c>
      <c r="BN352">
        <v>80.48</v>
      </c>
      <c r="BO352">
        <v>80.48</v>
      </c>
      <c r="BQ352" t="s">
        <v>941</v>
      </c>
      <c r="BR352" t="s">
        <v>84</v>
      </c>
      <c r="BS352" s="3">
        <v>45812</v>
      </c>
      <c r="BT352" s="4">
        <v>0.3888888888888889</v>
      </c>
      <c r="BU352" t="s">
        <v>403</v>
      </c>
      <c r="BV352" t="s">
        <v>86</v>
      </c>
      <c r="BY352">
        <v>1200</v>
      </c>
      <c r="BZ352" t="s">
        <v>87</v>
      </c>
      <c r="CA352" t="s">
        <v>404</v>
      </c>
      <c r="CC352" t="s">
        <v>107</v>
      </c>
      <c r="CD352">
        <v>2</v>
      </c>
      <c r="CE352" t="s">
        <v>89</v>
      </c>
      <c r="CF352" s="3">
        <v>45812</v>
      </c>
      <c r="CI352">
        <v>1</v>
      </c>
      <c r="CJ352">
        <v>1</v>
      </c>
      <c r="CK352">
        <v>21</v>
      </c>
      <c r="CL352" t="s">
        <v>90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"080065732044"</f>
        <v>080065732044</v>
      </c>
      <c r="F353" s="3">
        <v>45811</v>
      </c>
      <c r="G353">
        <v>202603</v>
      </c>
      <c r="H353" t="s">
        <v>75</v>
      </c>
      <c r="I353" t="s">
        <v>76</v>
      </c>
      <c r="J353" t="s">
        <v>77</v>
      </c>
      <c r="K353" t="s">
        <v>78</v>
      </c>
      <c r="L353" t="s">
        <v>350</v>
      </c>
      <c r="M353" t="s">
        <v>351</v>
      </c>
      <c r="N353" t="s">
        <v>933</v>
      </c>
      <c r="O353" t="s">
        <v>82</v>
      </c>
      <c r="P353" t="str">
        <f>"4170041932                    "</f>
        <v xml:space="preserve">4170041932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21.38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2</v>
      </c>
      <c r="BJ353">
        <v>1.1000000000000001</v>
      </c>
      <c r="BK353">
        <v>2</v>
      </c>
      <c r="BL353">
        <v>69.98</v>
      </c>
      <c r="BM353">
        <v>10.5</v>
      </c>
      <c r="BN353">
        <v>80.48</v>
      </c>
      <c r="BO353">
        <v>80.48</v>
      </c>
      <c r="BQ353" t="s">
        <v>934</v>
      </c>
      <c r="BR353" t="s">
        <v>84</v>
      </c>
      <c r="BS353" s="3">
        <v>45812</v>
      </c>
      <c r="BT353" s="4">
        <v>0.38472222222222224</v>
      </c>
      <c r="BU353" t="s">
        <v>935</v>
      </c>
      <c r="BV353" t="s">
        <v>86</v>
      </c>
      <c r="BY353">
        <v>5320</v>
      </c>
      <c r="BZ353" t="s">
        <v>87</v>
      </c>
      <c r="CA353" t="s">
        <v>515</v>
      </c>
      <c r="CC353" t="s">
        <v>351</v>
      </c>
      <c r="CD353">
        <v>157</v>
      </c>
      <c r="CE353" t="s">
        <v>180</v>
      </c>
      <c r="CF353" s="3">
        <v>45812</v>
      </c>
      <c r="CI353">
        <v>1</v>
      </c>
      <c r="CJ353">
        <v>1</v>
      </c>
      <c r="CK353">
        <v>21</v>
      </c>
      <c r="CL353" t="s">
        <v>90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"080065732047"</f>
        <v>080065732047</v>
      </c>
      <c r="F354" s="3">
        <v>45811</v>
      </c>
      <c r="G354">
        <v>202603</v>
      </c>
      <c r="H354" t="s">
        <v>75</v>
      </c>
      <c r="I354" t="s">
        <v>76</v>
      </c>
      <c r="J354" t="s">
        <v>77</v>
      </c>
      <c r="K354" t="s">
        <v>78</v>
      </c>
      <c r="L354" t="s">
        <v>79</v>
      </c>
      <c r="M354" t="s">
        <v>80</v>
      </c>
      <c r="N354" t="s">
        <v>236</v>
      </c>
      <c r="O354" t="s">
        <v>82</v>
      </c>
      <c r="P354" t="str">
        <f>"4170042007                    "</f>
        <v xml:space="preserve">4170042007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30.07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0.2</v>
      </c>
      <c r="BK354">
        <v>1</v>
      </c>
      <c r="BL354">
        <v>98.42</v>
      </c>
      <c r="BM354">
        <v>14.76</v>
      </c>
      <c r="BN354">
        <v>113.18</v>
      </c>
      <c r="BO354">
        <v>113.18</v>
      </c>
      <c r="BQ354" t="s">
        <v>237</v>
      </c>
      <c r="BR354" t="s">
        <v>84</v>
      </c>
      <c r="BS354" s="3">
        <v>45812</v>
      </c>
      <c r="BT354" s="4">
        <v>0.4513888888888889</v>
      </c>
      <c r="BU354" t="s">
        <v>739</v>
      </c>
      <c r="BV354" t="s">
        <v>86</v>
      </c>
      <c r="BY354">
        <v>1200</v>
      </c>
      <c r="BZ354" t="s">
        <v>87</v>
      </c>
      <c r="CA354" t="s">
        <v>720</v>
      </c>
      <c r="CC354" t="s">
        <v>80</v>
      </c>
      <c r="CD354">
        <v>1754</v>
      </c>
      <c r="CE354" t="s">
        <v>89</v>
      </c>
      <c r="CF354" s="3">
        <v>45813</v>
      </c>
      <c r="CI354">
        <v>1</v>
      </c>
      <c r="CJ354">
        <v>1</v>
      </c>
      <c r="CK354">
        <v>24</v>
      </c>
      <c r="CL354" t="s">
        <v>90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"080065732195"</f>
        <v>080065732195</v>
      </c>
      <c r="F355" s="3">
        <v>45811</v>
      </c>
      <c r="G355">
        <v>202603</v>
      </c>
      <c r="H355" t="s">
        <v>75</v>
      </c>
      <c r="I355" t="s">
        <v>76</v>
      </c>
      <c r="J355" t="s">
        <v>77</v>
      </c>
      <c r="K355" t="s">
        <v>78</v>
      </c>
      <c r="L355" t="s">
        <v>293</v>
      </c>
      <c r="M355" t="s">
        <v>294</v>
      </c>
      <c r="N355" t="s">
        <v>942</v>
      </c>
      <c r="O355" t="s">
        <v>82</v>
      </c>
      <c r="P355" t="str">
        <f>"4170041964                    "</f>
        <v xml:space="preserve">4170041964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41.43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0.2</v>
      </c>
      <c r="BK355">
        <v>1</v>
      </c>
      <c r="BL355">
        <v>135.59</v>
      </c>
      <c r="BM355">
        <v>20.34</v>
      </c>
      <c r="BN355">
        <v>155.93</v>
      </c>
      <c r="BO355">
        <v>155.93</v>
      </c>
      <c r="BQ355" t="s">
        <v>943</v>
      </c>
      <c r="BR355" t="s">
        <v>84</v>
      </c>
      <c r="BS355" s="3">
        <v>45812</v>
      </c>
      <c r="BT355" s="4">
        <v>0.4375</v>
      </c>
      <c r="BU355" t="s">
        <v>944</v>
      </c>
      <c r="BV355" t="s">
        <v>86</v>
      </c>
      <c r="BY355">
        <v>1200</v>
      </c>
      <c r="BZ355" t="s">
        <v>87</v>
      </c>
      <c r="CA355" t="s">
        <v>945</v>
      </c>
      <c r="CC355" t="s">
        <v>294</v>
      </c>
      <c r="CD355">
        <v>1911</v>
      </c>
      <c r="CE355" t="s">
        <v>89</v>
      </c>
      <c r="CF355" s="3">
        <v>45812</v>
      </c>
      <c r="CI355">
        <v>1</v>
      </c>
      <c r="CJ355">
        <v>1</v>
      </c>
      <c r="CK355">
        <v>23</v>
      </c>
      <c r="CL355" t="s">
        <v>90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"080065732213"</f>
        <v>080065732213</v>
      </c>
      <c r="F356" s="3">
        <v>45811</v>
      </c>
      <c r="G356">
        <v>202603</v>
      </c>
      <c r="H356" t="s">
        <v>75</v>
      </c>
      <c r="I356" t="s">
        <v>76</v>
      </c>
      <c r="J356" t="s">
        <v>77</v>
      </c>
      <c r="K356" t="s">
        <v>78</v>
      </c>
      <c r="L356" t="s">
        <v>91</v>
      </c>
      <c r="M356" t="s">
        <v>92</v>
      </c>
      <c r="N356" t="s">
        <v>763</v>
      </c>
      <c r="O356" t="s">
        <v>82</v>
      </c>
      <c r="P356" t="str">
        <f>"4170042040                    "</f>
        <v xml:space="preserve">4170042040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21.38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</v>
      </c>
      <c r="BJ356">
        <v>0.2</v>
      </c>
      <c r="BK356">
        <v>1</v>
      </c>
      <c r="BL356">
        <v>69.98</v>
      </c>
      <c r="BM356">
        <v>10.5</v>
      </c>
      <c r="BN356">
        <v>80.48</v>
      </c>
      <c r="BO356">
        <v>80.48</v>
      </c>
      <c r="BQ356" t="s">
        <v>764</v>
      </c>
      <c r="BR356" t="s">
        <v>84</v>
      </c>
      <c r="BS356" s="3">
        <v>45812</v>
      </c>
      <c r="BT356" s="4">
        <v>0.62638888888888888</v>
      </c>
      <c r="BU356" t="s">
        <v>765</v>
      </c>
      <c r="BV356" t="s">
        <v>90</v>
      </c>
      <c r="BW356" t="s">
        <v>144</v>
      </c>
      <c r="BX356" t="s">
        <v>766</v>
      </c>
      <c r="BY356">
        <v>1200</v>
      </c>
      <c r="BZ356" t="s">
        <v>87</v>
      </c>
      <c r="CA356" t="s">
        <v>767</v>
      </c>
      <c r="CC356" t="s">
        <v>92</v>
      </c>
      <c r="CD356">
        <v>7550</v>
      </c>
      <c r="CE356" t="s">
        <v>89</v>
      </c>
      <c r="CF356" s="3">
        <v>45813</v>
      </c>
      <c r="CI356">
        <v>1</v>
      </c>
      <c r="CJ356">
        <v>1</v>
      </c>
      <c r="CK356">
        <v>21</v>
      </c>
      <c r="CL356" t="s">
        <v>90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"080065732234"</f>
        <v>080065732234</v>
      </c>
      <c r="F357" s="3">
        <v>45811</v>
      </c>
      <c r="G357">
        <v>202603</v>
      </c>
      <c r="H357" t="s">
        <v>75</v>
      </c>
      <c r="I357" t="s">
        <v>76</v>
      </c>
      <c r="J357" t="s">
        <v>77</v>
      </c>
      <c r="K357" t="s">
        <v>78</v>
      </c>
      <c r="L357" t="s">
        <v>266</v>
      </c>
      <c r="M357" t="s">
        <v>267</v>
      </c>
      <c r="N357" t="s">
        <v>946</v>
      </c>
      <c r="O357" t="s">
        <v>82</v>
      </c>
      <c r="P357" t="str">
        <f>"4170042044                    "</f>
        <v xml:space="preserve">4170042044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21.38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</v>
      </c>
      <c r="BJ357">
        <v>0.2</v>
      </c>
      <c r="BK357">
        <v>1</v>
      </c>
      <c r="BL357">
        <v>69.98</v>
      </c>
      <c r="BM357">
        <v>10.5</v>
      </c>
      <c r="BN357">
        <v>80.48</v>
      </c>
      <c r="BO357">
        <v>80.48</v>
      </c>
      <c r="BQ357" t="s">
        <v>947</v>
      </c>
      <c r="BR357" t="s">
        <v>84</v>
      </c>
      <c r="BS357" s="3">
        <v>45812</v>
      </c>
      <c r="BT357" s="4">
        <v>0.3888888888888889</v>
      </c>
      <c r="BU357" t="s">
        <v>790</v>
      </c>
      <c r="BV357" t="s">
        <v>86</v>
      </c>
      <c r="BY357">
        <v>1200</v>
      </c>
      <c r="BZ357" t="s">
        <v>87</v>
      </c>
      <c r="CA357" t="s">
        <v>271</v>
      </c>
      <c r="CC357" t="s">
        <v>267</v>
      </c>
      <c r="CD357">
        <v>6229</v>
      </c>
      <c r="CE357" t="s">
        <v>89</v>
      </c>
      <c r="CF357" s="3">
        <v>45812</v>
      </c>
      <c r="CI357">
        <v>1</v>
      </c>
      <c r="CJ357">
        <v>1</v>
      </c>
      <c r="CK357">
        <v>21</v>
      </c>
      <c r="CL357" t="s">
        <v>90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"080065732254"</f>
        <v>080065732254</v>
      </c>
      <c r="F358" s="3">
        <v>45811</v>
      </c>
      <c r="G358">
        <v>202603</v>
      </c>
      <c r="H358" t="s">
        <v>75</v>
      </c>
      <c r="I358" t="s">
        <v>76</v>
      </c>
      <c r="J358" t="s">
        <v>77</v>
      </c>
      <c r="K358" t="s">
        <v>78</v>
      </c>
      <c r="L358" t="s">
        <v>79</v>
      </c>
      <c r="M358" t="s">
        <v>80</v>
      </c>
      <c r="N358" t="s">
        <v>236</v>
      </c>
      <c r="O358" t="s">
        <v>82</v>
      </c>
      <c r="P358" t="str">
        <f>"4170042031                    "</f>
        <v xml:space="preserve">4170042031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30.07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2</v>
      </c>
      <c r="BJ358">
        <v>1.4</v>
      </c>
      <c r="BK358">
        <v>2</v>
      </c>
      <c r="BL358">
        <v>98.42</v>
      </c>
      <c r="BM358">
        <v>14.76</v>
      </c>
      <c r="BN358">
        <v>113.18</v>
      </c>
      <c r="BO358">
        <v>113.18</v>
      </c>
      <c r="BQ358" t="s">
        <v>237</v>
      </c>
      <c r="BR358" t="s">
        <v>84</v>
      </c>
      <c r="BS358" s="3">
        <v>45812</v>
      </c>
      <c r="BT358" s="4">
        <v>0.45208333333333334</v>
      </c>
      <c r="BU358" t="s">
        <v>739</v>
      </c>
      <c r="BV358" t="s">
        <v>86</v>
      </c>
      <c r="BY358">
        <v>7000</v>
      </c>
      <c r="BZ358" t="s">
        <v>87</v>
      </c>
      <c r="CA358" t="s">
        <v>720</v>
      </c>
      <c r="CC358" t="s">
        <v>80</v>
      </c>
      <c r="CD358">
        <v>1754</v>
      </c>
      <c r="CE358" t="s">
        <v>180</v>
      </c>
      <c r="CF358" s="3">
        <v>45813</v>
      </c>
      <c r="CI358">
        <v>1</v>
      </c>
      <c r="CJ358">
        <v>1</v>
      </c>
      <c r="CK358">
        <v>24</v>
      </c>
      <c r="CL358" t="s">
        <v>90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"080065732278"</f>
        <v>080065732278</v>
      </c>
      <c r="F359" s="3">
        <v>45811</v>
      </c>
      <c r="G359">
        <v>202603</v>
      </c>
      <c r="H359" t="s">
        <v>75</v>
      </c>
      <c r="I359" t="s">
        <v>76</v>
      </c>
      <c r="J359" t="s">
        <v>77</v>
      </c>
      <c r="K359" t="s">
        <v>78</v>
      </c>
      <c r="L359" t="s">
        <v>100</v>
      </c>
      <c r="M359" t="s">
        <v>101</v>
      </c>
      <c r="N359" t="s">
        <v>585</v>
      </c>
      <c r="O359" t="s">
        <v>82</v>
      </c>
      <c r="P359" t="str">
        <f>"4170041978                    "</f>
        <v xml:space="preserve">4170041978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32.07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3</v>
      </c>
      <c r="BJ359">
        <v>1.9</v>
      </c>
      <c r="BK359">
        <v>3</v>
      </c>
      <c r="BL359">
        <v>104.95</v>
      </c>
      <c r="BM359">
        <v>15.74</v>
      </c>
      <c r="BN359">
        <v>120.69</v>
      </c>
      <c r="BO359">
        <v>120.69</v>
      </c>
      <c r="BQ359" t="s">
        <v>586</v>
      </c>
      <c r="BR359" t="s">
        <v>84</v>
      </c>
      <c r="BS359" s="3">
        <v>45813</v>
      </c>
      <c r="BT359" s="4">
        <v>0.40972222222222221</v>
      </c>
      <c r="BU359" t="s">
        <v>879</v>
      </c>
      <c r="BV359" t="s">
        <v>90</v>
      </c>
      <c r="BW359" t="s">
        <v>416</v>
      </c>
      <c r="BX359" t="s">
        <v>614</v>
      </c>
      <c r="BY359">
        <v>9600</v>
      </c>
      <c r="BZ359" t="s">
        <v>87</v>
      </c>
      <c r="CA359" t="s">
        <v>589</v>
      </c>
      <c r="CC359" t="s">
        <v>101</v>
      </c>
      <c r="CD359">
        <v>6001</v>
      </c>
      <c r="CE359" t="s">
        <v>687</v>
      </c>
      <c r="CF359" s="3">
        <v>45813</v>
      </c>
      <c r="CI359">
        <v>1</v>
      </c>
      <c r="CJ359">
        <v>2</v>
      </c>
      <c r="CK359">
        <v>21</v>
      </c>
      <c r="CL359" t="s">
        <v>90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"080065732295"</f>
        <v>080065732295</v>
      </c>
      <c r="F360" s="3">
        <v>45811</v>
      </c>
      <c r="G360">
        <v>202603</v>
      </c>
      <c r="H360" t="s">
        <v>75</v>
      </c>
      <c r="I360" t="s">
        <v>76</v>
      </c>
      <c r="J360" t="s">
        <v>77</v>
      </c>
      <c r="K360" t="s">
        <v>78</v>
      </c>
      <c r="L360" t="s">
        <v>331</v>
      </c>
      <c r="M360" t="s">
        <v>332</v>
      </c>
      <c r="N360" t="s">
        <v>484</v>
      </c>
      <c r="O360" t="s">
        <v>82</v>
      </c>
      <c r="P360" t="str">
        <f>"4170042030                    "</f>
        <v xml:space="preserve">4170042030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32.07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3</v>
      </c>
      <c r="BJ360">
        <v>1.9</v>
      </c>
      <c r="BK360">
        <v>3</v>
      </c>
      <c r="BL360">
        <v>104.95</v>
      </c>
      <c r="BM360">
        <v>15.74</v>
      </c>
      <c r="BN360">
        <v>120.69</v>
      </c>
      <c r="BO360">
        <v>120.69</v>
      </c>
      <c r="BQ360" t="s">
        <v>485</v>
      </c>
      <c r="BR360" t="s">
        <v>84</v>
      </c>
      <c r="BS360" s="3">
        <v>45812</v>
      </c>
      <c r="BT360" s="4">
        <v>0.39652777777777776</v>
      </c>
      <c r="BU360" t="s">
        <v>948</v>
      </c>
      <c r="BV360" t="s">
        <v>86</v>
      </c>
      <c r="BY360">
        <v>9600</v>
      </c>
      <c r="BZ360" t="s">
        <v>87</v>
      </c>
      <c r="CA360" t="s">
        <v>418</v>
      </c>
      <c r="CC360" t="s">
        <v>332</v>
      </c>
      <c r="CD360">
        <v>4052</v>
      </c>
      <c r="CE360" t="s">
        <v>687</v>
      </c>
      <c r="CF360" s="3">
        <v>45812</v>
      </c>
      <c r="CI360">
        <v>1</v>
      </c>
      <c r="CJ360">
        <v>1</v>
      </c>
      <c r="CK360">
        <v>21</v>
      </c>
      <c r="CL360" t="s">
        <v>90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"080065733121"</f>
        <v>080065733121</v>
      </c>
      <c r="F361" s="3">
        <v>45811</v>
      </c>
      <c r="G361">
        <v>202603</v>
      </c>
      <c r="H361" t="s">
        <v>75</v>
      </c>
      <c r="I361" t="s">
        <v>76</v>
      </c>
      <c r="J361" t="s">
        <v>77</v>
      </c>
      <c r="K361" t="s">
        <v>78</v>
      </c>
      <c r="L361" t="s">
        <v>154</v>
      </c>
      <c r="M361" t="s">
        <v>154</v>
      </c>
      <c r="N361" t="s">
        <v>949</v>
      </c>
      <c r="O361" t="s">
        <v>82</v>
      </c>
      <c r="P361" t="str">
        <f>"4170042019                    "</f>
        <v xml:space="preserve">4170042019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41.43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0.2</v>
      </c>
      <c r="BK361">
        <v>1</v>
      </c>
      <c r="BL361">
        <v>135.59</v>
      </c>
      <c r="BM361">
        <v>20.34</v>
      </c>
      <c r="BN361">
        <v>155.93</v>
      </c>
      <c r="BO361">
        <v>155.93</v>
      </c>
      <c r="BQ361" t="s">
        <v>950</v>
      </c>
      <c r="BR361" t="s">
        <v>84</v>
      </c>
      <c r="BS361" s="3">
        <v>45812</v>
      </c>
      <c r="BT361" s="4">
        <v>0.51527777777777772</v>
      </c>
      <c r="BU361" t="s">
        <v>951</v>
      </c>
      <c r="BV361" t="s">
        <v>86</v>
      </c>
      <c r="BY361">
        <v>1200</v>
      </c>
      <c r="BZ361" t="s">
        <v>87</v>
      </c>
      <c r="CA361" t="s">
        <v>158</v>
      </c>
      <c r="CC361" t="s">
        <v>154</v>
      </c>
      <c r="CD361">
        <v>7646</v>
      </c>
      <c r="CE361" t="s">
        <v>89</v>
      </c>
      <c r="CF361" s="3">
        <v>45813</v>
      </c>
      <c r="CI361">
        <v>1</v>
      </c>
      <c r="CJ361">
        <v>1</v>
      </c>
      <c r="CK361">
        <v>23</v>
      </c>
      <c r="CL361" t="s">
        <v>90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"080065733151"</f>
        <v>080065733151</v>
      </c>
      <c r="F362" s="3">
        <v>45811</v>
      </c>
      <c r="G362">
        <v>202603</v>
      </c>
      <c r="H362" t="s">
        <v>75</v>
      </c>
      <c r="I362" t="s">
        <v>76</v>
      </c>
      <c r="J362" t="s">
        <v>77</v>
      </c>
      <c r="K362" t="s">
        <v>78</v>
      </c>
      <c r="L362" t="s">
        <v>91</v>
      </c>
      <c r="M362" t="s">
        <v>92</v>
      </c>
      <c r="N362" t="s">
        <v>952</v>
      </c>
      <c r="O362" t="s">
        <v>82</v>
      </c>
      <c r="P362" t="str">
        <f>"4170042034                    "</f>
        <v xml:space="preserve">4170042034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21.38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0.2</v>
      </c>
      <c r="BK362">
        <v>1</v>
      </c>
      <c r="BL362">
        <v>69.98</v>
      </c>
      <c r="BM362">
        <v>10.5</v>
      </c>
      <c r="BN362">
        <v>80.48</v>
      </c>
      <c r="BO362">
        <v>80.48</v>
      </c>
      <c r="BQ362" t="s">
        <v>953</v>
      </c>
      <c r="BR362" t="s">
        <v>84</v>
      </c>
      <c r="BS362" s="3">
        <v>45812</v>
      </c>
      <c r="BT362" s="4">
        <v>0.41111111111111109</v>
      </c>
      <c r="BU362" t="s">
        <v>954</v>
      </c>
      <c r="BV362" t="s">
        <v>86</v>
      </c>
      <c r="BY362">
        <v>1200</v>
      </c>
      <c r="BZ362" t="s">
        <v>87</v>
      </c>
      <c r="CA362" t="s">
        <v>955</v>
      </c>
      <c r="CC362" t="s">
        <v>92</v>
      </c>
      <c r="CD362">
        <v>7945</v>
      </c>
      <c r="CE362" t="s">
        <v>89</v>
      </c>
      <c r="CF362" s="3">
        <v>45813</v>
      </c>
      <c r="CI362">
        <v>1</v>
      </c>
      <c r="CJ362">
        <v>1</v>
      </c>
      <c r="CK362">
        <v>21</v>
      </c>
      <c r="CL362" t="s">
        <v>90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"080065733159"</f>
        <v>080065733159</v>
      </c>
      <c r="F363" s="3">
        <v>45811</v>
      </c>
      <c r="G363">
        <v>202603</v>
      </c>
      <c r="H363" t="s">
        <v>75</v>
      </c>
      <c r="I363" t="s">
        <v>76</v>
      </c>
      <c r="J363" t="s">
        <v>77</v>
      </c>
      <c r="K363" t="s">
        <v>78</v>
      </c>
      <c r="L363" t="s">
        <v>375</v>
      </c>
      <c r="M363" t="s">
        <v>376</v>
      </c>
      <c r="N363" t="s">
        <v>498</v>
      </c>
      <c r="O363" t="s">
        <v>82</v>
      </c>
      <c r="P363" t="str">
        <f>"4170042042                    "</f>
        <v xml:space="preserve">4170042042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16.7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0.6</v>
      </c>
      <c r="BK363">
        <v>1</v>
      </c>
      <c r="BL363">
        <v>54.66</v>
      </c>
      <c r="BM363">
        <v>8.1999999999999993</v>
      </c>
      <c r="BN363">
        <v>62.86</v>
      </c>
      <c r="BO363">
        <v>62.86</v>
      </c>
      <c r="BQ363" t="s">
        <v>499</v>
      </c>
      <c r="BR363" t="s">
        <v>84</v>
      </c>
      <c r="BS363" s="3">
        <v>45814</v>
      </c>
      <c r="BT363" s="4">
        <v>0.45694444444444443</v>
      </c>
      <c r="BU363" t="s">
        <v>197</v>
      </c>
      <c r="BV363" t="s">
        <v>90</v>
      </c>
      <c r="BY363">
        <v>3078</v>
      </c>
      <c r="BZ363" t="s">
        <v>87</v>
      </c>
      <c r="CA363" t="s">
        <v>200</v>
      </c>
      <c r="CC363" t="s">
        <v>376</v>
      </c>
      <c r="CD363">
        <v>1428</v>
      </c>
      <c r="CE363" t="s">
        <v>166</v>
      </c>
      <c r="CF363" s="3">
        <v>45818</v>
      </c>
      <c r="CI363">
        <v>1</v>
      </c>
      <c r="CJ363">
        <v>3</v>
      </c>
      <c r="CK363">
        <v>22</v>
      </c>
      <c r="CL363" t="s">
        <v>90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"080065733202"</f>
        <v>080065733202</v>
      </c>
      <c r="F364" s="3">
        <v>45811</v>
      </c>
      <c r="G364">
        <v>202603</v>
      </c>
      <c r="H364" t="s">
        <v>75</v>
      </c>
      <c r="I364" t="s">
        <v>76</v>
      </c>
      <c r="J364" t="s">
        <v>77</v>
      </c>
      <c r="K364" t="s">
        <v>78</v>
      </c>
      <c r="L364" t="s">
        <v>136</v>
      </c>
      <c r="M364" t="s">
        <v>137</v>
      </c>
      <c r="N364" t="s">
        <v>317</v>
      </c>
      <c r="O364" t="s">
        <v>82</v>
      </c>
      <c r="P364" t="str">
        <f>"4170042052                    "</f>
        <v xml:space="preserve">4170042052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21.38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0.2</v>
      </c>
      <c r="BK364">
        <v>1</v>
      </c>
      <c r="BL364">
        <v>69.98</v>
      </c>
      <c r="BM364">
        <v>10.5</v>
      </c>
      <c r="BN364">
        <v>80.48</v>
      </c>
      <c r="BO364">
        <v>80.48</v>
      </c>
      <c r="BQ364" t="s">
        <v>318</v>
      </c>
      <c r="BR364" t="s">
        <v>84</v>
      </c>
      <c r="BS364" s="3">
        <v>45812</v>
      </c>
      <c r="BT364" s="4">
        <v>0.4375</v>
      </c>
      <c r="BU364" t="s">
        <v>956</v>
      </c>
      <c r="BV364" t="s">
        <v>86</v>
      </c>
      <c r="BY364">
        <v>1200</v>
      </c>
      <c r="BZ364" t="s">
        <v>87</v>
      </c>
      <c r="CA364" t="s">
        <v>320</v>
      </c>
      <c r="CC364" t="s">
        <v>137</v>
      </c>
      <c r="CD364">
        <v>5201</v>
      </c>
      <c r="CE364" t="s">
        <v>89</v>
      </c>
      <c r="CF364" s="3">
        <v>45812</v>
      </c>
      <c r="CI364">
        <v>1</v>
      </c>
      <c r="CJ364">
        <v>1</v>
      </c>
      <c r="CK364">
        <v>21</v>
      </c>
      <c r="CL364" t="s">
        <v>90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"080065733208"</f>
        <v>080065733208</v>
      </c>
      <c r="F365" s="3">
        <v>45811</v>
      </c>
      <c r="G365">
        <v>202603</v>
      </c>
      <c r="H365" t="s">
        <v>75</v>
      </c>
      <c r="I365" t="s">
        <v>76</v>
      </c>
      <c r="J365" t="s">
        <v>77</v>
      </c>
      <c r="K365" t="s">
        <v>78</v>
      </c>
      <c r="L365" t="s">
        <v>106</v>
      </c>
      <c r="M365" t="s">
        <v>107</v>
      </c>
      <c r="N365" t="s">
        <v>940</v>
      </c>
      <c r="O365" t="s">
        <v>94</v>
      </c>
      <c r="P365" t="str">
        <f>"4170042051                    "</f>
        <v xml:space="preserve">4170042051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41.35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12</v>
      </c>
      <c r="BJ365">
        <v>8.9</v>
      </c>
      <c r="BK365">
        <v>12</v>
      </c>
      <c r="BL365">
        <v>140.9</v>
      </c>
      <c r="BM365">
        <v>21.14</v>
      </c>
      <c r="BN365">
        <v>162.04</v>
      </c>
      <c r="BO365">
        <v>162.04</v>
      </c>
      <c r="BQ365" t="s">
        <v>941</v>
      </c>
      <c r="BR365" t="s">
        <v>84</v>
      </c>
      <c r="BS365" s="3">
        <v>45812</v>
      </c>
      <c r="BT365" s="4">
        <v>0.38819444444444445</v>
      </c>
      <c r="BU365" t="s">
        <v>403</v>
      </c>
      <c r="BV365" t="s">
        <v>86</v>
      </c>
      <c r="BY365">
        <v>44640</v>
      </c>
      <c r="BZ365" t="s">
        <v>97</v>
      </c>
      <c r="CA365" t="s">
        <v>404</v>
      </c>
      <c r="CC365" t="s">
        <v>107</v>
      </c>
      <c r="CD365">
        <v>2</v>
      </c>
      <c r="CE365" t="s">
        <v>99</v>
      </c>
      <c r="CF365" s="3">
        <v>45812</v>
      </c>
      <c r="CI365">
        <v>1</v>
      </c>
      <c r="CJ365">
        <v>1</v>
      </c>
      <c r="CK365">
        <v>41</v>
      </c>
      <c r="CL365" t="s">
        <v>90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"080065733236"</f>
        <v>080065733236</v>
      </c>
      <c r="F366" s="3">
        <v>45811</v>
      </c>
      <c r="G366">
        <v>202603</v>
      </c>
      <c r="H366" t="s">
        <v>75</v>
      </c>
      <c r="I366" t="s">
        <v>76</v>
      </c>
      <c r="J366" t="s">
        <v>77</v>
      </c>
      <c r="K366" t="s">
        <v>78</v>
      </c>
      <c r="L366" t="s">
        <v>321</v>
      </c>
      <c r="M366" t="s">
        <v>322</v>
      </c>
      <c r="N366" t="s">
        <v>323</v>
      </c>
      <c r="O366" t="s">
        <v>82</v>
      </c>
      <c r="P366" t="str">
        <f>"4170042024                    "</f>
        <v xml:space="preserve">4170042024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30.07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</v>
      </c>
      <c r="BJ366">
        <v>0.2</v>
      </c>
      <c r="BK366">
        <v>1</v>
      </c>
      <c r="BL366">
        <v>98.42</v>
      </c>
      <c r="BM366">
        <v>14.76</v>
      </c>
      <c r="BN366">
        <v>113.18</v>
      </c>
      <c r="BO366">
        <v>113.18</v>
      </c>
      <c r="BQ366" t="s">
        <v>324</v>
      </c>
      <c r="BR366" t="s">
        <v>84</v>
      </c>
      <c r="BS366" s="3">
        <v>45811</v>
      </c>
      <c r="BT366" s="4">
        <v>0.33888888888888891</v>
      </c>
      <c r="BU366" t="s">
        <v>465</v>
      </c>
      <c r="BV366" t="s">
        <v>86</v>
      </c>
      <c r="BY366">
        <v>1200</v>
      </c>
      <c r="BZ366" t="s">
        <v>87</v>
      </c>
      <c r="CC366" t="s">
        <v>322</v>
      </c>
      <c r="CD366">
        <v>1438</v>
      </c>
      <c r="CE366" t="s">
        <v>89</v>
      </c>
      <c r="CF366" s="3">
        <v>45811</v>
      </c>
      <c r="CI366">
        <v>1</v>
      </c>
      <c r="CJ366">
        <v>0</v>
      </c>
      <c r="CK366">
        <v>24</v>
      </c>
      <c r="CL366" t="s">
        <v>90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"080065733266"</f>
        <v>080065733266</v>
      </c>
      <c r="F367" s="3">
        <v>45811</v>
      </c>
      <c r="G367">
        <v>202603</v>
      </c>
      <c r="H367" t="s">
        <v>75</v>
      </c>
      <c r="I367" t="s">
        <v>76</v>
      </c>
      <c r="J367" t="s">
        <v>77</v>
      </c>
      <c r="K367" t="s">
        <v>78</v>
      </c>
      <c r="L367" t="s">
        <v>100</v>
      </c>
      <c r="M367" t="s">
        <v>101</v>
      </c>
      <c r="N367" t="s">
        <v>957</v>
      </c>
      <c r="O367" t="s">
        <v>82</v>
      </c>
      <c r="P367" t="str">
        <f>"4170042046                    "</f>
        <v xml:space="preserve">4170042046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96.17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7</v>
      </c>
      <c r="BJ367">
        <v>8.9</v>
      </c>
      <c r="BK367">
        <v>9</v>
      </c>
      <c r="BL367">
        <v>314.73</v>
      </c>
      <c r="BM367">
        <v>47.21</v>
      </c>
      <c r="BN367">
        <v>361.94</v>
      </c>
      <c r="BO367">
        <v>361.94</v>
      </c>
      <c r="BQ367" t="s">
        <v>958</v>
      </c>
      <c r="BR367" t="s">
        <v>84</v>
      </c>
      <c r="BS367" s="3">
        <v>45812</v>
      </c>
      <c r="BT367" s="4">
        <v>0.39513888888888887</v>
      </c>
      <c r="BU367" t="s">
        <v>959</v>
      </c>
      <c r="BV367" t="s">
        <v>86</v>
      </c>
      <c r="BY367">
        <v>44640</v>
      </c>
      <c r="BZ367" t="s">
        <v>87</v>
      </c>
      <c r="CA367" t="s">
        <v>960</v>
      </c>
      <c r="CC367" t="s">
        <v>101</v>
      </c>
      <c r="CD367">
        <v>6001</v>
      </c>
      <c r="CE367" t="s">
        <v>99</v>
      </c>
      <c r="CF367" s="3">
        <v>45812</v>
      </c>
      <c r="CI367">
        <v>1</v>
      </c>
      <c r="CJ367">
        <v>1</v>
      </c>
      <c r="CK367">
        <v>21</v>
      </c>
      <c r="CL367" t="s">
        <v>90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"080065733279"</f>
        <v>080065733279</v>
      </c>
      <c r="F368" s="3">
        <v>45811</v>
      </c>
      <c r="G368">
        <v>202603</v>
      </c>
      <c r="H368" t="s">
        <v>75</v>
      </c>
      <c r="I368" t="s">
        <v>76</v>
      </c>
      <c r="J368" t="s">
        <v>77</v>
      </c>
      <c r="K368" t="s">
        <v>78</v>
      </c>
      <c r="L368" t="s">
        <v>174</v>
      </c>
      <c r="M368" t="s">
        <v>175</v>
      </c>
      <c r="N368" t="s">
        <v>337</v>
      </c>
      <c r="O368" t="s">
        <v>82</v>
      </c>
      <c r="P368" t="str">
        <f>"4170042048                    "</f>
        <v xml:space="preserve">4170042048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21.38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0.2</v>
      </c>
      <c r="BK368">
        <v>1</v>
      </c>
      <c r="BL368">
        <v>69.98</v>
      </c>
      <c r="BM368">
        <v>10.5</v>
      </c>
      <c r="BN368">
        <v>80.48</v>
      </c>
      <c r="BO368">
        <v>80.48</v>
      </c>
      <c r="BQ368" t="s">
        <v>338</v>
      </c>
      <c r="BR368" t="s">
        <v>84</v>
      </c>
      <c r="BS368" s="3">
        <v>45812</v>
      </c>
      <c r="BT368" s="4">
        <v>0.49583333333333335</v>
      </c>
      <c r="BU368" t="s">
        <v>961</v>
      </c>
      <c r="BV368" t="s">
        <v>90</v>
      </c>
      <c r="BW368" t="s">
        <v>416</v>
      </c>
      <c r="BX368" t="s">
        <v>595</v>
      </c>
      <c r="BY368">
        <v>1200</v>
      </c>
      <c r="BZ368" t="s">
        <v>87</v>
      </c>
      <c r="CA368" t="s">
        <v>596</v>
      </c>
      <c r="CC368" t="s">
        <v>175</v>
      </c>
      <c r="CD368">
        <v>3608</v>
      </c>
      <c r="CE368" t="s">
        <v>89</v>
      </c>
      <c r="CF368" s="3">
        <v>45813</v>
      </c>
      <c r="CI368">
        <v>1</v>
      </c>
      <c r="CJ368">
        <v>1</v>
      </c>
      <c r="CK368">
        <v>21</v>
      </c>
      <c r="CL368" t="s">
        <v>90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"080065733304"</f>
        <v>080065733304</v>
      </c>
      <c r="F369" s="3">
        <v>45811</v>
      </c>
      <c r="G369">
        <v>202603</v>
      </c>
      <c r="H369" t="s">
        <v>75</v>
      </c>
      <c r="I369" t="s">
        <v>76</v>
      </c>
      <c r="J369" t="s">
        <v>77</v>
      </c>
      <c r="K369" t="s">
        <v>78</v>
      </c>
      <c r="L369" t="s">
        <v>154</v>
      </c>
      <c r="M369" t="s">
        <v>154</v>
      </c>
      <c r="N369" t="s">
        <v>949</v>
      </c>
      <c r="O369" t="s">
        <v>82</v>
      </c>
      <c r="P369" t="str">
        <f>"4170042020                    "</f>
        <v xml:space="preserve">4170042020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41.43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0.2</v>
      </c>
      <c r="BK369">
        <v>1</v>
      </c>
      <c r="BL369">
        <v>135.59</v>
      </c>
      <c r="BM369">
        <v>20.34</v>
      </c>
      <c r="BN369">
        <v>155.93</v>
      </c>
      <c r="BO369">
        <v>155.93</v>
      </c>
      <c r="BQ369" t="s">
        <v>950</v>
      </c>
      <c r="BR369" t="s">
        <v>84</v>
      </c>
      <c r="BS369" s="3">
        <v>45812</v>
      </c>
      <c r="BT369" s="4">
        <v>0.51527777777777772</v>
      </c>
      <c r="BU369" t="s">
        <v>951</v>
      </c>
      <c r="BV369" t="s">
        <v>86</v>
      </c>
      <c r="BY369">
        <v>1200</v>
      </c>
      <c r="BZ369" t="s">
        <v>87</v>
      </c>
      <c r="CA369" t="s">
        <v>158</v>
      </c>
      <c r="CC369" t="s">
        <v>154</v>
      </c>
      <c r="CD369">
        <v>7646</v>
      </c>
      <c r="CE369" t="s">
        <v>89</v>
      </c>
      <c r="CF369" s="3">
        <v>45813</v>
      </c>
      <c r="CI369">
        <v>1</v>
      </c>
      <c r="CJ369">
        <v>1</v>
      </c>
      <c r="CK369">
        <v>23</v>
      </c>
      <c r="CL369" t="s">
        <v>90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"080065733340"</f>
        <v>080065733340</v>
      </c>
      <c r="F370" s="3">
        <v>45811</v>
      </c>
      <c r="G370">
        <v>202603</v>
      </c>
      <c r="H370" t="s">
        <v>75</v>
      </c>
      <c r="I370" t="s">
        <v>76</v>
      </c>
      <c r="J370" t="s">
        <v>77</v>
      </c>
      <c r="K370" t="s">
        <v>78</v>
      </c>
      <c r="L370" t="s">
        <v>174</v>
      </c>
      <c r="M370" t="s">
        <v>175</v>
      </c>
      <c r="N370" t="s">
        <v>784</v>
      </c>
      <c r="O370" t="s">
        <v>82</v>
      </c>
      <c r="P370" t="str">
        <f>"4170042011                    "</f>
        <v xml:space="preserve">4170042011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21.38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69.98</v>
      </c>
      <c r="BM370">
        <v>10.5</v>
      </c>
      <c r="BN370">
        <v>80.48</v>
      </c>
      <c r="BO370">
        <v>80.48</v>
      </c>
      <c r="BQ370" t="s">
        <v>785</v>
      </c>
      <c r="BR370" t="s">
        <v>84</v>
      </c>
      <c r="BS370" s="3">
        <v>45812</v>
      </c>
      <c r="BT370" s="4">
        <v>0.41458333333333336</v>
      </c>
      <c r="BU370" t="s">
        <v>791</v>
      </c>
      <c r="BV370" t="s">
        <v>86</v>
      </c>
      <c r="BY370">
        <v>1200</v>
      </c>
      <c r="BZ370" t="s">
        <v>87</v>
      </c>
      <c r="CA370" t="s">
        <v>596</v>
      </c>
      <c r="CC370" t="s">
        <v>175</v>
      </c>
      <c r="CD370">
        <v>3600</v>
      </c>
      <c r="CE370" t="s">
        <v>89</v>
      </c>
      <c r="CF370" s="3">
        <v>45813</v>
      </c>
      <c r="CI370">
        <v>1</v>
      </c>
      <c r="CJ370">
        <v>1</v>
      </c>
      <c r="CK370">
        <v>21</v>
      </c>
      <c r="CL370" t="s">
        <v>90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"080065733372"</f>
        <v>080065733372</v>
      </c>
      <c r="F371" s="3">
        <v>45811</v>
      </c>
      <c r="G371">
        <v>202603</v>
      </c>
      <c r="H371" t="s">
        <v>75</v>
      </c>
      <c r="I371" t="s">
        <v>76</v>
      </c>
      <c r="J371" t="s">
        <v>77</v>
      </c>
      <c r="K371" t="s">
        <v>78</v>
      </c>
      <c r="L371" t="s">
        <v>266</v>
      </c>
      <c r="M371" t="s">
        <v>267</v>
      </c>
      <c r="N371" t="s">
        <v>561</v>
      </c>
      <c r="O371" t="s">
        <v>82</v>
      </c>
      <c r="P371" t="str">
        <f>"4170042027                    "</f>
        <v xml:space="preserve">4170042027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21.38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</v>
      </c>
      <c r="BJ371">
        <v>0.2</v>
      </c>
      <c r="BK371">
        <v>1</v>
      </c>
      <c r="BL371">
        <v>69.98</v>
      </c>
      <c r="BM371">
        <v>10.5</v>
      </c>
      <c r="BN371">
        <v>80.48</v>
      </c>
      <c r="BO371">
        <v>80.48</v>
      </c>
      <c r="BQ371" t="s">
        <v>562</v>
      </c>
      <c r="BR371" t="s">
        <v>84</v>
      </c>
      <c r="BS371" s="3">
        <v>45812</v>
      </c>
      <c r="BT371" s="4">
        <v>0.38541666666666669</v>
      </c>
      <c r="BU371" t="s">
        <v>962</v>
      </c>
      <c r="BV371" t="s">
        <v>86</v>
      </c>
      <c r="BY371">
        <v>1200</v>
      </c>
      <c r="BZ371" t="s">
        <v>87</v>
      </c>
      <c r="CA371" t="s">
        <v>271</v>
      </c>
      <c r="CC371" t="s">
        <v>267</v>
      </c>
      <c r="CD371">
        <v>6230</v>
      </c>
      <c r="CE371" t="s">
        <v>89</v>
      </c>
      <c r="CF371" s="3">
        <v>45812</v>
      </c>
      <c r="CI371">
        <v>1</v>
      </c>
      <c r="CJ371">
        <v>1</v>
      </c>
      <c r="CK371">
        <v>21</v>
      </c>
      <c r="CL371" t="s">
        <v>90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"080065733382"</f>
        <v>080065733382</v>
      </c>
      <c r="F372" s="3">
        <v>45811</v>
      </c>
      <c r="G372">
        <v>202603</v>
      </c>
      <c r="H372" t="s">
        <v>75</v>
      </c>
      <c r="I372" t="s">
        <v>76</v>
      </c>
      <c r="J372" t="s">
        <v>77</v>
      </c>
      <c r="K372" t="s">
        <v>78</v>
      </c>
      <c r="L372" t="s">
        <v>331</v>
      </c>
      <c r="M372" t="s">
        <v>332</v>
      </c>
      <c r="N372" t="s">
        <v>963</v>
      </c>
      <c r="O372" t="s">
        <v>94</v>
      </c>
      <c r="P372" t="str">
        <f>"4170041908                    "</f>
        <v xml:space="preserve">4170041908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46.47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13</v>
      </c>
      <c r="BJ372">
        <v>17.7</v>
      </c>
      <c r="BK372">
        <v>18</v>
      </c>
      <c r="BL372">
        <v>157.66</v>
      </c>
      <c r="BM372">
        <v>23.65</v>
      </c>
      <c r="BN372">
        <v>181.31</v>
      </c>
      <c r="BO372">
        <v>181.31</v>
      </c>
      <c r="BQ372" t="s">
        <v>964</v>
      </c>
      <c r="BR372" t="s">
        <v>84</v>
      </c>
      <c r="BS372" s="3">
        <v>45812</v>
      </c>
      <c r="BT372" s="4">
        <v>0.625</v>
      </c>
      <c r="BU372" t="s">
        <v>965</v>
      </c>
      <c r="BV372" t="s">
        <v>86</v>
      </c>
      <c r="BY372">
        <v>88320</v>
      </c>
      <c r="BZ372" t="s">
        <v>97</v>
      </c>
      <c r="CA372" t="s">
        <v>966</v>
      </c>
      <c r="CC372" t="s">
        <v>332</v>
      </c>
      <c r="CD372">
        <v>4051</v>
      </c>
      <c r="CE372" t="s">
        <v>99</v>
      </c>
      <c r="CF372" s="3">
        <v>45813</v>
      </c>
      <c r="CI372">
        <v>1</v>
      </c>
      <c r="CJ372">
        <v>1</v>
      </c>
      <c r="CK372">
        <v>41</v>
      </c>
      <c r="CL372" t="s">
        <v>90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"080065733400"</f>
        <v>080065733400</v>
      </c>
      <c r="F373" s="3">
        <v>45811</v>
      </c>
      <c r="G373">
        <v>202603</v>
      </c>
      <c r="H373" t="s">
        <v>75</v>
      </c>
      <c r="I373" t="s">
        <v>76</v>
      </c>
      <c r="J373" t="s">
        <v>77</v>
      </c>
      <c r="K373" t="s">
        <v>78</v>
      </c>
      <c r="L373" t="s">
        <v>91</v>
      </c>
      <c r="M373" t="s">
        <v>92</v>
      </c>
      <c r="N373" t="s">
        <v>540</v>
      </c>
      <c r="O373" t="s">
        <v>82</v>
      </c>
      <c r="P373" t="str">
        <f>"4170042064                    "</f>
        <v xml:space="preserve">4170042064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21.38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0.2</v>
      </c>
      <c r="BK373">
        <v>1</v>
      </c>
      <c r="BL373">
        <v>69.98</v>
      </c>
      <c r="BM373">
        <v>10.5</v>
      </c>
      <c r="BN373">
        <v>80.48</v>
      </c>
      <c r="BO373">
        <v>80.48</v>
      </c>
      <c r="BQ373" t="s">
        <v>541</v>
      </c>
      <c r="BR373" t="s">
        <v>84</v>
      </c>
      <c r="BS373" s="3">
        <v>45812</v>
      </c>
      <c r="BT373" s="4">
        <v>0.41458333333333336</v>
      </c>
      <c r="BU373" t="s">
        <v>542</v>
      </c>
      <c r="BV373" t="s">
        <v>86</v>
      </c>
      <c r="BY373">
        <v>1200</v>
      </c>
      <c r="BZ373" t="s">
        <v>87</v>
      </c>
      <c r="CA373" t="s">
        <v>543</v>
      </c>
      <c r="CC373" t="s">
        <v>92</v>
      </c>
      <c r="CD373">
        <v>7441</v>
      </c>
      <c r="CE373" t="s">
        <v>89</v>
      </c>
      <c r="CF373" s="3">
        <v>45813</v>
      </c>
      <c r="CI373">
        <v>1</v>
      </c>
      <c r="CJ373">
        <v>1</v>
      </c>
      <c r="CK373">
        <v>21</v>
      </c>
      <c r="CL373" t="s">
        <v>90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"080065733427"</f>
        <v>080065733427</v>
      </c>
      <c r="F374" s="3">
        <v>45811</v>
      </c>
      <c r="G374">
        <v>202603</v>
      </c>
      <c r="H374" t="s">
        <v>75</v>
      </c>
      <c r="I374" t="s">
        <v>76</v>
      </c>
      <c r="J374" t="s">
        <v>77</v>
      </c>
      <c r="K374" t="s">
        <v>78</v>
      </c>
      <c r="L374" t="s">
        <v>91</v>
      </c>
      <c r="M374" t="s">
        <v>92</v>
      </c>
      <c r="N374" t="s">
        <v>93</v>
      </c>
      <c r="O374" t="s">
        <v>82</v>
      </c>
      <c r="P374" t="str">
        <f>"4170042025                    "</f>
        <v xml:space="preserve">4170042025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42.75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4</v>
      </c>
      <c r="BJ374">
        <v>1.7</v>
      </c>
      <c r="BK374">
        <v>4</v>
      </c>
      <c r="BL374">
        <v>139.91</v>
      </c>
      <c r="BM374">
        <v>20.99</v>
      </c>
      <c r="BN374">
        <v>160.9</v>
      </c>
      <c r="BO374">
        <v>160.9</v>
      </c>
      <c r="BQ374" t="s">
        <v>95</v>
      </c>
      <c r="BR374" t="s">
        <v>84</v>
      </c>
      <c r="BS374" s="3">
        <v>45812</v>
      </c>
      <c r="BT374" s="4">
        <v>0.36666666666666664</v>
      </c>
      <c r="BU374" t="s">
        <v>290</v>
      </c>
      <c r="BV374" t="s">
        <v>86</v>
      </c>
      <c r="BY374">
        <v>8512</v>
      </c>
      <c r="BZ374" t="s">
        <v>87</v>
      </c>
      <c r="CA374" t="s">
        <v>291</v>
      </c>
      <c r="CC374" t="s">
        <v>92</v>
      </c>
      <c r="CD374">
        <v>7441</v>
      </c>
      <c r="CE374" t="s">
        <v>180</v>
      </c>
      <c r="CF374" s="3">
        <v>45813</v>
      </c>
      <c r="CI374">
        <v>1</v>
      </c>
      <c r="CJ374">
        <v>1</v>
      </c>
      <c r="CK374">
        <v>21</v>
      </c>
      <c r="CL374" t="s">
        <v>90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"080065733429"</f>
        <v>080065733429</v>
      </c>
      <c r="F375" s="3">
        <v>45811</v>
      </c>
      <c r="G375">
        <v>202603</v>
      </c>
      <c r="H375" t="s">
        <v>75</v>
      </c>
      <c r="I375" t="s">
        <v>76</v>
      </c>
      <c r="J375" t="s">
        <v>77</v>
      </c>
      <c r="K375" t="s">
        <v>78</v>
      </c>
      <c r="L375" t="s">
        <v>159</v>
      </c>
      <c r="M375" t="s">
        <v>160</v>
      </c>
      <c r="N375" t="s">
        <v>409</v>
      </c>
      <c r="O375" t="s">
        <v>82</v>
      </c>
      <c r="P375" t="str">
        <f>"4170041983                    "</f>
        <v xml:space="preserve">4170041983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16.7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0.2</v>
      </c>
      <c r="BK375">
        <v>1</v>
      </c>
      <c r="BL375">
        <v>54.66</v>
      </c>
      <c r="BM375">
        <v>8.1999999999999993</v>
      </c>
      <c r="BN375">
        <v>62.86</v>
      </c>
      <c r="BO375">
        <v>62.86</v>
      </c>
      <c r="BQ375" t="s">
        <v>410</v>
      </c>
      <c r="BR375" t="s">
        <v>84</v>
      </c>
      <c r="BS375" s="3">
        <v>45812</v>
      </c>
      <c r="BT375" s="4">
        <v>0.39097222222222222</v>
      </c>
      <c r="BU375" t="s">
        <v>967</v>
      </c>
      <c r="BV375" t="s">
        <v>86</v>
      </c>
      <c r="BY375">
        <v>1200</v>
      </c>
      <c r="BZ375" t="s">
        <v>87</v>
      </c>
      <c r="CA375" t="s">
        <v>444</v>
      </c>
      <c r="CC375" t="s">
        <v>160</v>
      </c>
      <c r="CD375">
        <v>2091</v>
      </c>
      <c r="CE375" t="s">
        <v>89</v>
      </c>
      <c r="CF375" s="3">
        <v>45813</v>
      </c>
      <c r="CI375">
        <v>1</v>
      </c>
      <c r="CJ375">
        <v>1</v>
      </c>
      <c r="CK375">
        <v>22</v>
      </c>
      <c r="CL375" t="s">
        <v>90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"080065733472"</f>
        <v>080065733472</v>
      </c>
      <c r="F376" s="3">
        <v>45811</v>
      </c>
      <c r="G376">
        <v>202603</v>
      </c>
      <c r="H376" t="s">
        <v>75</v>
      </c>
      <c r="I376" t="s">
        <v>76</v>
      </c>
      <c r="J376" t="s">
        <v>77</v>
      </c>
      <c r="K376" t="s">
        <v>78</v>
      </c>
      <c r="L376" t="s">
        <v>284</v>
      </c>
      <c r="M376" t="s">
        <v>285</v>
      </c>
      <c r="N376" t="s">
        <v>968</v>
      </c>
      <c r="O376" t="s">
        <v>82</v>
      </c>
      <c r="P376" t="str">
        <f>"4170042028                    "</f>
        <v xml:space="preserve">4170042028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16.7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</v>
      </c>
      <c r="BJ376">
        <v>3.6</v>
      </c>
      <c r="BK376">
        <v>4</v>
      </c>
      <c r="BL376">
        <v>54.66</v>
      </c>
      <c r="BM376">
        <v>8.1999999999999993</v>
      </c>
      <c r="BN376">
        <v>62.86</v>
      </c>
      <c r="BO376">
        <v>62.86</v>
      </c>
      <c r="BQ376" t="s">
        <v>969</v>
      </c>
      <c r="BR376" t="s">
        <v>84</v>
      </c>
      <c r="BS376" s="3">
        <v>45812</v>
      </c>
      <c r="BT376" s="4">
        <v>0.39583333333333331</v>
      </c>
      <c r="BU376" t="s">
        <v>970</v>
      </c>
      <c r="BV376" t="s">
        <v>86</v>
      </c>
      <c r="BY376">
        <v>18088</v>
      </c>
      <c r="BZ376" t="s">
        <v>87</v>
      </c>
      <c r="CA376" t="s">
        <v>971</v>
      </c>
      <c r="CC376" t="s">
        <v>285</v>
      </c>
      <c r="CD376">
        <v>1559</v>
      </c>
      <c r="CE376" t="s">
        <v>166</v>
      </c>
      <c r="CF376" s="3">
        <v>45812</v>
      </c>
      <c r="CI376">
        <v>1</v>
      </c>
      <c r="CJ376">
        <v>1</v>
      </c>
      <c r="CK376">
        <v>22</v>
      </c>
      <c r="CL376" t="s">
        <v>90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"080065733529"</f>
        <v>080065733529</v>
      </c>
      <c r="F377" s="3">
        <v>45811</v>
      </c>
      <c r="G377">
        <v>202603</v>
      </c>
      <c r="H377" t="s">
        <v>75</v>
      </c>
      <c r="I377" t="s">
        <v>76</v>
      </c>
      <c r="J377" t="s">
        <v>77</v>
      </c>
      <c r="K377" t="s">
        <v>78</v>
      </c>
      <c r="L377" t="s">
        <v>106</v>
      </c>
      <c r="M377" t="s">
        <v>107</v>
      </c>
      <c r="N377" t="s">
        <v>972</v>
      </c>
      <c r="O377" t="s">
        <v>94</v>
      </c>
      <c r="P377" t="str">
        <f>"4170042047                    "</f>
        <v xml:space="preserve">4170042047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41.35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5</v>
      </c>
      <c r="BJ377">
        <v>1.9</v>
      </c>
      <c r="BK377">
        <v>5</v>
      </c>
      <c r="BL377">
        <v>140.9</v>
      </c>
      <c r="BM377">
        <v>21.14</v>
      </c>
      <c r="BN377">
        <v>162.04</v>
      </c>
      <c r="BO377">
        <v>162.04</v>
      </c>
      <c r="BQ377" t="s">
        <v>973</v>
      </c>
      <c r="BR377" t="s">
        <v>84</v>
      </c>
      <c r="BS377" s="3">
        <v>45812</v>
      </c>
      <c r="BT377" s="4">
        <v>0.39652777777777776</v>
      </c>
      <c r="BU377" t="s">
        <v>974</v>
      </c>
      <c r="BV377" t="s">
        <v>86</v>
      </c>
      <c r="BY377">
        <v>9600</v>
      </c>
      <c r="BZ377" t="s">
        <v>97</v>
      </c>
      <c r="CA377" t="s">
        <v>892</v>
      </c>
      <c r="CC377" t="s">
        <v>107</v>
      </c>
      <c r="CD377">
        <v>83</v>
      </c>
      <c r="CE377" t="s">
        <v>99</v>
      </c>
      <c r="CF377" s="3">
        <v>45812</v>
      </c>
      <c r="CI377">
        <v>1</v>
      </c>
      <c r="CJ377">
        <v>1</v>
      </c>
      <c r="CK377">
        <v>41</v>
      </c>
      <c r="CL377" t="s">
        <v>90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"080065733569"</f>
        <v>080065733569</v>
      </c>
      <c r="F378" s="3">
        <v>45811</v>
      </c>
      <c r="G378">
        <v>202603</v>
      </c>
      <c r="H378" t="s">
        <v>75</v>
      </c>
      <c r="I378" t="s">
        <v>76</v>
      </c>
      <c r="J378" t="s">
        <v>77</v>
      </c>
      <c r="K378" t="s">
        <v>78</v>
      </c>
      <c r="L378" t="s">
        <v>116</v>
      </c>
      <c r="M378" t="s">
        <v>117</v>
      </c>
      <c r="N378" t="s">
        <v>183</v>
      </c>
      <c r="O378" t="s">
        <v>82</v>
      </c>
      <c r="P378" t="str">
        <f>"4170042033                    "</f>
        <v xml:space="preserve">4170042033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160.27000000000001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15</v>
      </c>
      <c r="BJ378">
        <v>3.4</v>
      </c>
      <c r="BK378">
        <v>15</v>
      </c>
      <c r="BL378">
        <v>524.51</v>
      </c>
      <c r="BM378">
        <v>78.680000000000007</v>
      </c>
      <c r="BN378">
        <v>603.19000000000005</v>
      </c>
      <c r="BO378">
        <v>603.19000000000005</v>
      </c>
      <c r="BQ378" t="s">
        <v>184</v>
      </c>
      <c r="BR378" t="s">
        <v>84</v>
      </c>
      <c r="BS378" s="3">
        <v>45812</v>
      </c>
      <c r="BT378" s="4">
        <v>0.41666666666666669</v>
      </c>
      <c r="BU378" t="s">
        <v>185</v>
      </c>
      <c r="BV378" t="s">
        <v>86</v>
      </c>
      <c r="BY378">
        <v>16965</v>
      </c>
      <c r="BZ378" t="s">
        <v>87</v>
      </c>
      <c r="CA378" t="s">
        <v>186</v>
      </c>
      <c r="CC378" t="s">
        <v>117</v>
      </c>
      <c r="CD378">
        <v>3212</v>
      </c>
      <c r="CE378" t="s">
        <v>99</v>
      </c>
      <c r="CF378" s="3">
        <v>45813</v>
      </c>
      <c r="CI378">
        <v>2</v>
      </c>
      <c r="CJ378">
        <v>1</v>
      </c>
      <c r="CK378">
        <v>21</v>
      </c>
      <c r="CL378" t="s">
        <v>90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"080065733840"</f>
        <v>080065733840</v>
      </c>
      <c r="F379" s="3">
        <v>45811</v>
      </c>
      <c r="G379">
        <v>202603</v>
      </c>
      <c r="H379" t="s">
        <v>75</v>
      </c>
      <c r="I379" t="s">
        <v>76</v>
      </c>
      <c r="J379" t="s">
        <v>77</v>
      </c>
      <c r="K379" t="s">
        <v>78</v>
      </c>
      <c r="L379" t="s">
        <v>79</v>
      </c>
      <c r="M379" t="s">
        <v>80</v>
      </c>
      <c r="N379" t="s">
        <v>893</v>
      </c>
      <c r="O379" t="s">
        <v>82</v>
      </c>
      <c r="P379" t="str">
        <f>"4170041993                    "</f>
        <v xml:space="preserve">4170041993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30.07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1.1000000000000001</v>
      </c>
      <c r="BK379">
        <v>1.5</v>
      </c>
      <c r="BL379">
        <v>98.42</v>
      </c>
      <c r="BM379">
        <v>14.76</v>
      </c>
      <c r="BN379">
        <v>113.18</v>
      </c>
      <c r="BO379">
        <v>113.18</v>
      </c>
      <c r="BQ379" t="s">
        <v>894</v>
      </c>
      <c r="BR379" t="s">
        <v>84</v>
      </c>
      <c r="BS379" s="3">
        <v>45812</v>
      </c>
      <c r="BT379" s="4">
        <v>0.4375</v>
      </c>
      <c r="BU379" t="s">
        <v>895</v>
      </c>
      <c r="BV379" t="s">
        <v>86</v>
      </c>
      <c r="BY379">
        <v>5320</v>
      </c>
      <c r="BZ379" t="s">
        <v>87</v>
      </c>
      <c r="CA379" t="s">
        <v>896</v>
      </c>
      <c r="CC379" t="s">
        <v>80</v>
      </c>
      <c r="CD379">
        <v>1748</v>
      </c>
      <c r="CE379" t="s">
        <v>180</v>
      </c>
      <c r="CF379" s="3">
        <v>45813</v>
      </c>
      <c r="CI379">
        <v>1</v>
      </c>
      <c r="CJ379">
        <v>1</v>
      </c>
      <c r="CK379">
        <v>24</v>
      </c>
      <c r="CL379" t="s">
        <v>90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"080065733874"</f>
        <v>080065733874</v>
      </c>
      <c r="F380" s="3">
        <v>45811</v>
      </c>
      <c r="G380">
        <v>202603</v>
      </c>
      <c r="H380" t="s">
        <v>75</v>
      </c>
      <c r="I380" t="s">
        <v>76</v>
      </c>
      <c r="J380" t="s">
        <v>77</v>
      </c>
      <c r="K380" t="s">
        <v>78</v>
      </c>
      <c r="L380" t="s">
        <v>975</v>
      </c>
      <c r="M380" t="s">
        <v>976</v>
      </c>
      <c r="N380" t="s">
        <v>977</v>
      </c>
      <c r="O380" t="s">
        <v>82</v>
      </c>
      <c r="P380" t="str">
        <f>"4170042035                    "</f>
        <v xml:space="preserve">4170042035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97.56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5</v>
      </c>
      <c r="BJ380">
        <v>3.2</v>
      </c>
      <c r="BK380">
        <v>5</v>
      </c>
      <c r="BL380">
        <v>319.27999999999997</v>
      </c>
      <c r="BM380">
        <v>47.89</v>
      </c>
      <c r="BN380">
        <v>367.17</v>
      </c>
      <c r="BO380">
        <v>367.17</v>
      </c>
      <c r="BQ380" t="s">
        <v>978</v>
      </c>
      <c r="BR380" t="s">
        <v>84</v>
      </c>
      <c r="BS380" s="3">
        <v>45812</v>
      </c>
      <c r="BT380" s="4">
        <v>0.63611111111111107</v>
      </c>
      <c r="BU380" t="s">
        <v>979</v>
      </c>
      <c r="BV380" t="s">
        <v>86</v>
      </c>
      <c r="BY380">
        <v>16200</v>
      </c>
      <c r="BZ380" t="s">
        <v>87</v>
      </c>
      <c r="CA380" t="s">
        <v>980</v>
      </c>
      <c r="CC380" t="s">
        <v>976</v>
      </c>
      <c r="CD380">
        <v>6500</v>
      </c>
      <c r="CE380" t="s">
        <v>166</v>
      </c>
      <c r="CF380" s="3">
        <v>45813</v>
      </c>
      <c r="CI380">
        <v>1</v>
      </c>
      <c r="CJ380">
        <v>1</v>
      </c>
      <c r="CK380">
        <v>23</v>
      </c>
      <c r="CL380" t="s">
        <v>90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"080065733921"</f>
        <v>080065733921</v>
      </c>
      <c r="F381" s="3">
        <v>45811</v>
      </c>
      <c r="G381">
        <v>202603</v>
      </c>
      <c r="H381" t="s">
        <v>75</v>
      </c>
      <c r="I381" t="s">
        <v>76</v>
      </c>
      <c r="J381" t="s">
        <v>77</v>
      </c>
      <c r="K381" t="s">
        <v>78</v>
      </c>
      <c r="L381" t="s">
        <v>106</v>
      </c>
      <c r="M381" t="s">
        <v>107</v>
      </c>
      <c r="N381" t="s">
        <v>940</v>
      </c>
      <c r="O381" t="s">
        <v>94</v>
      </c>
      <c r="P381" t="str">
        <f>"4170042060                    "</f>
        <v xml:space="preserve">4170042060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41.35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6</v>
      </c>
      <c r="BJ381">
        <v>2</v>
      </c>
      <c r="BK381">
        <v>6</v>
      </c>
      <c r="BL381">
        <v>140.9</v>
      </c>
      <c r="BM381">
        <v>21.14</v>
      </c>
      <c r="BN381">
        <v>162.04</v>
      </c>
      <c r="BO381">
        <v>162.04</v>
      </c>
      <c r="BQ381" t="s">
        <v>941</v>
      </c>
      <c r="BR381" t="s">
        <v>84</v>
      </c>
      <c r="BS381" s="3">
        <v>45812</v>
      </c>
      <c r="BT381" s="4">
        <v>0.3888888888888889</v>
      </c>
      <c r="BU381" t="s">
        <v>403</v>
      </c>
      <c r="BV381" t="s">
        <v>86</v>
      </c>
      <c r="BY381">
        <v>9900</v>
      </c>
      <c r="BZ381" t="s">
        <v>97</v>
      </c>
      <c r="CA381" t="s">
        <v>404</v>
      </c>
      <c r="CC381" t="s">
        <v>107</v>
      </c>
      <c r="CD381">
        <v>2</v>
      </c>
      <c r="CE381" t="s">
        <v>99</v>
      </c>
      <c r="CF381" s="3">
        <v>45812</v>
      </c>
      <c r="CI381">
        <v>1</v>
      </c>
      <c r="CJ381">
        <v>1</v>
      </c>
      <c r="CK381">
        <v>41</v>
      </c>
      <c r="CL381" t="s">
        <v>90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"080065733942"</f>
        <v>080065733942</v>
      </c>
      <c r="F382" s="3">
        <v>45811</v>
      </c>
      <c r="G382">
        <v>202603</v>
      </c>
      <c r="H382" t="s">
        <v>75</v>
      </c>
      <c r="I382" t="s">
        <v>76</v>
      </c>
      <c r="J382" t="s">
        <v>77</v>
      </c>
      <c r="K382" t="s">
        <v>78</v>
      </c>
      <c r="L382" t="s">
        <v>100</v>
      </c>
      <c r="M382" t="s">
        <v>101</v>
      </c>
      <c r="N382" t="s">
        <v>492</v>
      </c>
      <c r="O382" t="s">
        <v>82</v>
      </c>
      <c r="P382" t="str">
        <f>"4170042059                    "</f>
        <v xml:space="preserve">4170042059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21.38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2</v>
      </c>
      <c r="BJ382">
        <v>1.4</v>
      </c>
      <c r="BK382">
        <v>2</v>
      </c>
      <c r="BL382">
        <v>69.98</v>
      </c>
      <c r="BM382">
        <v>10.5</v>
      </c>
      <c r="BN382">
        <v>80.48</v>
      </c>
      <c r="BO382">
        <v>80.48</v>
      </c>
      <c r="BQ382" t="s">
        <v>493</v>
      </c>
      <c r="BR382" t="s">
        <v>84</v>
      </c>
      <c r="BS382" s="3">
        <v>45812</v>
      </c>
      <c r="BT382" s="4">
        <v>0.3888888888888889</v>
      </c>
      <c r="BU382" t="s">
        <v>981</v>
      </c>
      <c r="BV382" t="s">
        <v>86</v>
      </c>
      <c r="BY382">
        <v>7000</v>
      </c>
      <c r="BZ382" t="s">
        <v>87</v>
      </c>
      <c r="CA382" t="s">
        <v>394</v>
      </c>
      <c r="CC382" t="s">
        <v>101</v>
      </c>
      <c r="CD382">
        <v>6001</v>
      </c>
      <c r="CE382" t="s">
        <v>180</v>
      </c>
      <c r="CF382" s="3">
        <v>45812</v>
      </c>
      <c r="CI382">
        <v>1</v>
      </c>
      <c r="CJ382">
        <v>1</v>
      </c>
      <c r="CK382">
        <v>21</v>
      </c>
      <c r="CL382" t="s">
        <v>90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"080065733969"</f>
        <v>080065733969</v>
      </c>
      <c r="F383" s="3">
        <v>45811</v>
      </c>
      <c r="G383">
        <v>202603</v>
      </c>
      <c r="H383" t="s">
        <v>75</v>
      </c>
      <c r="I383" t="s">
        <v>76</v>
      </c>
      <c r="J383" t="s">
        <v>77</v>
      </c>
      <c r="K383" t="s">
        <v>78</v>
      </c>
      <c r="L383" t="s">
        <v>174</v>
      </c>
      <c r="M383" t="s">
        <v>175</v>
      </c>
      <c r="N383" t="s">
        <v>982</v>
      </c>
      <c r="O383" t="s">
        <v>82</v>
      </c>
      <c r="P383" t="str">
        <f>"4170042062                    "</f>
        <v xml:space="preserve">4170042062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53.43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5</v>
      </c>
      <c r="BJ383">
        <v>1.5</v>
      </c>
      <c r="BK383">
        <v>5</v>
      </c>
      <c r="BL383">
        <v>174.87</v>
      </c>
      <c r="BM383">
        <v>26.23</v>
      </c>
      <c r="BN383">
        <v>201.1</v>
      </c>
      <c r="BO383">
        <v>201.1</v>
      </c>
      <c r="BQ383" t="s">
        <v>983</v>
      </c>
      <c r="BR383" t="s">
        <v>84</v>
      </c>
      <c r="BS383" s="3">
        <v>45812</v>
      </c>
      <c r="BT383" s="4">
        <v>0.4201388888888889</v>
      </c>
      <c r="BU383" t="s">
        <v>984</v>
      </c>
      <c r="BV383" t="s">
        <v>86</v>
      </c>
      <c r="BY383">
        <v>7540</v>
      </c>
      <c r="BZ383" t="s">
        <v>87</v>
      </c>
      <c r="CA383" t="s">
        <v>722</v>
      </c>
      <c r="CC383" t="s">
        <v>175</v>
      </c>
      <c r="CD383">
        <v>3620</v>
      </c>
      <c r="CE383" t="s">
        <v>99</v>
      </c>
      <c r="CF383" s="3">
        <v>45813</v>
      </c>
      <c r="CI383">
        <v>1</v>
      </c>
      <c r="CJ383">
        <v>1</v>
      </c>
      <c r="CK383">
        <v>21</v>
      </c>
      <c r="CL383" t="s">
        <v>90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"080065733990"</f>
        <v>080065733990</v>
      </c>
      <c r="F384" s="3">
        <v>45811</v>
      </c>
      <c r="G384">
        <v>202603</v>
      </c>
      <c r="H384" t="s">
        <v>75</v>
      </c>
      <c r="I384" t="s">
        <v>76</v>
      </c>
      <c r="J384" t="s">
        <v>77</v>
      </c>
      <c r="K384" t="s">
        <v>78</v>
      </c>
      <c r="L384" t="s">
        <v>91</v>
      </c>
      <c r="M384" t="s">
        <v>92</v>
      </c>
      <c r="N384" t="s">
        <v>985</v>
      </c>
      <c r="O384" t="s">
        <v>94</v>
      </c>
      <c r="P384" t="str">
        <f>"4170042053                    "</f>
        <v xml:space="preserve">4170042053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41.35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6</v>
      </c>
      <c r="BJ384">
        <v>2.4</v>
      </c>
      <c r="BK384">
        <v>6</v>
      </c>
      <c r="BL384">
        <v>140.9</v>
      </c>
      <c r="BM384">
        <v>21.14</v>
      </c>
      <c r="BN384">
        <v>162.04</v>
      </c>
      <c r="BO384">
        <v>162.04</v>
      </c>
      <c r="BQ384" t="s">
        <v>986</v>
      </c>
      <c r="BR384" t="s">
        <v>84</v>
      </c>
      <c r="BS384" s="3">
        <v>45817</v>
      </c>
      <c r="BT384" s="4">
        <v>0.53125</v>
      </c>
      <c r="BU384" t="s">
        <v>987</v>
      </c>
      <c r="BV384" t="s">
        <v>90</v>
      </c>
      <c r="BW384" t="s">
        <v>875</v>
      </c>
      <c r="BX384" t="s">
        <v>344</v>
      </c>
      <c r="BY384">
        <v>12236</v>
      </c>
      <c r="CA384" t="s">
        <v>988</v>
      </c>
      <c r="CC384" t="s">
        <v>92</v>
      </c>
      <c r="CD384">
        <v>7500</v>
      </c>
      <c r="CE384" t="s">
        <v>989</v>
      </c>
      <c r="CF384" s="3">
        <v>45818</v>
      </c>
      <c r="CI384">
        <v>3</v>
      </c>
      <c r="CJ384">
        <v>4</v>
      </c>
      <c r="CK384">
        <v>41</v>
      </c>
      <c r="CL384" t="s">
        <v>90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"080065733994"</f>
        <v>080065733994</v>
      </c>
      <c r="F385" s="3">
        <v>45811</v>
      </c>
      <c r="G385">
        <v>202603</v>
      </c>
      <c r="H385" t="s">
        <v>75</v>
      </c>
      <c r="I385" t="s">
        <v>76</v>
      </c>
      <c r="J385" t="s">
        <v>77</v>
      </c>
      <c r="K385" t="s">
        <v>78</v>
      </c>
      <c r="L385" t="s">
        <v>990</v>
      </c>
      <c r="M385" t="s">
        <v>991</v>
      </c>
      <c r="N385" t="s">
        <v>992</v>
      </c>
      <c r="O385" t="s">
        <v>82</v>
      </c>
      <c r="P385" t="str">
        <f>"4170042070                    "</f>
        <v xml:space="preserve">4170042070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41.43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0.2</v>
      </c>
      <c r="BK385">
        <v>1</v>
      </c>
      <c r="BL385">
        <v>135.59</v>
      </c>
      <c r="BM385">
        <v>20.34</v>
      </c>
      <c r="BN385">
        <v>155.93</v>
      </c>
      <c r="BO385">
        <v>155.93</v>
      </c>
      <c r="BQ385" t="s">
        <v>993</v>
      </c>
      <c r="BR385" t="s">
        <v>84</v>
      </c>
      <c r="BS385" s="3">
        <v>45812</v>
      </c>
      <c r="BT385" s="4">
        <v>0.51597222222222228</v>
      </c>
      <c r="BU385" t="s">
        <v>994</v>
      </c>
      <c r="BV385" t="s">
        <v>86</v>
      </c>
      <c r="BY385">
        <v>1200</v>
      </c>
      <c r="BZ385" t="s">
        <v>87</v>
      </c>
      <c r="CA385" t="s">
        <v>995</v>
      </c>
      <c r="CC385" t="s">
        <v>991</v>
      </c>
      <c r="CD385">
        <v>850</v>
      </c>
      <c r="CE385" t="s">
        <v>89</v>
      </c>
      <c r="CF385" s="3">
        <v>45812</v>
      </c>
      <c r="CI385">
        <v>1</v>
      </c>
      <c r="CJ385">
        <v>1</v>
      </c>
      <c r="CK385">
        <v>23</v>
      </c>
      <c r="CL385" t="s">
        <v>90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"080065734021"</f>
        <v>080065734021</v>
      </c>
      <c r="F386" s="3">
        <v>45811</v>
      </c>
      <c r="G386">
        <v>202603</v>
      </c>
      <c r="H386" t="s">
        <v>75</v>
      </c>
      <c r="I386" t="s">
        <v>76</v>
      </c>
      <c r="J386" t="s">
        <v>77</v>
      </c>
      <c r="K386" t="s">
        <v>78</v>
      </c>
      <c r="L386" t="s">
        <v>663</v>
      </c>
      <c r="M386" t="s">
        <v>664</v>
      </c>
      <c r="N386" t="s">
        <v>723</v>
      </c>
      <c r="O386" t="s">
        <v>82</v>
      </c>
      <c r="P386" t="str">
        <f>"4170042072                    "</f>
        <v xml:space="preserve">4170042072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41.43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</v>
      </c>
      <c r="BJ386">
        <v>0.2</v>
      </c>
      <c r="BK386">
        <v>1</v>
      </c>
      <c r="BL386">
        <v>135.59</v>
      </c>
      <c r="BM386">
        <v>20.34</v>
      </c>
      <c r="BN386">
        <v>155.93</v>
      </c>
      <c r="BO386">
        <v>155.93</v>
      </c>
      <c r="BQ386" t="s">
        <v>724</v>
      </c>
      <c r="BR386" t="s">
        <v>84</v>
      </c>
      <c r="BS386" s="3">
        <v>45812</v>
      </c>
      <c r="BT386" s="4">
        <v>0.33611111111111114</v>
      </c>
      <c r="BU386" t="s">
        <v>725</v>
      </c>
      <c r="BV386" t="s">
        <v>86</v>
      </c>
      <c r="BY386">
        <v>1200</v>
      </c>
      <c r="BZ386" t="s">
        <v>87</v>
      </c>
      <c r="CC386" t="s">
        <v>664</v>
      </c>
      <c r="CD386">
        <v>1947</v>
      </c>
      <c r="CE386" t="s">
        <v>89</v>
      </c>
      <c r="CF386" s="3">
        <v>45813</v>
      </c>
      <c r="CI386">
        <v>1</v>
      </c>
      <c r="CJ386">
        <v>1</v>
      </c>
      <c r="CK386">
        <v>23</v>
      </c>
      <c r="CL386" t="s">
        <v>90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"080065734031"</f>
        <v>080065734031</v>
      </c>
      <c r="F387" s="3">
        <v>45811</v>
      </c>
      <c r="G387">
        <v>202603</v>
      </c>
      <c r="H387" t="s">
        <v>75</v>
      </c>
      <c r="I387" t="s">
        <v>76</v>
      </c>
      <c r="J387" t="s">
        <v>77</v>
      </c>
      <c r="K387" t="s">
        <v>78</v>
      </c>
      <c r="L387" t="s">
        <v>996</v>
      </c>
      <c r="M387" t="s">
        <v>997</v>
      </c>
      <c r="N387" t="s">
        <v>998</v>
      </c>
      <c r="O387" t="s">
        <v>82</v>
      </c>
      <c r="P387" t="str">
        <f>"4170041936                    "</f>
        <v xml:space="preserve">4170041936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41.43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</v>
      </c>
      <c r="BJ387">
        <v>0.2</v>
      </c>
      <c r="BK387">
        <v>1</v>
      </c>
      <c r="BL387">
        <v>135.59</v>
      </c>
      <c r="BM387">
        <v>20.34</v>
      </c>
      <c r="BN387">
        <v>155.93</v>
      </c>
      <c r="BO387">
        <v>155.93</v>
      </c>
      <c r="BQ387" t="s">
        <v>999</v>
      </c>
      <c r="BR387" t="s">
        <v>84</v>
      </c>
      <c r="BS387" s="3">
        <v>45812</v>
      </c>
      <c r="BT387" s="4">
        <v>0.41666666666666669</v>
      </c>
      <c r="BU387" t="s">
        <v>1000</v>
      </c>
      <c r="BV387" t="s">
        <v>86</v>
      </c>
      <c r="BY387">
        <v>1200</v>
      </c>
      <c r="BZ387" t="s">
        <v>87</v>
      </c>
      <c r="CA387" t="s">
        <v>1001</v>
      </c>
      <c r="CC387" t="s">
        <v>997</v>
      </c>
      <c r="CD387">
        <v>3310</v>
      </c>
      <c r="CE387" t="s">
        <v>89</v>
      </c>
      <c r="CF387" s="3">
        <v>45813</v>
      </c>
      <c r="CI387">
        <v>1</v>
      </c>
      <c r="CJ387">
        <v>1</v>
      </c>
      <c r="CK387">
        <v>23</v>
      </c>
      <c r="CL387" t="s">
        <v>90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"R080065633792"</f>
        <v>R080065633792</v>
      </c>
      <c r="F388" s="3">
        <v>45811</v>
      </c>
      <c r="G388">
        <v>202603</v>
      </c>
      <c r="H388" t="s">
        <v>75</v>
      </c>
      <c r="I388" t="s">
        <v>76</v>
      </c>
      <c r="J388" t="s">
        <v>1002</v>
      </c>
      <c r="K388" t="s">
        <v>78</v>
      </c>
      <c r="L388" t="s">
        <v>75</v>
      </c>
      <c r="M388" t="s">
        <v>76</v>
      </c>
      <c r="N388" t="s">
        <v>77</v>
      </c>
      <c r="O388" t="s">
        <v>94</v>
      </c>
      <c r="P388" t="str">
        <f>"4170033952                    "</f>
        <v xml:space="preserve">4170033952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31.91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5</v>
      </c>
      <c r="BJ388">
        <v>1.9</v>
      </c>
      <c r="BK388">
        <v>5</v>
      </c>
      <c r="BL388">
        <v>110</v>
      </c>
      <c r="BM388">
        <v>16.5</v>
      </c>
      <c r="BN388">
        <v>126.5</v>
      </c>
      <c r="BO388">
        <v>126.5</v>
      </c>
      <c r="BQ388" t="s">
        <v>84</v>
      </c>
      <c r="BR388" t="s">
        <v>1003</v>
      </c>
      <c r="BS388" s="3">
        <v>45812</v>
      </c>
      <c r="BT388" s="4">
        <v>0.375</v>
      </c>
      <c r="BU388" t="s">
        <v>1004</v>
      </c>
      <c r="BV388" t="s">
        <v>86</v>
      </c>
      <c r="BY388">
        <v>9408</v>
      </c>
      <c r="BZ388" t="s">
        <v>97</v>
      </c>
      <c r="CC388" t="s">
        <v>76</v>
      </c>
      <c r="CD388">
        <v>1601</v>
      </c>
      <c r="CE388" t="s">
        <v>166</v>
      </c>
      <c r="CF388" s="3">
        <v>45812</v>
      </c>
      <c r="CI388">
        <v>1</v>
      </c>
      <c r="CJ388">
        <v>1</v>
      </c>
      <c r="CK388">
        <v>42</v>
      </c>
      <c r="CL388" t="s">
        <v>90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"080065734063"</f>
        <v>080065734063</v>
      </c>
      <c r="F389" s="3">
        <v>45811</v>
      </c>
      <c r="G389">
        <v>202603</v>
      </c>
      <c r="H389" t="s">
        <v>75</v>
      </c>
      <c r="I389" t="s">
        <v>76</v>
      </c>
      <c r="J389" t="s">
        <v>77</v>
      </c>
      <c r="K389" t="s">
        <v>78</v>
      </c>
      <c r="L389" t="s">
        <v>154</v>
      </c>
      <c r="M389" t="s">
        <v>154</v>
      </c>
      <c r="N389" t="s">
        <v>949</v>
      </c>
      <c r="O389" t="s">
        <v>82</v>
      </c>
      <c r="P389" t="str">
        <f>"4170042069                    "</f>
        <v xml:space="preserve">4170042069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41.43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0.2</v>
      </c>
      <c r="BK389">
        <v>1</v>
      </c>
      <c r="BL389">
        <v>135.59</v>
      </c>
      <c r="BM389">
        <v>20.34</v>
      </c>
      <c r="BN389">
        <v>155.93</v>
      </c>
      <c r="BO389">
        <v>155.93</v>
      </c>
      <c r="BQ389" t="s">
        <v>950</v>
      </c>
      <c r="BR389" t="s">
        <v>84</v>
      </c>
      <c r="BS389" s="3">
        <v>45812</v>
      </c>
      <c r="BT389" s="4">
        <v>0.51527777777777772</v>
      </c>
      <c r="BU389" t="s">
        <v>951</v>
      </c>
      <c r="BV389" t="s">
        <v>86</v>
      </c>
      <c r="BY389">
        <v>1200</v>
      </c>
      <c r="BZ389" t="s">
        <v>87</v>
      </c>
      <c r="CA389" t="s">
        <v>158</v>
      </c>
      <c r="CC389" t="s">
        <v>154</v>
      </c>
      <c r="CD389">
        <v>7646</v>
      </c>
      <c r="CE389" t="s">
        <v>89</v>
      </c>
      <c r="CF389" s="3">
        <v>45813</v>
      </c>
      <c r="CI389">
        <v>1</v>
      </c>
      <c r="CJ389">
        <v>1</v>
      </c>
      <c r="CK389">
        <v>23</v>
      </c>
      <c r="CL389" t="s">
        <v>90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"080065734093"</f>
        <v>080065734093</v>
      </c>
      <c r="F390" s="3">
        <v>45811</v>
      </c>
      <c r="G390">
        <v>202603</v>
      </c>
      <c r="H390" t="s">
        <v>75</v>
      </c>
      <c r="I390" t="s">
        <v>76</v>
      </c>
      <c r="J390" t="s">
        <v>77</v>
      </c>
      <c r="K390" t="s">
        <v>78</v>
      </c>
      <c r="L390" t="s">
        <v>136</v>
      </c>
      <c r="M390" t="s">
        <v>137</v>
      </c>
      <c r="N390" t="s">
        <v>806</v>
      </c>
      <c r="O390" t="s">
        <v>82</v>
      </c>
      <c r="P390" t="str">
        <f>"4170042063                    "</f>
        <v xml:space="preserve">4170042063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21.38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0.2</v>
      </c>
      <c r="BK390">
        <v>1</v>
      </c>
      <c r="BL390">
        <v>69.98</v>
      </c>
      <c r="BM390">
        <v>10.5</v>
      </c>
      <c r="BN390">
        <v>80.48</v>
      </c>
      <c r="BO390">
        <v>80.48</v>
      </c>
      <c r="BQ390" t="s">
        <v>807</v>
      </c>
      <c r="BR390" t="s">
        <v>84</v>
      </c>
      <c r="BS390" s="3">
        <v>45812</v>
      </c>
      <c r="BT390" s="4">
        <v>0.57361111111111107</v>
      </c>
      <c r="BU390" t="s">
        <v>1005</v>
      </c>
      <c r="BV390" t="s">
        <v>90</v>
      </c>
      <c r="BY390">
        <v>1200</v>
      </c>
      <c r="BZ390" t="s">
        <v>87</v>
      </c>
      <c r="CA390" t="s">
        <v>320</v>
      </c>
      <c r="CC390" t="s">
        <v>137</v>
      </c>
      <c r="CD390">
        <v>5200</v>
      </c>
      <c r="CE390" t="s">
        <v>89</v>
      </c>
      <c r="CF390" s="3">
        <v>45812</v>
      </c>
      <c r="CI390">
        <v>1</v>
      </c>
      <c r="CJ390">
        <v>1</v>
      </c>
      <c r="CK390">
        <v>21</v>
      </c>
      <c r="CL390" t="s">
        <v>90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"080065736184"</f>
        <v>080065736184</v>
      </c>
      <c r="F391" s="3">
        <v>45811</v>
      </c>
      <c r="G391">
        <v>202603</v>
      </c>
      <c r="H391" t="s">
        <v>75</v>
      </c>
      <c r="I391" t="s">
        <v>76</v>
      </c>
      <c r="J391" t="s">
        <v>77</v>
      </c>
      <c r="K391" t="s">
        <v>78</v>
      </c>
      <c r="L391" t="s">
        <v>100</v>
      </c>
      <c r="M391" t="s">
        <v>101</v>
      </c>
      <c r="N391" t="s">
        <v>1006</v>
      </c>
      <c r="O391" t="s">
        <v>94</v>
      </c>
      <c r="P391" t="str">
        <f>"4170041672                    "</f>
        <v xml:space="preserve">4170041672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533.02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273</v>
      </c>
      <c r="BJ391">
        <v>302.5</v>
      </c>
      <c r="BK391">
        <v>303</v>
      </c>
      <c r="BL391">
        <v>1750.01</v>
      </c>
      <c r="BM391">
        <v>262.5</v>
      </c>
      <c r="BN391">
        <v>2012.51</v>
      </c>
      <c r="BO391">
        <v>2012.51</v>
      </c>
      <c r="BQ391" t="s">
        <v>1007</v>
      </c>
      <c r="BR391" t="s">
        <v>84</v>
      </c>
      <c r="BS391" s="3">
        <v>45814</v>
      </c>
      <c r="BT391" s="4">
        <v>0.52083333333333337</v>
      </c>
      <c r="BU391" t="s">
        <v>1008</v>
      </c>
      <c r="BV391" t="s">
        <v>86</v>
      </c>
      <c r="BY391">
        <v>1512630</v>
      </c>
      <c r="BZ391" t="s">
        <v>97</v>
      </c>
      <c r="CC391" t="s">
        <v>101</v>
      </c>
      <c r="CD391">
        <v>6001</v>
      </c>
      <c r="CE391" t="s">
        <v>1009</v>
      </c>
      <c r="CF391" s="3">
        <v>45818</v>
      </c>
      <c r="CI391">
        <v>3</v>
      </c>
      <c r="CJ391">
        <v>3</v>
      </c>
      <c r="CK391">
        <v>41</v>
      </c>
      <c r="CL391" t="s">
        <v>90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"080065736666"</f>
        <v>080065736666</v>
      </c>
      <c r="F392" s="3">
        <v>45811</v>
      </c>
      <c r="G392">
        <v>202603</v>
      </c>
      <c r="H392" t="s">
        <v>75</v>
      </c>
      <c r="I392" t="s">
        <v>76</v>
      </c>
      <c r="J392" t="s">
        <v>77</v>
      </c>
      <c r="K392" t="s">
        <v>78</v>
      </c>
      <c r="L392" t="s">
        <v>130</v>
      </c>
      <c r="M392" t="s">
        <v>131</v>
      </c>
      <c r="N392" t="s">
        <v>1010</v>
      </c>
      <c r="O392" t="s">
        <v>94</v>
      </c>
      <c r="P392" t="str">
        <f>"4170042067                    "</f>
        <v xml:space="preserve">4170042067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36.57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20</v>
      </c>
      <c r="BJ392">
        <v>8.9</v>
      </c>
      <c r="BK392">
        <v>20</v>
      </c>
      <c r="BL392">
        <v>125.26</v>
      </c>
      <c r="BM392">
        <v>18.79</v>
      </c>
      <c r="BN392">
        <v>144.05000000000001</v>
      </c>
      <c r="BO392">
        <v>144.05000000000001</v>
      </c>
      <c r="BQ392" t="s">
        <v>1011</v>
      </c>
      <c r="BR392" t="s">
        <v>84</v>
      </c>
      <c r="BS392" s="3">
        <v>45812</v>
      </c>
      <c r="BT392" s="4">
        <v>0.48125000000000001</v>
      </c>
      <c r="BU392" t="s">
        <v>1012</v>
      </c>
      <c r="BV392" t="s">
        <v>86</v>
      </c>
      <c r="BY392">
        <v>44640</v>
      </c>
      <c r="BZ392" t="s">
        <v>97</v>
      </c>
      <c r="CC392" t="s">
        <v>131</v>
      </c>
      <c r="CD392">
        <v>1459</v>
      </c>
      <c r="CE392" t="s">
        <v>99</v>
      </c>
      <c r="CF392" s="3">
        <v>45812</v>
      </c>
      <c r="CI392">
        <v>1</v>
      </c>
      <c r="CJ392">
        <v>1</v>
      </c>
      <c r="CK392">
        <v>42</v>
      </c>
      <c r="CL392" t="s">
        <v>90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"080065736684"</f>
        <v>080065736684</v>
      </c>
      <c r="F393" s="3">
        <v>45811</v>
      </c>
      <c r="G393">
        <v>202603</v>
      </c>
      <c r="H393" t="s">
        <v>75</v>
      </c>
      <c r="I393" t="s">
        <v>76</v>
      </c>
      <c r="J393" t="s">
        <v>77</v>
      </c>
      <c r="K393" t="s">
        <v>78</v>
      </c>
      <c r="L393" t="s">
        <v>100</v>
      </c>
      <c r="M393" t="s">
        <v>101</v>
      </c>
      <c r="N393" t="s">
        <v>1013</v>
      </c>
      <c r="O393" t="s">
        <v>94</v>
      </c>
      <c r="P393" t="str">
        <f>"4170042073                    "</f>
        <v xml:space="preserve">4170042073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46.47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11</v>
      </c>
      <c r="BJ393">
        <v>17.7</v>
      </c>
      <c r="BK393">
        <v>18</v>
      </c>
      <c r="BL393">
        <v>157.66</v>
      </c>
      <c r="BM393">
        <v>23.65</v>
      </c>
      <c r="BN393">
        <v>181.31</v>
      </c>
      <c r="BO393">
        <v>181.31</v>
      </c>
      <c r="BQ393" t="s">
        <v>1014</v>
      </c>
      <c r="BR393" t="s">
        <v>84</v>
      </c>
      <c r="BS393" s="3">
        <v>45812</v>
      </c>
      <c r="BT393" s="4">
        <v>0.41180555555555554</v>
      </c>
      <c r="BU393" t="s">
        <v>1015</v>
      </c>
      <c r="BV393" t="s">
        <v>86</v>
      </c>
      <c r="BY393">
        <v>88320</v>
      </c>
      <c r="BZ393" t="s">
        <v>97</v>
      </c>
      <c r="CA393" t="s">
        <v>235</v>
      </c>
      <c r="CC393" t="s">
        <v>101</v>
      </c>
      <c r="CD393">
        <v>6001</v>
      </c>
      <c r="CE393" t="s">
        <v>99</v>
      </c>
      <c r="CF393" s="3">
        <v>45812</v>
      </c>
      <c r="CI393">
        <v>3</v>
      </c>
      <c r="CJ393">
        <v>1</v>
      </c>
      <c r="CK393">
        <v>41</v>
      </c>
      <c r="CL393" t="s">
        <v>90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"080065736704"</f>
        <v>080065736704</v>
      </c>
      <c r="F394" s="3">
        <v>45811</v>
      </c>
      <c r="G394">
        <v>202603</v>
      </c>
      <c r="H394" t="s">
        <v>75</v>
      </c>
      <c r="I394" t="s">
        <v>76</v>
      </c>
      <c r="J394" t="s">
        <v>77</v>
      </c>
      <c r="K394" t="s">
        <v>78</v>
      </c>
      <c r="L394" t="s">
        <v>116</v>
      </c>
      <c r="M394" t="s">
        <v>117</v>
      </c>
      <c r="N394" t="s">
        <v>1016</v>
      </c>
      <c r="O394" t="s">
        <v>82</v>
      </c>
      <c r="P394" t="str">
        <f>"4170041796                    "</f>
        <v xml:space="preserve">4170041796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203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19</v>
      </c>
      <c r="BJ394">
        <v>9.1</v>
      </c>
      <c r="BK394">
        <v>19</v>
      </c>
      <c r="BL394">
        <v>664.36</v>
      </c>
      <c r="BM394">
        <v>99.65</v>
      </c>
      <c r="BN394">
        <v>764.01</v>
      </c>
      <c r="BO394">
        <v>764.01</v>
      </c>
      <c r="BQ394" t="s">
        <v>1017</v>
      </c>
      <c r="BR394" t="s">
        <v>84</v>
      </c>
      <c r="BS394" s="3">
        <v>45812</v>
      </c>
      <c r="BT394" s="4">
        <v>0.41666666666666669</v>
      </c>
      <c r="BU394" t="s">
        <v>1018</v>
      </c>
      <c r="BV394" t="s">
        <v>86</v>
      </c>
      <c r="BY394">
        <v>45632</v>
      </c>
      <c r="BZ394" t="s">
        <v>87</v>
      </c>
      <c r="CA394" t="s">
        <v>121</v>
      </c>
      <c r="CC394" t="s">
        <v>117</v>
      </c>
      <c r="CD394">
        <v>3201</v>
      </c>
      <c r="CE394" t="s">
        <v>99</v>
      </c>
      <c r="CF394" s="3">
        <v>45813</v>
      </c>
      <c r="CI394">
        <v>1</v>
      </c>
      <c r="CJ394">
        <v>1</v>
      </c>
      <c r="CK394">
        <v>21</v>
      </c>
      <c r="CL394" t="s">
        <v>90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"080065736734"</f>
        <v>080065736734</v>
      </c>
      <c r="F395" s="3">
        <v>45811</v>
      </c>
      <c r="G395">
        <v>202603</v>
      </c>
      <c r="H395" t="s">
        <v>75</v>
      </c>
      <c r="I395" t="s">
        <v>76</v>
      </c>
      <c r="J395" t="s">
        <v>77</v>
      </c>
      <c r="K395" t="s">
        <v>78</v>
      </c>
      <c r="L395" t="s">
        <v>504</v>
      </c>
      <c r="M395" t="s">
        <v>505</v>
      </c>
      <c r="N395" t="s">
        <v>506</v>
      </c>
      <c r="O395" t="s">
        <v>82</v>
      </c>
      <c r="P395" t="str">
        <f>"4170042074                    "</f>
        <v xml:space="preserve">4170042074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41.43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0.2</v>
      </c>
      <c r="BK395">
        <v>1</v>
      </c>
      <c r="BL395">
        <v>135.59</v>
      </c>
      <c r="BM395">
        <v>20.34</v>
      </c>
      <c r="BN395">
        <v>155.93</v>
      </c>
      <c r="BO395">
        <v>155.93</v>
      </c>
      <c r="BQ395" t="s">
        <v>507</v>
      </c>
      <c r="BR395" t="s">
        <v>84</v>
      </c>
      <c r="BS395" s="3">
        <v>45812</v>
      </c>
      <c r="BT395" s="4">
        <v>0.46527777777777779</v>
      </c>
      <c r="BU395" t="s">
        <v>1019</v>
      </c>
      <c r="BV395" t="s">
        <v>86</v>
      </c>
      <c r="BY395">
        <v>1200</v>
      </c>
      <c r="BZ395" t="s">
        <v>87</v>
      </c>
      <c r="CA395" t="s">
        <v>1020</v>
      </c>
      <c r="CC395" t="s">
        <v>505</v>
      </c>
      <c r="CD395">
        <v>2740</v>
      </c>
      <c r="CE395" t="s">
        <v>89</v>
      </c>
      <c r="CF395" s="3">
        <v>45813</v>
      </c>
      <c r="CI395">
        <v>1</v>
      </c>
      <c r="CJ395">
        <v>1</v>
      </c>
      <c r="CK395">
        <v>23</v>
      </c>
      <c r="CL395" t="s">
        <v>90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"080065736769"</f>
        <v>080065736769</v>
      </c>
      <c r="F396" s="3">
        <v>45811</v>
      </c>
      <c r="G396">
        <v>202603</v>
      </c>
      <c r="H396" t="s">
        <v>75</v>
      </c>
      <c r="I396" t="s">
        <v>76</v>
      </c>
      <c r="J396" t="s">
        <v>77</v>
      </c>
      <c r="K396" t="s">
        <v>78</v>
      </c>
      <c r="L396" t="s">
        <v>75</v>
      </c>
      <c r="M396" t="s">
        <v>76</v>
      </c>
      <c r="N396" t="s">
        <v>216</v>
      </c>
      <c r="O396" t="s">
        <v>82</v>
      </c>
      <c r="P396" t="str">
        <f>"4170042058                    "</f>
        <v xml:space="preserve">4170042058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16.7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2</v>
      </c>
      <c r="BJ396">
        <v>3.2</v>
      </c>
      <c r="BK396">
        <v>4</v>
      </c>
      <c r="BL396">
        <v>54.66</v>
      </c>
      <c r="BM396">
        <v>8.1999999999999993</v>
      </c>
      <c r="BN396">
        <v>62.86</v>
      </c>
      <c r="BO396">
        <v>62.86</v>
      </c>
      <c r="BQ396" t="s">
        <v>217</v>
      </c>
      <c r="BR396" t="s">
        <v>84</v>
      </c>
      <c r="BS396" s="3">
        <v>45812</v>
      </c>
      <c r="BT396" s="4">
        <v>0.39166666666666666</v>
      </c>
      <c r="BU396" t="s">
        <v>1021</v>
      </c>
      <c r="BV396" t="s">
        <v>86</v>
      </c>
      <c r="BY396">
        <v>16184</v>
      </c>
      <c r="BZ396" t="s">
        <v>87</v>
      </c>
      <c r="CA396" t="s">
        <v>1022</v>
      </c>
      <c r="CC396" t="s">
        <v>76</v>
      </c>
      <c r="CD396">
        <v>1610</v>
      </c>
      <c r="CE396" t="s">
        <v>912</v>
      </c>
      <c r="CF396" s="3">
        <v>45812</v>
      </c>
      <c r="CI396">
        <v>1</v>
      </c>
      <c r="CJ396">
        <v>1</v>
      </c>
      <c r="CK396">
        <v>22</v>
      </c>
      <c r="CL396" t="s">
        <v>90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"080065736788"</f>
        <v>080065736788</v>
      </c>
      <c r="F397" s="3">
        <v>45811</v>
      </c>
      <c r="G397">
        <v>202603</v>
      </c>
      <c r="H397" t="s">
        <v>75</v>
      </c>
      <c r="I397" t="s">
        <v>76</v>
      </c>
      <c r="J397" t="s">
        <v>77</v>
      </c>
      <c r="K397" t="s">
        <v>78</v>
      </c>
      <c r="L397" t="s">
        <v>75</v>
      </c>
      <c r="M397" t="s">
        <v>76</v>
      </c>
      <c r="N397" t="s">
        <v>1023</v>
      </c>
      <c r="O397" t="s">
        <v>82</v>
      </c>
      <c r="P397" t="str">
        <f>"4170042076                    "</f>
        <v xml:space="preserve">4170042076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16.7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4</v>
      </c>
      <c r="BJ397">
        <v>1.9</v>
      </c>
      <c r="BK397">
        <v>4</v>
      </c>
      <c r="BL397">
        <v>54.66</v>
      </c>
      <c r="BM397">
        <v>8.1999999999999993</v>
      </c>
      <c r="BN397">
        <v>62.86</v>
      </c>
      <c r="BO397">
        <v>62.86</v>
      </c>
      <c r="BQ397" t="s">
        <v>1024</v>
      </c>
      <c r="BR397" t="s">
        <v>84</v>
      </c>
      <c r="BS397" s="3">
        <v>45812</v>
      </c>
      <c r="BT397" s="4">
        <v>0.3</v>
      </c>
      <c r="BU397" t="s">
        <v>1025</v>
      </c>
      <c r="BV397" t="s">
        <v>86</v>
      </c>
      <c r="BY397">
        <v>9408</v>
      </c>
      <c r="BZ397" t="s">
        <v>87</v>
      </c>
      <c r="CA397" t="s">
        <v>115</v>
      </c>
      <c r="CC397" t="s">
        <v>76</v>
      </c>
      <c r="CD397">
        <v>1619</v>
      </c>
      <c r="CE397" t="s">
        <v>166</v>
      </c>
      <c r="CF397" s="3">
        <v>45813</v>
      </c>
      <c r="CI397">
        <v>1</v>
      </c>
      <c r="CJ397">
        <v>1</v>
      </c>
      <c r="CK397">
        <v>22</v>
      </c>
      <c r="CL397" t="s">
        <v>90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"080065736811"</f>
        <v>080065736811</v>
      </c>
      <c r="F398" s="3">
        <v>45811</v>
      </c>
      <c r="G398">
        <v>202603</v>
      </c>
      <c r="H398" t="s">
        <v>75</v>
      </c>
      <c r="I398" t="s">
        <v>76</v>
      </c>
      <c r="J398" t="s">
        <v>77</v>
      </c>
      <c r="K398" t="s">
        <v>78</v>
      </c>
      <c r="L398" t="s">
        <v>91</v>
      </c>
      <c r="M398" t="s">
        <v>92</v>
      </c>
      <c r="N398" t="s">
        <v>540</v>
      </c>
      <c r="O398" t="s">
        <v>82</v>
      </c>
      <c r="P398" t="str">
        <f>"4170042057                    "</f>
        <v xml:space="preserve">4170042057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21.38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2</v>
      </c>
      <c r="BJ398">
        <v>1.1000000000000001</v>
      </c>
      <c r="BK398">
        <v>2</v>
      </c>
      <c r="BL398">
        <v>69.98</v>
      </c>
      <c r="BM398">
        <v>10.5</v>
      </c>
      <c r="BN398">
        <v>80.48</v>
      </c>
      <c r="BO398">
        <v>80.48</v>
      </c>
      <c r="BQ398" t="s">
        <v>541</v>
      </c>
      <c r="BR398" t="s">
        <v>84</v>
      </c>
      <c r="BS398" s="3">
        <v>45812</v>
      </c>
      <c r="BT398" s="4">
        <v>0.41458333333333336</v>
      </c>
      <c r="BU398" t="s">
        <v>542</v>
      </c>
      <c r="BV398" t="s">
        <v>86</v>
      </c>
      <c r="BY398">
        <v>5320</v>
      </c>
      <c r="BZ398" t="s">
        <v>87</v>
      </c>
      <c r="CA398" t="s">
        <v>543</v>
      </c>
      <c r="CC398" t="s">
        <v>92</v>
      </c>
      <c r="CD398">
        <v>7441</v>
      </c>
      <c r="CE398" t="s">
        <v>180</v>
      </c>
      <c r="CF398" s="3">
        <v>45813</v>
      </c>
      <c r="CI398">
        <v>1</v>
      </c>
      <c r="CJ398">
        <v>1</v>
      </c>
      <c r="CK398">
        <v>21</v>
      </c>
      <c r="CL398" t="s">
        <v>90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"080065736976"</f>
        <v>080065736976</v>
      </c>
      <c r="F399" s="3">
        <v>45811</v>
      </c>
      <c r="G399">
        <v>202603</v>
      </c>
      <c r="H399" t="s">
        <v>75</v>
      </c>
      <c r="I399" t="s">
        <v>76</v>
      </c>
      <c r="J399" t="s">
        <v>77</v>
      </c>
      <c r="K399" t="s">
        <v>78</v>
      </c>
      <c r="L399" t="s">
        <v>75</v>
      </c>
      <c r="M399" t="s">
        <v>76</v>
      </c>
      <c r="N399" t="s">
        <v>1023</v>
      </c>
      <c r="O399" t="s">
        <v>82</v>
      </c>
      <c r="P399" t="str">
        <f>"4170042075                    "</f>
        <v xml:space="preserve">4170042075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16.7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8</v>
      </c>
      <c r="BJ399">
        <v>3.4</v>
      </c>
      <c r="BK399">
        <v>8</v>
      </c>
      <c r="BL399">
        <v>54.66</v>
      </c>
      <c r="BM399">
        <v>8.1999999999999993</v>
      </c>
      <c r="BN399">
        <v>62.86</v>
      </c>
      <c r="BO399">
        <v>62.86</v>
      </c>
      <c r="BQ399" t="s">
        <v>1024</v>
      </c>
      <c r="BR399" t="s">
        <v>84</v>
      </c>
      <c r="BS399" s="3">
        <v>45812</v>
      </c>
      <c r="BT399" s="4">
        <v>0.30069444444444443</v>
      </c>
      <c r="BU399" t="s">
        <v>1025</v>
      </c>
      <c r="BV399" t="s">
        <v>86</v>
      </c>
      <c r="BY399">
        <v>16965</v>
      </c>
      <c r="BZ399" t="s">
        <v>87</v>
      </c>
      <c r="CA399" t="s">
        <v>115</v>
      </c>
      <c r="CC399" t="s">
        <v>76</v>
      </c>
      <c r="CD399">
        <v>1619</v>
      </c>
      <c r="CE399" t="s">
        <v>99</v>
      </c>
      <c r="CF399" s="3">
        <v>45813</v>
      </c>
      <c r="CI399">
        <v>1</v>
      </c>
      <c r="CJ399">
        <v>1</v>
      </c>
      <c r="CK399">
        <v>22</v>
      </c>
      <c r="CL399" t="s">
        <v>90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"009944815660"</f>
        <v>009944815660</v>
      </c>
      <c r="F400" s="3">
        <v>45811</v>
      </c>
      <c r="G400">
        <v>202603</v>
      </c>
      <c r="H400" t="s">
        <v>75</v>
      </c>
      <c r="I400" t="s">
        <v>76</v>
      </c>
      <c r="J400" t="s">
        <v>1026</v>
      </c>
      <c r="K400" t="s">
        <v>78</v>
      </c>
      <c r="L400" t="s">
        <v>75</v>
      </c>
      <c r="M400" t="s">
        <v>76</v>
      </c>
      <c r="N400" t="s">
        <v>188</v>
      </c>
      <c r="O400" t="s">
        <v>94</v>
      </c>
      <c r="P400" t="str">
        <f>"NA                            "</f>
        <v xml:space="preserve">NA   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31.91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0.2</v>
      </c>
      <c r="BK400">
        <v>1</v>
      </c>
      <c r="BL400">
        <v>110</v>
      </c>
      <c r="BM400">
        <v>16.5</v>
      </c>
      <c r="BN400">
        <v>126.5</v>
      </c>
      <c r="BO400">
        <v>126.5</v>
      </c>
      <c r="BQ400" t="s">
        <v>1027</v>
      </c>
      <c r="BR400" t="s">
        <v>1028</v>
      </c>
      <c r="BS400" s="3">
        <v>45812</v>
      </c>
      <c r="BT400" s="4">
        <v>0.375</v>
      </c>
      <c r="BU400" t="s">
        <v>192</v>
      </c>
      <c r="BV400" t="s">
        <v>86</v>
      </c>
      <c r="BY400">
        <v>1200</v>
      </c>
      <c r="BZ400" t="s">
        <v>97</v>
      </c>
      <c r="CA400" t="s">
        <v>193</v>
      </c>
      <c r="CC400" t="s">
        <v>76</v>
      </c>
      <c r="CD400">
        <v>1600</v>
      </c>
      <c r="CE400" t="s">
        <v>1029</v>
      </c>
      <c r="CF400" s="3">
        <v>45812</v>
      </c>
      <c r="CI400">
        <v>1</v>
      </c>
      <c r="CJ400">
        <v>1</v>
      </c>
      <c r="CK400">
        <v>42</v>
      </c>
      <c r="CL400" t="s">
        <v>90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"080011532364"</f>
        <v>080011532364</v>
      </c>
      <c r="F401" s="3">
        <v>45812</v>
      </c>
      <c r="G401">
        <v>202603</v>
      </c>
      <c r="H401" t="s">
        <v>136</v>
      </c>
      <c r="I401" t="s">
        <v>137</v>
      </c>
      <c r="J401" t="s">
        <v>1030</v>
      </c>
      <c r="K401" t="s">
        <v>78</v>
      </c>
      <c r="L401" t="s">
        <v>75</v>
      </c>
      <c r="M401" t="s">
        <v>76</v>
      </c>
      <c r="N401" t="s">
        <v>188</v>
      </c>
      <c r="O401" t="s">
        <v>82</v>
      </c>
      <c r="P401" t="str">
        <f>"Za1001387619                  "</f>
        <v xml:space="preserve">Za1001387619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26.12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2</v>
      </c>
      <c r="BJ401">
        <v>2.1</v>
      </c>
      <c r="BK401">
        <v>2.5</v>
      </c>
      <c r="BL401">
        <v>86.86</v>
      </c>
      <c r="BM401">
        <v>13.03</v>
      </c>
      <c r="BN401">
        <v>99.89</v>
      </c>
      <c r="BO401">
        <v>99.89</v>
      </c>
      <c r="BP401" t="s">
        <v>189</v>
      </c>
      <c r="BQ401" t="s">
        <v>190</v>
      </c>
      <c r="BR401" t="s">
        <v>1031</v>
      </c>
      <c r="BS401" s="3">
        <v>45813</v>
      </c>
      <c r="BT401" s="4">
        <v>0.37222222222222223</v>
      </c>
      <c r="BU401" t="s">
        <v>1032</v>
      </c>
      <c r="BV401" t="s">
        <v>86</v>
      </c>
      <c r="BY401">
        <v>10434</v>
      </c>
      <c r="BZ401" t="s">
        <v>87</v>
      </c>
      <c r="CA401" t="s">
        <v>193</v>
      </c>
      <c r="CC401" t="s">
        <v>76</v>
      </c>
      <c r="CD401">
        <v>1619</v>
      </c>
      <c r="CE401" t="s">
        <v>194</v>
      </c>
      <c r="CF401" s="3">
        <v>45813</v>
      </c>
      <c r="CI401">
        <v>1</v>
      </c>
      <c r="CJ401">
        <v>1</v>
      </c>
      <c r="CK401">
        <v>21</v>
      </c>
      <c r="CL401" t="s">
        <v>90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"080011533596"</f>
        <v>080011533596</v>
      </c>
      <c r="F402" s="3">
        <v>45812</v>
      </c>
      <c r="G402">
        <v>202603</v>
      </c>
      <c r="H402" t="s">
        <v>350</v>
      </c>
      <c r="I402" t="s">
        <v>351</v>
      </c>
      <c r="J402" t="s">
        <v>1033</v>
      </c>
      <c r="K402" t="s">
        <v>78</v>
      </c>
      <c r="L402" t="s">
        <v>75</v>
      </c>
      <c r="M402" t="s">
        <v>76</v>
      </c>
      <c r="N402" t="s">
        <v>188</v>
      </c>
      <c r="O402" t="s">
        <v>82</v>
      </c>
      <c r="P402" t="str">
        <f>"ZA1001385083                  "</f>
        <v xml:space="preserve">ZA1001385083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31.34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3</v>
      </c>
      <c r="BJ402">
        <v>1.8</v>
      </c>
      <c r="BK402">
        <v>3</v>
      </c>
      <c r="BL402">
        <v>104.22</v>
      </c>
      <c r="BM402">
        <v>15.63</v>
      </c>
      <c r="BN402">
        <v>119.85</v>
      </c>
      <c r="BO402">
        <v>119.85</v>
      </c>
      <c r="BP402" t="s">
        <v>189</v>
      </c>
      <c r="BQ402" t="s">
        <v>190</v>
      </c>
      <c r="BR402" t="s">
        <v>1034</v>
      </c>
      <c r="BS402" s="3">
        <v>45813</v>
      </c>
      <c r="BT402" s="4">
        <v>0.37222222222222223</v>
      </c>
      <c r="BU402" t="s">
        <v>1032</v>
      </c>
      <c r="BV402" t="s">
        <v>86</v>
      </c>
      <c r="BY402">
        <v>9000</v>
      </c>
      <c r="BZ402" t="s">
        <v>87</v>
      </c>
      <c r="CA402" t="s">
        <v>193</v>
      </c>
      <c r="CC402" t="s">
        <v>76</v>
      </c>
      <c r="CD402">
        <v>1619</v>
      </c>
      <c r="CE402" t="s">
        <v>194</v>
      </c>
      <c r="CF402" s="3">
        <v>45813</v>
      </c>
      <c r="CI402">
        <v>1</v>
      </c>
      <c r="CJ402">
        <v>1</v>
      </c>
      <c r="CK402">
        <v>21</v>
      </c>
      <c r="CL402" t="s">
        <v>90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"080065754300"</f>
        <v>080065754300</v>
      </c>
      <c r="F403" s="3">
        <v>45812</v>
      </c>
      <c r="G403">
        <v>202603</v>
      </c>
      <c r="H403" t="s">
        <v>75</v>
      </c>
      <c r="I403" t="s">
        <v>76</v>
      </c>
      <c r="J403" t="s">
        <v>77</v>
      </c>
      <c r="K403" t="s">
        <v>78</v>
      </c>
      <c r="L403" t="s">
        <v>91</v>
      </c>
      <c r="M403" t="s">
        <v>92</v>
      </c>
      <c r="N403" t="s">
        <v>327</v>
      </c>
      <c r="O403" t="s">
        <v>82</v>
      </c>
      <c r="P403" t="str">
        <f>"4170042113                    "</f>
        <v xml:space="preserve">4170042113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20.9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</v>
      </c>
      <c r="BJ403">
        <v>0.2</v>
      </c>
      <c r="BK403">
        <v>1</v>
      </c>
      <c r="BL403">
        <v>69.5</v>
      </c>
      <c r="BM403">
        <v>10.43</v>
      </c>
      <c r="BN403">
        <v>79.930000000000007</v>
      </c>
      <c r="BO403">
        <v>79.930000000000007</v>
      </c>
      <c r="BQ403" t="s">
        <v>328</v>
      </c>
      <c r="BR403" t="s">
        <v>84</v>
      </c>
      <c r="BS403" s="3">
        <v>45813</v>
      </c>
      <c r="BT403" s="4">
        <v>0.33680555555555558</v>
      </c>
      <c r="BU403" t="s">
        <v>1035</v>
      </c>
      <c r="BV403" t="s">
        <v>86</v>
      </c>
      <c r="BY403">
        <v>1200</v>
      </c>
      <c r="BZ403" t="s">
        <v>87</v>
      </c>
      <c r="CA403" t="s">
        <v>330</v>
      </c>
      <c r="CC403" t="s">
        <v>92</v>
      </c>
      <c r="CD403">
        <v>7530</v>
      </c>
      <c r="CE403" t="s">
        <v>1036</v>
      </c>
      <c r="CF403" s="3">
        <v>45814</v>
      </c>
      <c r="CI403">
        <v>1</v>
      </c>
      <c r="CJ403">
        <v>1</v>
      </c>
      <c r="CK403">
        <v>21</v>
      </c>
      <c r="CL403" t="s">
        <v>90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"080065754407"</f>
        <v>080065754407</v>
      </c>
      <c r="F404" s="3">
        <v>45812</v>
      </c>
      <c r="G404">
        <v>202603</v>
      </c>
      <c r="H404" t="s">
        <v>75</v>
      </c>
      <c r="I404" t="s">
        <v>76</v>
      </c>
      <c r="J404" t="s">
        <v>77</v>
      </c>
      <c r="K404" t="s">
        <v>78</v>
      </c>
      <c r="L404" t="s">
        <v>266</v>
      </c>
      <c r="M404" t="s">
        <v>267</v>
      </c>
      <c r="N404" t="s">
        <v>1037</v>
      </c>
      <c r="O404" t="s">
        <v>82</v>
      </c>
      <c r="P404" t="str">
        <f>"4170042127                    "</f>
        <v xml:space="preserve">4170042127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20.9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0.2</v>
      </c>
      <c r="BK404">
        <v>1</v>
      </c>
      <c r="BL404">
        <v>69.5</v>
      </c>
      <c r="BM404">
        <v>10.43</v>
      </c>
      <c r="BN404">
        <v>79.930000000000007</v>
      </c>
      <c r="BO404">
        <v>79.930000000000007</v>
      </c>
      <c r="BQ404" t="s">
        <v>1038</v>
      </c>
      <c r="BR404" t="s">
        <v>84</v>
      </c>
      <c r="BS404" s="3">
        <v>45813</v>
      </c>
      <c r="BT404" s="4">
        <v>0.43402777777777779</v>
      </c>
      <c r="BU404" t="s">
        <v>1039</v>
      </c>
      <c r="BV404" t="s">
        <v>86</v>
      </c>
      <c r="BY404">
        <v>1200</v>
      </c>
      <c r="BZ404" t="s">
        <v>87</v>
      </c>
      <c r="CA404" t="s">
        <v>271</v>
      </c>
      <c r="CC404" t="s">
        <v>267</v>
      </c>
      <c r="CD404">
        <v>6229</v>
      </c>
      <c r="CE404" t="s">
        <v>89</v>
      </c>
      <c r="CF404" s="3">
        <v>45813</v>
      </c>
      <c r="CI404">
        <v>1</v>
      </c>
      <c r="CJ404">
        <v>1</v>
      </c>
      <c r="CK404">
        <v>21</v>
      </c>
      <c r="CL404" t="s">
        <v>90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"080065754467"</f>
        <v>080065754467</v>
      </c>
      <c r="F405" s="3">
        <v>45812</v>
      </c>
      <c r="G405">
        <v>202603</v>
      </c>
      <c r="H405" t="s">
        <v>75</v>
      </c>
      <c r="I405" t="s">
        <v>76</v>
      </c>
      <c r="J405" t="s">
        <v>77</v>
      </c>
      <c r="K405" t="s">
        <v>78</v>
      </c>
      <c r="L405" t="s">
        <v>100</v>
      </c>
      <c r="M405" t="s">
        <v>101</v>
      </c>
      <c r="N405" t="s">
        <v>516</v>
      </c>
      <c r="O405" t="s">
        <v>82</v>
      </c>
      <c r="P405" t="str">
        <f>"4170042131                    "</f>
        <v xml:space="preserve">4170042131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20.9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0.2</v>
      </c>
      <c r="BK405">
        <v>1</v>
      </c>
      <c r="BL405">
        <v>69.5</v>
      </c>
      <c r="BM405">
        <v>10.43</v>
      </c>
      <c r="BN405">
        <v>79.930000000000007</v>
      </c>
      <c r="BO405">
        <v>79.930000000000007</v>
      </c>
      <c r="BQ405" t="s">
        <v>517</v>
      </c>
      <c r="BR405" t="s">
        <v>84</v>
      </c>
      <c r="BS405" s="3">
        <v>45813</v>
      </c>
      <c r="BT405" s="4">
        <v>0.38472222222222224</v>
      </c>
      <c r="BU405" t="s">
        <v>855</v>
      </c>
      <c r="BV405" t="s">
        <v>86</v>
      </c>
      <c r="BY405">
        <v>1200</v>
      </c>
      <c r="BZ405" t="s">
        <v>87</v>
      </c>
      <c r="CA405" t="s">
        <v>283</v>
      </c>
      <c r="CC405" t="s">
        <v>101</v>
      </c>
      <c r="CD405">
        <v>6001</v>
      </c>
      <c r="CE405" t="s">
        <v>89</v>
      </c>
      <c r="CF405" s="3">
        <v>45814</v>
      </c>
      <c r="CI405">
        <v>1</v>
      </c>
      <c r="CJ405">
        <v>1</v>
      </c>
      <c r="CK405">
        <v>21</v>
      </c>
      <c r="CL405" t="s">
        <v>90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"080065754607"</f>
        <v>080065754607</v>
      </c>
      <c r="F406" s="3">
        <v>45812</v>
      </c>
      <c r="G406">
        <v>202603</v>
      </c>
      <c r="H406" t="s">
        <v>75</v>
      </c>
      <c r="I406" t="s">
        <v>76</v>
      </c>
      <c r="J406" t="s">
        <v>77</v>
      </c>
      <c r="K406" t="s">
        <v>78</v>
      </c>
      <c r="L406" t="s">
        <v>106</v>
      </c>
      <c r="M406" t="s">
        <v>107</v>
      </c>
      <c r="N406" t="s">
        <v>495</v>
      </c>
      <c r="O406" t="s">
        <v>82</v>
      </c>
      <c r="P406" t="str">
        <f>"4170042093                    "</f>
        <v xml:space="preserve">4170042093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20.9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</v>
      </c>
      <c r="BJ406">
        <v>0.2</v>
      </c>
      <c r="BK406">
        <v>1</v>
      </c>
      <c r="BL406">
        <v>69.5</v>
      </c>
      <c r="BM406">
        <v>10.43</v>
      </c>
      <c r="BN406">
        <v>79.930000000000007</v>
      </c>
      <c r="BO406">
        <v>79.930000000000007</v>
      </c>
      <c r="BQ406" t="s">
        <v>496</v>
      </c>
      <c r="BR406" t="s">
        <v>84</v>
      </c>
      <c r="BS406" s="3">
        <v>45813</v>
      </c>
      <c r="BT406" s="4">
        <v>0.3215277777777778</v>
      </c>
      <c r="BU406" t="s">
        <v>497</v>
      </c>
      <c r="BV406" t="s">
        <v>86</v>
      </c>
      <c r="BY406">
        <v>1200</v>
      </c>
      <c r="BZ406" t="s">
        <v>87</v>
      </c>
      <c r="CA406" t="s">
        <v>316</v>
      </c>
      <c r="CC406" t="s">
        <v>107</v>
      </c>
      <c r="CD406">
        <v>2</v>
      </c>
      <c r="CE406" t="s">
        <v>215</v>
      </c>
      <c r="CF406" s="3">
        <v>45813</v>
      </c>
      <c r="CI406">
        <v>1</v>
      </c>
      <c r="CJ406">
        <v>1</v>
      </c>
      <c r="CK406">
        <v>21</v>
      </c>
      <c r="CL406" t="s">
        <v>90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"080065754677"</f>
        <v>080065754677</v>
      </c>
      <c r="F407" s="3">
        <v>45812</v>
      </c>
      <c r="G407">
        <v>202603</v>
      </c>
      <c r="H407" t="s">
        <v>75</v>
      </c>
      <c r="I407" t="s">
        <v>76</v>
      </c>
      <c r="J407" t="s">
        <v>77</v>
      </c>
      <c r="K407" t="s">
        <v>78</v>
      </c>
      <c r="L407" t="s">
        <v>436</v>
      </c>
      <c r="M407" t="s">
        <v>437</v>
      </c>
      <c r="N407" t="s">
        <v>1040</v>
      </c>
      <c r="O407" t="s">
        <v>94</v>
      </c>
      <c r="P407" t="str">
        <f>"4170041968                    "</f>
        <v xml:space="preserve">4170041968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122.34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115</v>
      </c>
      <c r="BJ407">
        <v>100</v>
      </c>
      <c r="BK407">
        <v>115</v>
      </c>
      <c r="BL407">
        <v>412.43</v>
      </c>
      <c r="BM407">
        <v>61.86</v>
      </c>
      <c r="BN407">
        <v>474.29</v>
      </c>
      <c r="BO407">
        <v>474.29</v>
      </c>
      <c r="BQ407" t="s">
        <v>1041</v>
      </c>
      <c r="BR407" t="s">
        <v>84</v>
      </c>
      <c r="BS407" s="3">
        <v>45813</v>
      </c>
      <c r="BT407" s="4">
        <v>0.71736111111111112</v>
      </c>
      <c r="BU407" t="s">
        <v>1042</v>
      </c>
      <c r="BV407" t="s">
        <v>86</v>
      </c>
      <c r="BY407">
        <v>500200</v>
      </c>
      <c r="BZ407" t="s">
        <v>97</v>
      </c>
      <c r="CA407" t="s">
        <v>1043</v>
      </c>
      <c r="CC407" t="s">
        <v>437</v>
      </c>
      <c r="CD407">
        <v>1502</v>
      </c>
      <c r="CE407" t="s">
        <v>648</v>
      </c>
      <c r="CF407" s="3">
        <v>45813</v>
      </c>
      <c r="CI407">
        <v>1</v>
      </c>
      <c r="CJ407">
        <v>1</v>
      </c>
      <c r="CK407">
        <v>42</v>
      </c>
      <c r="CL407" t="s">
        <v>90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"080065754743"</f>
        <v>080065754743</v>
      </c>
      <c r="F408" s="3">
        <v>45812</v>
      </c>
      <c r="G408">
        <v>202603</v>
      </c>
      <c r="H408" t="s">
        <v>75</v>
      </c>
      <c r="I408" t="s">
        <v>76</v>
      </c>
      <c r="J408" t="s">
        <v>77</v>
      </c>
      <c r="K408" t="s">
        <v>78</v>
      </c>
      <c r="L408" t="s">
        <v>100</v>
      </c>
      <c r="M408" t="s">
        <v>101</v>
      </c>
      <c r="N408" t="s">
        <v>123</v>
      </c>
      <c r="O408" t="s">
        <v>82</v>
      </c>
      <c r="P408" t="str">
        <f>"4170042107                    "</f>
        <v xml:space="preserve">4170042107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20.9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</v>
      </c>
      <c r="BJ408">
        <v>1.1000000000000001</v>
      </c>
      <c r="BK408">
        <v>1.5</v>
      </c>
      <c r="BL408">
        <v>69.5</v>
      </c>
      <c r="BM408">
        <v>10.43</v>
      </c>
      <c r="BN408">
        <v>79.930000000000007</v>
      </c>
      <c r="BO408">
        <v>79.930000000000007</v>
      </c>
      <c r="BQ408" t="s">
        <v>124</v>
      </c>
      <c r="BR408" t="s">
        <v>84</v>
      </c>
      <c r="BS408" s="3">
        <v>45813</v>
      </c>
      <c r="BT408" s="4">
        <v>0.43333333333333335</v>
      </c>
      <c r="BU408" t="s">
        <v>688</v>
      </c>
      <c r="BV408" t="s">
        <v>86</v>
      </c>
      <c r="BY408">
        <v>5320</v>
      </c>
      <c r="BZ408" t="s">
        <v>87</v>
      </c>
      <c r="CA408" t="s">
        <v>235</v>
      </c>
      <c r="CC408" t="s">
        <v>101</v>
      </c>
      <c r="CD408">
        <v>6001</v>
      </c>
      <c r="CE408" t="s">
        <v>180</v>
      </c>
      <c r="CF408" s="3">
        <v>45813</v>
      </c>
      <c r="CI408">
        <v>1</v>
      </c>
      <c r="CJ408">
        <v>1</v>
      </c>
      <c r="CK408">
        <v>21</v>
      </c>
      <c r="CL408" t="s">
        <v>90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"080065755081"</f>
        <v>080065755081</v>
      </c>
      <c r="F409" s="3">
        <v>45812</v>
      </c>
      <c r="G409">
        <v>202603</v>
      </c>
      <c r="H409" t="s">
        <v>75</v>
      </c>
      <c r="I409" t="s">
        <v>76</v>
      </c>
      <c r="J409" t="s">
        <v>77</v>
      </c>
      <c r="K409" t="s">
        <v>78</v>
      </c>
      <c r="L409" t="s">
        <v>100</v>
      </c>
      <c r="M409" t="s">
        <v>101</v>
      </c>
      <c r="N409" t="s">
        <v>123</v>
      </c>
      <c r="O409" t="s">
        <v>82</v>
      </c>
      <c r="P409" t="str">
        <f>"4170042092                    "</f>
        <v xml:space="preserve">4170042092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20.9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0.2</v>
      </c>
      <c r="BK409">
        <v>1</v>
      </c>
      <c r="BL409">
        <v>69.5</v>
      </c>
      <c r="BM409">
        <v>10.43</v>
      </c>
      <c r="BN409">
        <v>79.930000000000007</v>
      </c>
      <c r="BO409">
        <v>79.930000000000007</v>
      </c>
      <c r="BQ409" t="s">
        <v>124</v>
      </c>
      <c r="BR409" t="s">
        <v>84</v>
      </c>
      <c r="BS409" s="3">
        <v>45813</v>
      </c>
      <c r="BT409" s="4">
        <v>0.43541666666666667</v>
      </c>
      <c r="BU409" t="s">
        <v>688</v>
      </c>
      <c r="BV409" t="s">
        <v>86</v>
      </c>
      <c r="BY409">
        <v>1200</v>
      </c>
      <c r="BZ409" t="s">
        <v>87</v>
      </c>
      <c r="CA409" t="s">
        <v>235</v>
      </c>
      <c r="CC409" t="s">
        <v>101</v>
      </c>
      <c r="CD409">
        <v>6001</v>
      </c>
      <c r="CE409" t="s">
        <v>89</v>
      </c>
      <c r="CF409" s="3">
        <v>45813</v>
      </c>
      <c r="CI409">
        <v>1</v>
      </c>
      <c r="CJ409">
        <v>1</v>
      </c>
      <c r="CK409">
        <v>21</v>
      </c>
      <c r="CL409" t="s">
        <v>90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"080065755107"</f>
        <v>080065755107</v>
      </c>
      <c r="F410" s="3">
        <v>45812</v>
      </c>
      <c r="G410">
        <v>202603</v>
      </c>
      <c r="H410" t="s">
        <v>75</v>
      </c>
      <c r="I410" t="s">
        <v>76</v>
      </c>
      <c r="J410" t="s">
        <v>77</v>
      </c>
      <c r="K410" t="s">
        <v>78</v>
      </c>
      <c r="L410" t="s">
        <v>91</v>
      </c>
      <c r="M410" t="s">
        <v>92</v>
      </c>
      <c r="N410" t="s">
        <v>952</v>
      </c>
      <c r="O410" t="s">
        <v>82</v>
      </c>
      <c r="P410" t="str">
        <f>"4170042094                    "</f>
        <v xml:space="preserve">4170042094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20.9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</v>
      </c>
      <c r="BJ410">
        <v>0.2</v>
      </c>
      <c r="BK410">
        <v>1</v>
      </c>
      <c r="BL410">
        <v>69.5</v>
      </c>
      <c r="BM410">
        <v>10.43</v>
      </c>
      <c r="BN410">
        <v>79.930000000000007</v>
      </c>
      <c r="BO410">
        <v>79.930000000000007</v>
      </c>
      <c r="BQ410" t="s">
        <v>953</v>
      </c>
      <c r="BR410" t="s">
        <v>84</v>
      </c>
      <c r="BS410" s="3">
        <v>45813</v>
      </c>
      <c r="BT410" s="4">
        <v>0.41666666666666669</v>
      </c>
      <c r="BU410" t="s">
        <v>1044</v>
      </c>
      <c r="BV410" t="s">
        <v>86</v>
      </c>
      <c r="BY410">
        <v>1140</v>
      </c>
      <c r="BZ410" t="s">
        <v>87</v>
      </c>
      <c r="CC410" t="s">
        <v>92</v>
      </c>
      <c r="CD410">
        <v>7945</v>
      </c>
      <c r="CE410" t="s">
        <v>89</v>
      </c>
      <c r="CF410" s="3">
        <v>45814</v>
      </c>
      <c r="CI410">
        <v>1</v>
      </c>
      <c r="CJ410">
        <v>1</v>
      </c>
      <c r="CK410">
        <v>21</v>
      </c>
      <c r="CL410" t="s">
        <v>90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"080065755138"</f>
        <v>080065755138</v>
      </c>
      <c r="F411" s="3">
        <v>45812</v>
      </c>
      <c r="G411">
        <v>202603</v>
      </c>
      <c r="H411" t="s">
        <v>75</v>
      </c>
      <c r="I411" t="s">
        <v>76</v>
      </c>
      <c r="J411" t="s">
        <v>77</v>
      </c>
      <c r="K411" t="s">
        <v>78</v>
      </c>
      <c r="L411" t="s">
        <v>130</v>
      </c>
      <c r="M411" t="s">
        <v>131</v>
      </c>
      <c r="N411" t="s">
        <v>1045</v>
      </c>
      <c r="O411" t="s">
        <v>82</v>
      </c>
      <c r="P411" t="str">
        <f>"4170042125                    "</f>
        <v xml:space="preserve">4170042125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16.32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0.2</v>
      </c>
      <c r="BK411">
        <v>1</v>
      </c>
      <c r="BL411">
        <v>54.28</v>
      </c>
      <c r="BM411">
        <v>8.14</v>
      </c>
      <c r="BN411">
        <v>62.42</v>
      </c>
      <c r="BO411">
        <v>62.42</v>
      </c>
      <c r="BQ411" t="s">
        <v>1046</v>
      </c>
      <c r="BR411" t="s">
        <v>84</v>
      </c>
      <c r="BS411" s="3">
        <v>45813</v>
      </c>
      <c r="BT411" s="4">
        <v>0.37291666666666667</v>
      </c>
      <c r="BU411" t="s">
        <v>1047</v>
      </c>
      <c r="BV411" t="s">
        <v>86</v>
      </c>
      <c r="BY411">
        <v>1200</v>
      </c>
      <c r="BZ411" t="s">
        <v>87</v>
      </c>
      <c r="CA411" t="s">
        <v>425</v>
      </c>
      <c r="CC411" t="s">
        <v>131</v>
      </c>
      <c r="CD411">
        <v>1459</v>
      </c>
      <c r="CE411" t="s">
        <v>89</v>
      </c>
      <c r="CF411" s="3">
        <v>45813</v>
      </c>
      <c r="CI411">
        <v>1</v>
      </c>
      <c r="CJ411">
        <v>1</v>
      </c>
      <c r="CK411">
        <v>22</v>
      </c>
      <c r="CL411" t="s">
        <v>90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"080065755184"</f>
        <v>080065755184</v>
      </c>
      <c r="F412" s="3">
        <v>45812</v>
      </c>
      <c r="G412">
        <v>202603</v>
      </c>
      <c r="H412" t="s">
        <v>75</v>
      </c>
      <c r="I412" t="s">
        <v>76</v>
      </c>
      <c r="J412" t="s">
        <v>77</v>
      </c>
      <c r="K412" t="s">
        <v>78</v>
      </c>
      <c r="L412" t="s">
        <v>100</v>
      </c>
      <c r="M412" t="s">
        <v>101</v>
      </c>
      <c r="N412" t="s">
        <v>1013</v>
      </c>
      <c r="O412" t="s">
        <v>82</v>
      </c>
      <c r="P412" t="str">
        <f>"4170042101                    "</f>
        <v xml:space="preserve">4170042101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20.9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0.2</v>
      </c>
      <c r="BK412">
        <v>1</v>
      </c>
      <c r="BL412">
        <v>69.5</v>
      </c>
      <c r="BM412">
        <v>10.43</v>
      </c>
      <c r="BN412">
        <v>79.930000000000007</v>
      </c>
      <c r="BO412">
        <v>79.930000000000007</v>
      </c>
      <c r="BQ412" t="s">
        <v>1014</v>
      </c>
      <c r="BR412" t="s">
        <v>84</v>
      </c>
      <c r="BS412" s="3">
        <v>45813</v>
      </c>
      <c r="BT412" s="4">
        <v>0.40972222222222221</v>
      </c>
      <c r="BU412" t="s">
        <v>1015</v>
      </c>
      <c r="BV412" t="s">
        <v>86</v>
      </c>
      <c r="BY412">
        <v>1200</v>
      </c>
      <c r="BZ412" t="s">
        <v>87</v>
      </c>
      <c r="CA412" t="s">
        <v>235</v>
      </c>
      <c r="CC412" t="s">
        <v>101</v>
      </c>
      <c r="CD412">
        <v>6001</v>
      </c>
      <c r="CE412" t="s">
        <v>89</v>
      </c>
      <c r="CF412" s="3">
        <v>45813</v>
      </c>
      <c r="CI412">
        <v>1</v>
      </c>
      <c r="CJ412">
        <v>1</v>
      </c>
      <c r="CK412">
        <v>21</v>
      </c>
      <c r="CL412" t="s">
        <v>90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"080065755221"</f>
        <v>080065755221</v>
      </c>
      <c r="F413" s="3">
        <v>45812</v>
      </c>
      <c r="G413">
        <v>202603</v>
      </c>
      <c r="H413" t="s">
        <v>75</v>
      </c>
      <c r="I413" t="s">
        <v>76</v>
      </c>
      <c r="J413" t="s">
        <v>77</v>
      </c>
      <c r="K413" t="s">
        <v>78</v>
      </c>
      <c r="L413" t="s">
        <v>75</v>
      </c>
      <c r="M413" t="s">
        <v>76</v>
      </c>
      <c r="N413" t="s">
        <v>112</v>
      </c>
      <c r="O413" t="s">
        <v>82</v>
      </c>
      <c r="P413" t="str">
        <f>"4170042078                    "</f>
        <v xml:space="preserve">4170042078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16.32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4</v>
      </c>
      <c r="BJ413">
        <v>3.7</v>
      </c>
      <c r="BK413">
        <v>4</v>
      </c>
      <c r="BL413">
        <v>54.28</v>
      </c>
      <c r="BM413">
        <v>8.14</v>
      </c>
      <c r="BN413">
        <v>62.42</v>
      </c>
      <c r="BO413">
        <v>62.42</v>
      </c>
      <c r="BQ413" t="s">
        <v>113</v>
      </c>
      <c r="BR413" t="s">
        <v>84</v>
      </c>
      <c r="BS413" s="3">
        <v>45813</v>
      </c>
      <c r="BT413" s="4">
        <v>0.40277777777777779</v>
      </c>
      <c r="BU413" t="s">
        <v>1048</v>
      </c>
      <c r="BV413" t="s">
        <v>86</v>
      </c>
      <c r="BY413">
        <v>18720</v>
      </c>
      <c r="BZ413" t="s">
        <v>87</v>
      </c>
      <c r="CA413" t="s">
        <v>193</v>
      </c>
      <c r="CC413" t="s">
        <v>76</v>
      </c>
      <c r="CD413">
        <v>1600</v>
      </c>
      <c r="CE413" t="s">
        <v>166</v>
      </c>
      <c r="CF413" s="3">
        <v>45813</v>
      </c>
      <c r="CI413">
        <v>1</v>
      </c>
      <c r="CJ413">
        <v>1</v>
      </c>
      <c r="CK413">
        <v>22</v>
      </c>
      <c r="CL413" t="s">
        <v>90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"080065756048"</f>
        <v>080065756048</v>
      </c>
      <c r="F414" s="3">
        <v>45812</v>
      </c>
      <c r="G414">
        <v>202603</v>
      </c>
      <c r="H414" t="s">
        <v>75</v>
      </c>
      <c r="I414" t="s">
        <v>76</v>
      </c>
      <c r="J414" t="s">
        <v>77</v>
      </c>
      <c r="K414" t="s">
        <v>78</v>
      </c>
      <c r="L414" t="s">
        <v>100</v>
      </c>
      <c r="M414" t="s">
        <v>101</v>
      </c>
      <c r="N414" t="s">
        <v>564</v>
      </c>
      <c r="O414" t="s">
        <v>82</v>
      </c>
      <c r="P414" t="str">
        <f>"4170042104                    "</f>
        <v xml:space="preserve">4170042104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20.9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0.2</v>
      </c>
      <c r="BK414">
        <v>1</v>
      </c>
      <c r="BL414">
        <v>69.5</v>
      </c>
      <c r="BM414">
        <v>10.43</v>
      </c>
      <c r="BN414">
        <v>79.930000000000007</v>
      </c>
      <c r="BO414">
        <v>79.930000000000007</v>
      </c>
      <c r="BQ414" t="s">
        <v>565</v>
      </c>
      <c r="BR414" t="s">
        <v>84</v>
      </c>
      <c r="BS414" s="3">
        <v>45813</v>
      </c>
      <c r="BT414" s="4">
        <v>0.43333333333333335</v>
      </c>
      <c r="BU414" t="s">
        <v>962</v>
      </c>
      <c r="BV414" t="s">
        <v>86</v>
      </c>
      <c r="BY414">
        <v>1200</v>
      </c>
      <c r="BZ414" t="s">
        <v>87</v>
      </c>
      <c r="CA414" t="s">
        <v>223</v>
      </c>
      <c r="CC414" t="s">
        <v>101</v>
      </c>
      <c r="CD414">
        <v>6001</v>
      </c>
      <c r="CE414" t="s">
        <v>89</v>
      </c>
      <c r="CF414" s="3">
        <v>45813</v>
      </c>
      <c r="CI414">
        <v>1</v>
      </c>
      <c r="CJ414">
        <v>1</v>
      </c>
      <c r="CK414">
        <v>21</v>
      </c>
      <c r="CL414" t="s">
        <v>90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"080065756089"</f>
        <v>080065756089</v>
      </c>
      <c r="F415" s="3">
        <v>45812</v>
      </c>
      <c r="G415">
        <v>202603</v>
      </c>
      <c r="H415" t="s">
        <v>75</v>
      </c>
      <c r="I415" t="s">
        <v>76</v>
      </c>
      <c r="J415" t="s">
        <v>77</v>
      </c>
      <c r="K415" t="s">
        <v>78</v>
      </c>
      <c r="L415" t="s">
        <v>100</v>
      </c>
      <c r="M415" t="s">
        <v>101</v>
      </c>
      <c r="N415" t="s">
        <v>585</v>
      </c>
      <c r="O415" t="s">
        <v>82</v>
      </c>
      <c r="P415" t="str">
        <f>"4170042106                    "</f>
        <v xml:space="preserve">4170042106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20.9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0.2</v>
      </c>
      <c r="BK415">
        <v>1</v>
      </c>
      <c r="BL415">
        <v>69.5</v>
      </c>
      <c r="BM415">
        <v>10.43</v>
      </c>
      <c r="BN415">
        <v>79.930000000000007</v>
      </c>
      <c r="BO415">
        <v>79.930000000000007</v>
      </c>
      <c r="BQ415" t="s">
        <v>586</v>
      </c>
      <c r="BR415" t="s">
        <v>84</v>
      </c>
      <c r="BS415" s="3">
        <v>45813</v>
      </c>
      <c r="BT415" s="4">
        <v>0.40972222222222221</v>
      </c>
      <c r="BU415" t="s">
        <v>879</v>
      </c>
      <c r="BV415" t="s">
        <v>86</v>
      </c>
      <c r="BY415">
        <v>1200</v>
      </c>
      <c r="BZ415" t="s">
        <v>87</v>
      </c>
      <c r="CA415" t="s">
        <v>589</v>
      </c>
      <c r="CC415" t="s">
        <v>101</v>
      </c>
      <c r="CD415">
        <v>6001</v>
      </c>
      <c r="CE415" t="s">
        <v>89</v>
      </c>
      <c r="CF415" s="3">
        <v>45813</v>
      </c>
      <c r="CI415">
        <v>1</v>
      </c>
      <c r="CJ415">
        <v>1</v>
      </c>
      <c r="CK415">
        <v>21</v>
      </c>
      <c r="CL415" t="s">
        <v>90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"080065756125"</f>
        <v>080065756125</v>
      </c>
      <c r="F416" s="3">
        <v>45812</v>
      </c>
      <c r="G416">
        <v>202603</v>
      </c>
      <c r="H416" t="s">
        <v>75</v>
      </c>
      <c r="I416" t="s">
        <v>76</v>
      </c>
      <c r="J416" t="s">
        <v>77</v>
      </c>
      <c r="K416" t="s">
        <v>78</v>
      </c>
      <c r="L416" t="s">
        <v>293</v>
      </c>
      <c r="M416" t="s">
        <v>294</v>
      </c>
      <c r="N416" t="s">
        <v>295</v>
      </c>
      <c r="O416" t="s">
        <v>82</v>
      </c>
      <c r="P416" t="str">
        <f>"4170042180                    "</f>
        <v xml:space="preserve">4170042180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40.49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0.2</v>
      </c>
      <c r="BK416">
        <v>1</v>
      </c>
      <c r="BL416">
        <v>134.65</v>
      </c>
      <c r="BM416">
        <v>20.2</v>
      </c>
      <c r="BN416">
        <v>154.85</v>
      </c>
      <c r="BO416">
        <v>154.85</v>
      </c>
      <c r="BQ416" t="s">
        <v>296</v>
      </c>
      <c r="BR416" t="s">
        <v>84</v>
      </c>
      <c r="BS416" s="3">
        <v>45813</v>
      </c>
      <c r="BT416" s="4">
        <v>0.4375</v>
      </c>
      <c r="BU416" t="s">
        <v>1049</v>
      </c>
      <c r="BV416" t="s">
        <v>86</v>
      </c>
      <c r="BY416">
        <v>1200</v>
      </c>
      <c r="BZ416" t="s">
        <v>87</v>
      </c>
      <c r="CA416" t="s">
        <v>298</v>
      </c>
      <c r="CC416" t="s">
        <v>294</v>
      </c>
      <c r="CD416">
        <v>1939</v>
      </c>
      <c r="CE416" t="s">
        <v>89</v>
      </c>
      <c r="CF416" s="3">
        <v>45814</v>
      </c>
      <c r="CI416">
        <v>1</v>
      </c>
      <c r="CJ416">
        <v>1</v>
      </c>
      <c r="CK416">
        <v>23</v>
      </c>
      <c r="CL416" t="s">
        <v>90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"080065756434"</f>
        <v>080065756434</v>
      </c>
      <c r="F417" s="3">
        <v>45812</v>
      </c>
      <c r="G417">
        <v>202603</v>
      </c>
      <c r="H417" t="s">
        <v>75</v>
      </c>
      <c r="I417" t="s">
        <v>76</v>
      </c>
      <c r="J417" t="s">
        <v>77</v>
      </c>
      <c r="K417" t="s">
        <v>78</v>
      </c>
      <c r="L417" t="s">
        <v>130</v>
      </c>
      <c r="M417" t="s">
        <v>131</v>
      </c>
      <c r="N417" t="s">
        <v>422</v>
      </c>
      <c r="O417" t="s">
        <v>82</v>
      </c>
      <c r="P417" t="str">
        <f>"4170042082                    "</f>
        <v xml:space="preserve">4170042082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16.32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5</v>
      </c>
      <c r="BJ417">
        <v>3.5</v>
      </c>
      <c r="BK417">
        <v>5</v>
      </c>
      <c r="BL417">
        <v>54.28</v>
      </c>
      <c r="BM417">
        <v>8.14</v>
      </c>
      <c r="BN417">
        <v>62.42</v>
      </c>
      <c r="BO417">
        <v>62.42</v>
      </c>
      <c r="BQ417" t="s">
        <v>423</v>
      </c>
      <c r="BR417" t="s">
        <v>84</v>
      </c>
      <c r="BS417" s="3">
        <v>45813</v>
      </c>
      <c r="BT417" s="4">
        <v>0.33888888888888891</v>
      </c>
      <c r="BU417" t="s">
        <v>1050</v>
      </c>
      <c r="BV417" t="s">
        <v>86</v>
      </c>
      <c r="BY417">
        <v>17640</v>
      </c>
      <c r="BZ417" t="s">
        <v>87</v>
      </c>
      <c r="CA417" t="s">
        <v>425</v>
      </c>
      <c r="CC417" t="s">
        <v>131</v>
      </c>
      <c r="CD417">
        <v>1459</v>
      </c>
      <c r="CE417" t="s">
        <v>166</v>
      </c>
      <c r="CF417" s="3">
        <v>45813</v>
      </c>
      <c r="CI417">
        <v>1</v>
      </c>
      <c r="CJ417">
        <v>1</v>
      </c>
      <c r="CK417">
        <v>22</v>
      </c>
      <c r="CL417" t="s">
        <v>90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"080065756449"</f>
        <v>080065756449</v>
      </c>
      <c r="F418" s="3">
        <v>45812</v>
      </c>
      <c r="G418">
        <v>202603</v>
      </c>
      <c r="H418" t="s">
        <v>75</v>
      </c>
      <c r="I418" t="s">
        <v>76</v>
      </c>
      <c r="J418" t="s">
        <v>77</v>
      </c>
      <c r="K418" t="s">
        <v>78</v>
      </c>
      <c r="L418" t="s">
        <v>154</v>
      </c>
      <c r="M418" t="s">
        <v>154</v>
      </c>
      <c r="N418" t="s">
        <v>155</v>
      </c>
      <c r="O418" t="s">
        <v>82</v>
      </c>
      <c r="P418" t="str">
        <f>"4170042141                    "</f>
        <v xml:space="preserve">4170042141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40.49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</v>
      </c>
      <c r="BJ418">
        <v>0.2</v>
      </c>
      <c r="BK418">
        <v>1</v>
      </c>
      <c r="BL418">
        <v>134.65</v>
      </c>
      <c r="BM418">
        <v>20.2</v>
      </c>
      <c r="BN418">
        <v>154.85</v>
      </c>
      <c r="BO418">
        <v>154.85</v>
      </c>
      <c r="BQ418" t="s">
        <v>156</v>
      </c>
      <c r="BR418" t="s">
        <v>84</v>
      </c>
      <c r="BS418" s="3">
        <v>45813</v>
      </c>
      <c r="BT418" s="4">
        <v>0.4826388888888889</v>
      </c>
      <c r="BU418" t="s">
        <v>532</v>
      </c>
      <c r="BV418" t="s">
        <v>86</v>
      </c>
      <c r="BY418">
        <v>1200</v>
      </c>
      <c r="BZ418" t="s">
        <v>87</v>
      </c>
      <c r="CA418" t="s">
        <v>158</v>
      </c>
      <c r="CC418" t="s">
        <v>154</v>
      </c>
      <c r="CD418">
        <v>7646</v>
      </c>
      <c r="CE418" t="s">
        <v>89</v>
      </c>
      <c r="CF418" s="3">
        <v>45814</v>
      </c>
      <c r="CI418">
        <v>1</v>
      </c>
      <c r="CJ418">
        <v>1</v>
      </c>
      <c r="CK418">
        <v>23</v>
      </c>
      <c r="CL418" t="s">
        <v>90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"080065756479"</f>
        <v>080065756479</v>
      </c>
      <c r="F419" s="3">
        <v>45812</v>
      </c>
      <c r="G419">
        <v>202603</v>
      </c>
      <c r="H419" t="s">
        <v>75</v>
      </c>
      <c r="I419" t="s">
        <v>76</v>
      </c>
      <c r="J419" t="s">
        <v>77</v>
      </c>
      <c r="K419" t="s">
        <v>78</v>
      </c>
      <c r="L419" t="s">
        <v>75</v>
      </c>
      <c r="M419" t="s">
        <v>76</v>
      </c>
      <c r="N419" t="s">
        <v>1002</v>
      </c>
      <c r="O419" t="s">
        <v>82</v>
      </c>
      <c r="P419" t="str">
        <f>"4170042096                    "</f>
        <v xml:space="preserve">4170042096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16.32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1</v>
      </c>
      <c r="BJ419">
        <v>0.2</v>
      </c>
      <c r="BK419">
        <v>1</v>
      </c>
      <c r="BL419">
        <v>54.28</v>
      </c>
      <c r="BM419">
        <v>8.14</v>
      </c>
      <c r="BN419">
        <v>62.42</v>
      </c>
      <c r="BO419">
        <v>62.42</v>
      </c>
      <c r="BQ419" t="s">
        <v>1003</v>
      </c>
      <c r="BR419" t="s">
        <v>84</v>
      </c>
      <c r="BS419" s="3">
        <v>45813</v>
      </c>
      <c r="BT419" s="4">
        <v>0.3972222222222222</v>
      </c>
      <c r="BU419" t="s">
        <v>1051</v>
      </c>
      <c r="BV419" t="s">
        <v>86</v>
      </c>
      <c r="BY419">
        <v>1200</v>
      </c>
      <c r="BZ419" t="s">
        <v>87</v>
      </c>
      <c r="CA419" t="s">
        <v>1052</v>
      </c>
      <c r="CC419" t="s">
        <v>76</v>
      </c>
      <c r="CD419">
        <v>1666</v>
      </c>
      <c r="CE419" t="s">
        <v>89</v>
      </c>
      <c r="CF419" s="3">
        <v>45814</v>
      </c>
      <c r="CI419">
        <v>1</v>
      </c>
      <c r="CJ419">
        <v>1</v>
      </c>
      <c r="CK419">
        <v>22</v>
      </c>
      <c r="CL419" t="s">
        <v>90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"080065756504"</f>
        <v>080065756504</v>
      </c>
      <c r="F420" s="3">
        <v>45812</v>
      </c>
      <c r="G420">
        <v>202603</v>
      </c>
      <c r="H420" t="s">
        <v>75</v>
      </c>
      <c r="I420" t="s">
        <v>76</v>
      </c>
      <c r="J420" t="s">
        <v>77</v>
      </c>
      <c r="K420" t="s">
        <v>78</v>
      </c>
      <c r="L420" t="s">
        <v>106</v>
      </c>
      <c r="M420" t="s">
        <v>107</v>
      </c>
      <c r="N420" t="s">
        <v>940</v>
      </c>
      <c r="O420" t="s">
        <v>82</v>
      </c>
      <c r="P420" t="str">
        <f>"4170042198                    "</f>
        <v xml:space="preserve">4170042198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20.9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</v>
      </c>
      <c r="BJ420">
        <v>0.2</v>
      </c>
      <c r="BK420">
        <v>1</v>
      </c>
      <c r="BL420">
        <v>69.5</v>
      </c>
      <c r="BM420">
        <v>10.43</v>
      </c>
      <c r="BN420">
        <v>79.930000000000007</v>
      </c>
      <c r="BO420">
        <v>79.930000000000007</v>
      </c>
      <c r="BQ420" t="s">
        <v>941</v>
      </c>
      <c r="BR420" t="s">
        <v>84</v>
      </c>
      <c r="BS420" s="3">
        <v>45813</v>
      </c>
      <c r="BT420" s="4">
        <v>0.37708333333333333</v>
      </c>
      <c r="BU420" t="s">
        <v>403</v>
      </c>
      <c r="BV420" t="s">
        <v>86</v>
      </c>
      <c r="BY420">
        <v>1200</v>
      </c>
      <c r="BZ420" t="s">
        <v>87</v>
      </c>
      <c r="CA420" t="s">
        <v>404</v>
      </c>
      <c r="CC420" t="s">
        <v>107</v>
      </c>
      <c r="CD420">
        <v>2</v>
      </c>
      <c r="CE420" t="s">
        <v>89</v>
      </c>
      <c r="CF420" s="3">
        <v>45813</v>
      </c>
      <c r="CI420">
        <v>1</v>
      </c>
      <c r="CJ420">
        <v>1</v>
      </c>
      <c r="CK420">
        <v>21</v>
      </c>
      <c r="CL420" t="s">
        <v>90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"080065756522"</f>
        <v>080065756522</v>
      </c>
      <c r="F421" s="3">
        <v>45812</v>
      </c>
      <c r="G421">
        <v>202603</v>
      </c>
      <c r="H421" t="s">
        <v>75</v>
      </c>
      <c r="I421" t="s">
        <v>76</v>
      </c>
      <c r="J421" t="s">
        <v>77</v>
      </c>
      <c r="K421" t="s">
        <v>78</v>
      </c>
      <c r="L421" t="s">
        <v>331</v>
      </c>
      <c r="M421" t="s">
        <v>332</v>
      </c>
      <c r="N421" t="s">
        <v>1053</v>
      </c>
      <c r="O421" t="s">
        <v>82</v>
      </c>
      <c r="P421" t="str">
        <f>"4170042140                    "</f>
        <v xml:space="preserve">4170042140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20.9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0.2</v>
      </c>
      <c r="BK421">
        <v>1</v>
      </c>
      <c r="BL421">
        <v>69.5</v>
      </c>
      <c r="BM421">
        <v>10.43</v>
      </c>
      <c r="BN421">
        <v>79.930000000000007</v>
      </c>
      <c r="BO421">
        <v>79.930000000000007</v>
      </c>
      <c r="BQ421" t="s">
        <v>1054</v>
      </c>
      <c r="BR421" t="s">
        <v>84</v>
      </c>
      <c r="BS421" s="3">
        <v>45813</v>
      </c>
      <c r="BT421" s="4">
        <v>0.53263888888888888</v>
      </c>
      <c r="BU421" t="s">
        <v>1055</v>
      </c>
      <c r="BV421" t="s">
        <v>90</v>
      </c>
      <c r="BW421" t="s">
        <v>416</v>
      </c>
      <c r="BX421" t="s">
        <v>417</v>
      </c>
      <c r="BY421">
        <v>1200</v>
      </c>
      <c r="BZ421" t="s">
        <v>87</v>
      </c>
      <c r="CA421" t="s">
        <v>179</v>
      </c>
      <c r="CC421" t="s">
        <v>332</v>
      </c>
      <c r="CD421">
        <v>4001</v>
      </c>
      <c r="CE421" t="s">
        <v>89</v>
      </c>
      <c r="CF421" s="3">
        <v>45814</v>
      </c>
      <c r="CI421">
        <v>1</v>
      </c>
      <c r="CJ421">
        <v>1</v>
      </c>
      <c r="CK421">
        <v>21</v>
      </c>
      <c r="CL421" t="s">
        <v>90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"080065756537"</f>
        <v>080065756537</v>
      </c>
      <c r="F422" s="3">
        <v>45812</v>
      </c>
      <c r="G422">
        <v>202603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1056</v>
      </c>
      <c r="O422" t="s">
        <v>82</v>
      </c>
      <c r="P422" t="str">
        <f>"4170042079                    "</f>
        <v xml:space="preserve">4170042079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16.32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1.8</v>
      </c>
      <c r="BK422">
        <v>2</v>
      </c>
      <c r="BL422">
        <v>54.28</v>
      </c>
      <c r="BM422">
        <v>8.14</v>
      </c>
      <c r="BN422">
        <v>62.42</v>
      </c>
      <c r="BO422">
        <v>62.42</v>
      </c>
      <c r="BQ422" t="s">
        <v>1057</v>
      </c>
      <c r="BR422" t="s">
        <v>84</v>
      </c>
      <c r="BS422" s="3">
        <v>45813</v>
      </c>
      <c r="BT422" s="4">
        <v>0.43263888888888891</v>
      </c>
      <c r="BU422" t="s">
        <v>1058</v>
      </c>
      <c r="BV422" t="s">
        <v>86</v>
      </c>
      <c r="BY422">
        <v>8784</v>
      </c>
      <c r="BZ422" t="s">
        <v>87</v>
      </c>
      <c r="CA422" t="s">
        <v>115</v>
      </c>
      <c r="CC422" t="s">
        <v>76</v>
      </c>
      <c r="CD422">
        <v>1619</v>
      </c>
      <c r="CE422" t="s">
        <v>166</v>
      </c>
      <c r="CF422" s="3">
        <v>45814</v>
      </c>
      <c r="CI422">
        <v>1</v>
      </c>
      <c r="CJ422">
        <v>1</v>
      </c>
      <c r="CK422">
        <v>22</v>
      </c>
      <c r="CL422" t="s">
        <v>90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"080065756544"</f>
        <v>080065756544</v>
      </c>
      <c r="F423" s="3">
        <v>45812</v>
      </c>
      <c r="G423">
        <v>202603</v>
      </c>
      <c r="H423" t="s">
        <v>75</v>
      </c>
      <c r="I423" t="s">
        <v>76</v>
      </c>
      <c r="J423" t="s">
        <v>77</v>
      </c>
      <c r="K423" t="s">
        <v>78</v>
      </c>
      <c r="L423" t="s">
        <v>504</v>
      </c>
      <c r="M423" t="s">
        <v>505</v>
      </c>
      <c r="N423" t="s">
        <v>506</v>
      </c>
      <c r="O423" t="s">
        <v>82</v>
      </c>
      <c r="P423" t="str">
        <f>"4170042144                    "</f>
        <v xml:space="preserve">4170042144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40.49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</v>
      </c>
      <c r="BJ423">
        <v>0.2</v>
      </c>
      <c r="BK423">
        <v>1</v>
      </c>
      <c r="BL423">
        <v>134.65</v>
      </c>
      <c r="BM423">
        <v>20.2</v>
      </c>
      <c r="BN423">
        <v>154.85</v>
      </c>
      <c r="BO423">
        <v>154.85</v>
      </c>
      <c r="BQ423" t="s">
        <v>507</v>
      </c>
      <c r="BR423" t="s">
        <v>84</v>
      </c>
      <c r="BS423" s="3">
        <v>45813</v>
      </c>
      <c r="BT423" s="4">
        <v>0.3298611111111111</v>
      </c>
      <c r="BU423" t="s">
        <v>508</v>
      </c>
      <c r="BV423" t="s">
        <v>86</v>
      </c>
      <c r="BY423">
        <v>1200</v>
      </c>
      <c r="BZ423" t="s">
        <v>87</v>
      </c>
      <c r="CC423" t="s">
        <v>505</v>
      </c>
      <c r="CD423">
        <v>2740</v>
      </c>
      <c r="CE423" t="s">
        <v>89</v>
      </c>
      <c r="CF423" s="3">
        <v>45814</v>
      </c>
      <c r="CI423">
        <v>1</v>
      </c>
      <c r="CJ423">
        <v>1</v>
      </c>
      <c r="CK423">
        <v>23</v>
      </c>
      <c r="CL423" t="s">
        <v>90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"080065756582"</f>
        <v>080065756582</v>
      </c>
      <c r="F424" s="3">
        <v>45812</v>
      </c>
      <c r="G424">
        <v>202603</v>
      </c>
      <c r="H424" t="s">
        <v>75</v>
      </c>
      <c r="I424" t="s">
        <v>76</v>
      </c>
      <c r="J424" t="s">
        <v>77</v>
      </c>
      <c r="K424" t="s">
        <v>78</v>
      </c>
      <c r="L424" t="s">
        <v>174</v>
      </c>
      <c r="M424" t="s">
        <v>175</v>
      </c>
      <c r="N424" t="s">
        <v>299</v>
      </c>
      <c r="O424" t="s">
        <v>82</v>
      </c>
      <c r="P424" t="str">
        <f>"4170042142                    "</f>
        <v xml:space="preserve">4170042142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20.9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0.2</v>
      </c>
      <c r="BK424">
        <v>1</v>
      </c>
      <c r="BL424">
        <v>69.5</v>
      </c>
      <c r="BM424">
        <v>10.43</v>
      </c>
      <c r="BN424">
        <v>79.930000000000007</v>
      </c>
      <c r="BO424">
        <v>79.930000000000007</v>
      </c>
      <c r="BQ424" t="s">
        <v>300</v>
      </c>
      <c r="BR424" t="s">
        <v>84</v>
      </c>
      <c r="BS424" s="3">
        <v>45813</v>
      </c>
      <c r="BT424" s="4">
        <v>0.49166666666666664</v>
      </c>
      <c r="BU424" t="s">
        <v>1059</v>
      </c>
      <c r="BV424" t="s">
        <v>90</v>
      </c>
      <c r="BW424" t="s">
        <v>416</v>
      </c>
      <c r="BX424" t="s">
        <v>417</v>
      </c>
      <c r="BY424">
        <v>1200</v>
      </c>
      <c r="BZ424" t="s">
        <v>87</v>
      </c>
      <c r="CA424" t="s">
        <v>179</v>
      </c>
      <c r="CC424" t="s">
        <v>175</v>
      </c>
      <c r="CD424">
        <v>3600</v>
      </c>
      <c r="CE424" t="s">
        <v>89</v>
      </c>
      <c r="CF424" s="3">
        <v>45814</v>
      </c>
      <c r="CI424">
        <v>1</v>
      </c>
      <c r="CJ424">
        <v>1</v>
      </c>
      <c r="CK424">
        <v>21</v>
      </c>
      <c r="CL424" t="s">
        <v>90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"080065756605"</f>
        <v>080065756605</v>
      </c>
      <c r="F425" s="3">
        <v>45812</v>
      </c>
      <c r="G425">
        <v>202603</v>
      </c>
      <c r="H425" t="s">
        <v>75</v>
      </c>
      <c r="I425" t="s">
        <v>76</v>
      </c>
      <c r="J425" t="s">
        <v>77</v>
      </c>
      <c r="K425" t="s">
        <v>78</v>
      </c>
      <c r="L425" t="s">
        <v>331</v>
      </c>
      <c r="M425" t="s">
        <v>332</v>
      </c>
      <c r="N425" t="s">
        <v>333</v>
      </c>
      <c r="O425" t="s">
        <v>82</v>
      </c>
      <c r="P425" t="str">
        <f>"4170042136                    "</f>
        <v xml:space="preserve">4170042136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20.9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1</v>
      </c>
      <c r="BJ425">
        <v>0.2</v>
      </c>
      <c r="BK425">
        <v>1</v>
      </c>
      <c r="BL425">
        <v>69.5</v>
      </c>
      <c r="BM425">
        <v>10.43</v>
      </c>
      <c r="BN425">
        <v>79.930000000000007</v>
      </c>
      <c r="BO425">
        <v>79.930000000000007</v>
      </c>
      <c r="BQ425" t="s">
        <v>334</v>
      </c>
      <c r="BR425" t="s">
        <v>84</v>
      </c>
      <c r="BS425" s="3">
        <v>45813</v>
      </c>
      <c r="BT425" s="4">
        <v>0.34097222222222223</v>
      </c>
      <c r="BU425" t="s">
        <v>1060</v>
      </c>
      <c r="BV425" t="s">
        <v>86</v>
      </c>
      <c r="BY425">
        <v>1200</v>
      </c>
      <c r="BZ425" t="s">
        <v>87</v>
      </c>
      <c r="CA425" t="s">
        <v>1061</v>
      </c>
      <c r="CC425" t="s">
        <v>332</v>
      </c>
      <c r="CD425">
        <v>4000</v>
      </c>
      <c r="CE425" t="s">
        <v>89</v>
      </c>
      <c r="CF425" s="3">
        <v>45813</v>
      </c>
      <c r="CI425">
        <v>1</v>
      </c>
      <c r="CJ425">
        <v>1</v>
      </c>
      <c r="CK425">
        <v>21</v>
      </c>
      <c r="CL425" t="s">
        <v>90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"080065756624"</f>
        <v>080065756624</v>
      </c>
      <c r="F426" s="3">
        <v>45812</v>
      </c>
      <c r="G426">
        <v>202603</v>
      </c>
      <c r="H426" t="s">
        <v>75</v>
      </c>
      <c r="I426" t="s">
        <v>76</v>
      </c>
      <c r="J426" t="s">
        <v>77</v>
      </c>
      <c r="K426" t="s">
        <v>78</v>
      </c>
      <c r="L426" t="s">
        <v>504</v>
      </c>
      <c r="M426" t="s">
        <v>505</v>
      </c>
      <c r="N426" t="s">
        <v>506</v>
      </c>
      <c r="O426" t="s">
        <v>82</v>
      </c>
      <c r="P426" t="str">
        <f>"4170042145                    "</f>
        <v xml:space="preserve">4170042145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40.49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0.2</v>
      </c>
      <c r="BK426">
        <v>1</v>
      </c>
      <c r="BL426">
        <v>134.65</v>
      </c>
      <c r="BM426">
        <v>20.2</v>
      </c>
      <c r="BN426">
        <v>154.85</v>
      </c>
      <c r="BO426">
        <v>154.85</v>
      </c>
      <c r="BQ426" t="s">
        <v>507</v>
      </c>
      <c r="BR426" t="s">
        <v>84</v>
      </c>
      <c r="BS426" s="3">
        <v>45813</v>
      </c>
      <c r="BT426" s="4">
        <v>0.52777777777777779</v>
      </c>
      <c r="BU426" t="s">
        <v>1062</v>
      </c>
      <c r="BV426" t="s">
        <v>86</v>
      </c>
      <c r="BY426">
        <v>1200</v>
      </c>
      <c r="BZ426" t="s">
        <v>87</v>
      </c>
      <c r="CA426" t="s">
        <v>1063</v>
      </c>
      <c r="CC426" t="s">
        <v>505</v>
      </c>
      <c r="CD426">
        <v>2740</v>
      </c>
      <c r="CE426" t="s">
        <v>89</v>
      </c>
      <c r="CF426" s="3">
        <v>45814</v>
      </c>
      <c r="CI426">
        <v>1</v>
      </c>
      <c r="CJ426">
        <v>1</v>
      </c>
      <c r="CK426">
        <v>23</v>
      </c>
      <c r="CL426" t="s">
        <v>90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"080065756654"</f>
        <v>080065756654</v>
      </c>
      <c r="F427" s="3">
        <v>45812</v>
      </c>
      <c r="G427">
        <v>202603</v>
      </c>
      <c r="H427" t="s">
        <v>75</v>
      </c>
      <c r="I427" t="s">
        <v>76</v>
      </c>
      <c r="J427" t="s">
        <v>77</v>
      </c>
      <c r="K427" t="s">
        <v>78</v>
      </c>
      <c r="L427" t="s">
        <v>154</v>
      </c>
      <c r="M427" t="s">
        <v>154</v>
      </c>
      <c r="N427" t="s">
        <v>949</v>
      </c>
      <c r="O427" t="s">
        <v>82</v>
      </c>
      <c r="P427" t="str">
        <f>"4170042179                    "</f>
        <v xml:space="preserve">4170042179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40.49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</v>
      </c>
      <c r="BJ427">
        <v>0.2</v>
      </c>
      <c r="BK427">
        <v>1</v>
      </c>
      <c r="BL427">
        <v>134.65</v>
      </c>
      <c r="BM427">
        <v>20.2</v>
      </c>
      <c r="BN427">
        <v>154.85</v>
      </c>
      <c r="BO427">
        <v>154.85</v>
      </c>
      <c r="BQ427" t="s">
        <v>950</v>
      </c>
      <c r="BR427" t="s">
        <v>84</v>
      </c>
      <c r="BS427" s="3">
        <v>45813</v>
      </c>
      <c r="BT427" s="4">
        <v>0.47916666666666669</v>
      </c>
      <c r="BU427" t="s">
        <v>951</v>
      </c>
      <c r="BV427" t="s">
        <v>86</v>
      </c>
      <c r="BY427">
        <v>1200</v>
      </c>
      <c r="BZ427" t="s">
        <v>87</v>
      </c>
      <c r="CA427" t="s">
        <v>158</v>
      </c>
      <c r="CC427" t="s">
        <v>154</v>
      </c>
      <c r="CD427">
        <v>7646</v>
      </c>
      <c r="CE427" t="s">
        <v>89</v>
      </c>
      <c r="CF427" s="3">
        <v>45814</v>
      </c>
      <c r="CI427">
        <v>1</v>
      </c>
      <c r="CJ427">
        <v>1</v>
      </c>
      <c r="CK427">
        <v>23</v>
      </c>
      <c r="CL427" t="s">
        <v>90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"080065756682"</f>
        <v>080065756682</v>
      </c>
      <c r="F428" s="3">
        <v>45812</v>
      </c>
      <c r="G428">
        <v>202603</v>
      </c>
      <c r="H428" t="s">
        <v>75</v>
      </c>
      <c r="I428" t="s">
        <v>76</v>
      </c>
      <c r="J428" t="s">
        <v>77</v>
      </c>
      <c r="K428" t="s">
        <v>78</v>
      </c>
      <c r="L428" t="s">
        <v>130</v>
      </c>
      <c r="M428" t="s">
        <v>131</v>
      </c>
      <c r="N428" t="s">
        <v>1064</v>
      </c>
      <c r="O428" t="s">
        <v>82</v>
      </c>
      <c r="P428" t="str">
        <f>"4170042132                    "</f>
        <v xml:space="preserve">4170042132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16.32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2</v>
      </c>
      <c r="BK428">
        <v>2</v>
      </c>
      <c r="BL428">
        <v>54.28</v>
      </c>
      <c r="BM428">
        <v>8.14</v>
      </c>
      <c r="BN428">
        <v>62.42</v>
      </c>
      <c r="BO428">
        <v>62.42</v>
      </c>
      <c r="BQ428" t="s">
        <v>1065</v>
      </c>
      <c r="BR428" t="s">
        <v>84</v>
      </c>
      <c r="BS428" s="3">
        <v>45813</v>
      </c>
      <c r="BT428" s="4">
        <v>0.33750000000000002</v>
      </c>
      <c r="BU428" t="s">
        <v>1066</v>
      </c>
      <c r="BV428" t="s">
        <v>86</v>
      </c>
      <c r="BY428">
        <v>9900</v>
      </c>
      <c r="BZ428" t="s">
        <v>87</v>
      </c>
      <c r="CA428" t="s">
        <v>135</v>
      </c>
      <c r="CC428" t="s">
        <v>131</v>
      </c>
      <c r="CD428">
        <v>1460</v>
      </c>
      <c r="CE428" t="s">
        <v>99</v>
      </c>
      <c r="CF428" s="3">
        <v>45813</v>
      </c>
      <c r="CI428">
        <v>1</v>
      </c>
      <c r="CJ428">
        <v>1</v>
      </c>
      <c r="CK428">
        <v>22</v>
      </c>
      <c r="CL428" t="s">
        <v>90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"080065756692"</f>
        <v>080065756692</v>
      </c>
      <c r="F429" s="3">
        <v>45812</v>
      </c>
      <c r="G429">
        <v>202603</v>
      </c>
      <c r="H429" t="s">
        <v>75</v>
      </c>
      <c r="I429" t="s">
        <v>76</v>
      </c>
      <c r="J429" t="s">
        <v>77</v>
      </c>
      <c r="K429" t="s">
        <v>78</v>
      </c>
      <c r="L429" t="s">
        <v>106</v>
      </c>
      <c r="M429" t="s">
        <v>107</v>
      </c>
      <c r="N429" t="s">
        <v>744</v>
      </c>
      <c r="O429" t="s">
        <v>82</v>
      </c>
      <c r="P429" t="str">
        <f>"4170042100                    "</f>
        <v xml:space="preserve">4170042100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20.9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</v>
      </c>
      <c r="BJ429">
        <v>0.2</v>
      </c>
      <c r="BK429">
        <v>1</v>
      </c>
      <c r="BL429">
        <v>69.5</v>
      </c>
      <c r="BM429">
        <v>10.43</v>
      </c>
      <c r="BN429">
        <v>79.930000000000007</v>
      </c>
      <c r="BO429">
        <v>79.930000000000007</v>
      </c>
      <c r="BQ429" t="s">
        <v>745</v>
      </c>
      <c r="BR429" t="s">
        <v>84</v>
      </c>
      <c r="BS429" s="3">
        <v>45813</v>
      </c>
      <c r="BT429" s="4">
        <v>0.4375</v>
      </c>
      <c r="BU429" t="s">
        <v>1067</v>
      </c>
      <c r="BV429" t="s">
        <v>86</v>
      </c>
      <c r="BY429">
        <v>1200</v>
      </c>
      <c r="BZ429" t="s">
        <v>87</v>
      </c>
      <c r="CA429" t="s">
        <v>747</v>
      </c>
      <c r="CC429" t="s">
        <v>107</v>
      </c>
      <c r="CD429">
        <v>117</v>
      </c>
      <c r="CE429" t="s">
        <v>89</v>
      </c>
      <c r="CF429" s="3">
        <v>45813</v>
      </c>
      <c r="CI429">
        <v>1</v>
      </c>
      <c r="CJ429">
        <v>1</v>
      </c>
      <c r="CK429">
        <v>21</v>
      </c>
      <c r="CL429" t="s">
        <v>90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"080065756726"</f>
        <v>080065756726</v>
      </c>
      <c r="F430" s="3">
        <v>45812</v>
      </c>
      <c r="G430">
        <v>202603</v>
      </c>
      <c r="H430" t="s">
        <v>75</v>
      </c>
      <c r="I430" t="s">
        <v>76</v>
      </c>
      <c r="J430" t="s">
        <v>77</v>
      </c>
      <c r="K430" t="s">
        <v>78</v>
      </c>
      <c r="L430" t="s">
        <v>768</v>
      </c>
      <c r="M430" t="s">
        <v>769</v>
      </c>
      <c r="N430" t="s">
        <v>470</v>
      </c>
      <c r="O430" t="s">
        <v>276</v>
      </c>
      <c r="P430" t="str">
        <f>"4170042091                    "</f>
        <v xml:space="preserve">4170042091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39.19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0.2</v>
      </c>
      <c r="BK430">
        <v>1</v>
      </c>
      <c r="BL430">
        <v>130.32</v>
      </c>
      <c r="BM430">
        <v>19.55</v>
      </c>
      <c r="BN430">
        <v>149.87</v>
      </c>
      <c r="BO430">
        <v>149.87</v>
      </c>
      <c r="BQ430" t="s">
        <v>471</v>
      </c>
      <c r="BR430" t="s">
        <v>84</v>
      </c>
      <c r="BS430" s="3">
        <v>45813</v>
      </c>
      <c r="BT430" s="4">
        <v>0.40972222222222221</v>
      </c>
      <c r="BU430" t="s">
        <v>770</v>
      </c>
      <c r="BV430" t="s">
        <v>86</v>
      </c>
      <c r="BY430">
        <v>1200</v>
      </c>
      <c r="BZ430" t="s">
        <v>97</v>
      </c>
      <c r="CA430" t="s">
        <v>771</v>
      </c>
      <c r="CC430" t="s">
        <v>769</v>
      </c>
      <c r="CD430">
        <v>700</v>
      </c>
      <c r="CE430" t="s">
        <v>89</v>
      </c>
      <c r="CF430" s="3">
        <v>45813</v>
      </c>
      <c r="CI430">
        <v>1</v>
      </c>
      <c r="CJ430">
        <v>1</v>
      </c>
      <c r="CK430">
        <v>31</v>
      </c>
      <c r="CL430" t="s">
        <v>90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"080065756753"</f>
        <v>080065756753</v>
      </c>
      <c r="F431" s="3">
        <v>45812</v>
      </c>
      <c r="G431">
        <v>202603</v>
      </c>
      <c r="H431" t="s">
        <v>75</v>
      </c>
      <c r="I431" t="s">
        <v>76</v>
      </c>
      <c r="J431" t="s">
        <v>77</v>
      </c>
      <c r="K431" t="s">
        <v>78</v>
      </c>
      <c r="L431" t="s">
        <v>100</v>
      </c>
      <c r="M431" t="s">
        <v>101</v>
      </c>
      <c r="N431" t="s">
        <v>581</v>
      </c>
      <c r="O431" t="s">
        <v>82</v>
      </c>
      <c r="P431" t="str">
        <f>"4170042080                    "</f>
        <v xml:space="preserve">4170042080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62.66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6</v>
      </c>
      <c r="BJ431">
        <v>3.4</v>
      </c>
      <c r="BK431">
        <v>6</v>
      </c>
      <c r="BL431">
        <v>208.38</v>
      </c>
      <c r="BM431">
        <v>31.26</v>
      </c>
      <c r="BN431">
        <v>239.64</v>
      </c>
      <c r="BO431">
        <v>239.64</v>
      </c>
      <c r="BQ431" t="s">
        <v>582</v>
      </c>
      <c r="BR431" t="s">
        <v>84</v>
      </c>
      <c r="BS431" s="3">
        <v>45814</v>
      </c>
      <c r="BT431" s="4">
        <v>0.41041666666666665</v>
      </c>
      <c r="BU431" t="s">
        <v>1068</v>
      </c>
      <c r="BV431" t="s">
        <v>90</v>
      </c>
      <c r="BW431" t="s">
        <v>416</v>
      </c>
      <c r="BX431" t="s">
        <v>614</v>
      </c>
      <c r="BY431">
        <v>16965</v>
      </c>
      <c r="BZ431" t="s">
        <v>87</v>
      </c>
      <c r="CA431" t="s">
        <v>235</v>
      </c>
      <c r="CC431" t="s">
        <v>101</v>
      </c>
      <c r="CD431">
        <v>6056</v>
      </c>
      <c r="CE431" t="s">
        <v>99</v>
      </c>
      <c r="CF431" s="3">
        <v>45814</v>
      </c>
      <c r="CI431">
        <v>1</v>
      </c>
      <c r="CJ431">
        <v>2</v>
      </c>
      <c r="CK431">
        <v>21</v>
      </c>
      <c r="CL431" t="s">
        <v>90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"080065756760"</f>
        <v>080065756760</v>
      </c>
      <c r="F432" s="3">
        <v>45812</v>
      </c>
      <c r="G432">
        <v>202603</v>
      </c>
      <c r="H432" t="s">
        <v>75</v>
      </c>
      <c r="I432" t="s">
        <v>76</v>
      </c>
      <c r="J432" t="s">
        <v>77</v>
      </c>
      <c r="K432" t="s">
        <v>78</v>
      </c>
      <c r="L432" t="s">
        <v>106</v>
      </c>
      <c r="M432" t="s">
        <v>107</v>
      </c>
      <c r="N432" t="s">
        <v>1069</v>
      </c>
      <c r="O432" t="s">
        <v>94</v>
      </c>
      <c r="P432" t="str">
        <f>"4170042116                    "</f>
        <v xml:space="preserve">4170042116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68.77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14</v>
      </c>
      <c r="BJ432">
        <v>31.6</v>
      </c>
      <c r="BK432">
        <v>32</v>
      </c>
      <c r="BL432">
        <v>234.28</v>
      </c>
      <c r="BM432">
        <v>35.14</v>
      </c>
      <c r="BN432">
        <v>269.42</v>
      </c>
      <c r="BO432">
        <v>269.42</v>
      </c>
      <c r="BQ432" t="s">
        <v>1070</v>
      </c>
      <c r="BR432" t="s">
        <v>84</v>
      </c>
      <c r="BS432" s="3">
        <v>45813</v>
      </c>
      <c r="BT432" s="4">
        <v>0.43819444444444444</v>
      </c>
      <c r="BU432" t="s">
        <v>1071</v>
      </c>
      <c r="BV432" t="s">
        <v>86</v>
      </c>
      <c r="BY432">
        <v>157920</v>
      </c>
      <c r="BZ432" t="s">
        <v>97</v>
      </c>
      <c r="CA432" t="s">
        <v>1072</v>
      </c>
      <c r="CC432" t="s">
        <v>107</v>
      </c>
      <c r="CD432">
        <v>1</v>
      </c>
      <c r="CE432" t="s">
        <v>99</v>
      </c>
      <c r="CF432" s="3">
        <v>45814</v>
      </c>
      <c r="CI432">
        <v>1</v>
      </c>
      <c r="CJ432">
        <v>1</v>
      </c>
      <c r="CK432">
        <v>41</v>
      </c>
      <c r="CL432" t="s">
        <v>90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"080065756791"</f>
        <v>080065756791</v>
      </c>
      <c r="F433" s="3">
        <v>45812</v>
      </c>
      <c r="G433">
        <v>202603</v>
      </c>
      <c r="H433" t="s">
        <v>75</v>
      </c>
      <c r="I433" t="s">
        <v>76</v>
      </c>
      <c r="J433" t="s">
        <v>77</v>
      </c>
      <c r="K433" t="s">
        <v>78</v>
      </c>
      <c r="L433" t="s">
        <v>100</v>
      </c>
      <c r="M433" t="s">
        <v>101</v>
      </c>
      <c r="N433" t="s">
        <v>123</v>
      </c>
      <c r="O433" t="s">
        <v>82</v>
      </c>
      <c r="P433" t="str">
        <f>"4170042088                    "</f>
        <v xml:space="preserve">4170042088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20.9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2</v>
      </c>
      <c r="BJ433">
        <v>1.1000000000000001</v>
      </c>
      <c r="BK433">
        <v>2</v>
      </c>
      <c r="BL433">
        <v>69.5</v>
      </c>
      <c r="BM433">
        <v>10.43</v>
      </c>
      <c r="BN433">
        <v>79.930000000000007</v>
      </c>
      <c r="BO433">
        <v>79.930000000000007</v>
      </c>
      <c r="BQ433" t="s">
        <v>124</v>
      </c>
      <c r="BR433" t="s">
        <v>84</v>
      </c>
      <c r="BS433" s="3">
        <v>45813</v>
      </c>
      <c r="BT433" s="4">
        <v>0.58402777777777781</v>
      </c>
      <c r="BU433" t="s">
        <v>125</v>
      </c>
      <c r="BV433" t="s">
        <v>90</v>
      </c>
      <c r="BW433" t="s">
        <v>416</v>
      </c>
      <c r="BX433" t="s">
        <v>588</v>
      </c>
      <c r="BY433">
        <v>5320</v>
      </c>
      <c r="BZ433" t="s">
        <v>87</v>
      </c>
      <c r="CA433" t="s">
        <v>105</v>
      </c>
      <c r="CC433" t="s">
        <v>101</v>
      </c>
      <c r="CD433">
        <v>6001</v>
      </c>
      <c r="CE433" t="s">
        <v>99</v>
      </c>
      <c r="CF433" s="3">
        <v>45813</v>
      </c>
      <c r="CI433">
        <v>1</v>
      </c>
      <c r="CJ433">
        <v>1</v>
      </c>
      <c r="CK433">
        <v>21</v>
      </c>
      <c r="CL433" t="s">
        <v>90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"080065756795"</f>
        <v>080065756795</v>
      </c>
      <c r="F434" s="3">
        <v>45812</v>
      </c>
      <c r="G434">
        <v>202603</v>
      </c>
      <c r="H434" t="s">
        <v>75</v>
      </c>
      <c r="I434" t="s">
        <v>76</v>
      </c>
      <c r="J434" t="s">
        <v>77</v>
      </c>
      <c r="K434" t="s">
        <v>78</v>
      </c>
      <c r="L434" t="s">
        <v>331</v>
      </c>
      <c r="M434" t="s">
        <v>332</v>
      </c>
      <c r="N434" t="s">
        <v>333</v>
      </c>
      <c r="O434" t="s">
        <v>82</v>
      </c>
      <c r="P434" t="str">
        <f>"4170042085                    "</f>
        <v xml:space="preserve">4170042085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31.34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3</v>
      </c>
      <c r="BJ434">
        <v>1.8</v>
      </c>
      <c r="BK434">
        <v>3</v>
      </c>
      <c r="BL434">
        <v>104.22</v>
      </c>
      <c r="BM434">
        <v>15.63</v>
      </c>
      <c r="BN434">
        <v>119.85</v>
      </c>
      <c r="BO434">
        <v>119.85</v>
      </c>
      <c r="BQ434" t="s">
        <v>334</v>
      </c>
      <c r="BR434" t="s">
        <v>84</v>
      </c>
      <c r="BS434" s="3">
        <v>45813</v>
      </c>
      <c r="BT434" s="4">
        <v>0.34097222222222223</v>
      </c>
      <c r="BU434" t="s">
        <v>1060</v>
      </c>
      <c r="BV434" t="s">
        <v>86</v>
      </c>
      <c r="BY434">
        <v>9016</v>
      </c>
      <c r="BZ434" t="s">
        <v>87</v>
      </c>
      <c r="CA434" t="s">
        <v>1061</v>
      </c>
      <c r="CC434" t="s">
        <v>332</v>
      </c>
      <c r="CD434">
        <v>4051</v>
      </c>
      <c r="CE434" t="s">
        <v>166</v>
      </c>
      <c r="CF434" s="3">
        <v>45813</v>
      </c>
      <c r="CI434">
        <v>1</v>
      </c>
      <c r="CJ434">
        <v>1</v>
      </c>
      <c r="CK434">
        <v>21</v>
      </c>
      <c r="CL434" t="s">
        <v>90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"080065756824"</f>
        <v>080065756824</v>
      </c>
      <c r="F435" s="3">
        <v>45812</v>
      </c>
      <c r="G435">
        <v>202603</v>
      </c>
      <c r="H435" t="s">
        <v>75</v>
      </c>
      <c r="I435" t="s">
        <v>76</v>
      </c>
      <c r="J435" t="s">
        <v>77</v>
      </c>
      <c r="K435" t="s">
        <v>78</v>
      </c>
      <c r="L435" t="s">
        <v>106</v>
      </c>
      <c r="M435" t="s">
        <v>107</v>
      </c>
      <c r="N435" t="s">
        <v>509</v>
      </c>
      <c r="O435" t="s">
        <v>82</v>
      </c>
      <c r="P435" t="str">
        <f>"4170042143                    "</f>
        <v xml:space="preserve">4170042143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20.9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1.1000000000000001</v>
      </c>
      <c r="BK435">
        <v>1.5</v>
      </c>
      <c r="BL435">
        <v>69.5</v>
      </c>
      <c r="BM435">
        <v>10.43</v>
      </c>
      <c r="BN435">
        <v>79.930000000000007</v>
      </c>
      <c r="BO435">
        <v>79.930000000000007</v>
      </c>
      <c r="BQ435" t="s">
        <v>510</v>
      </c>
      <c r="BR435" t="s">
        <v>84</v>
      </c>
      <c r="BS435" s="3">
        <v>45813</v>
      </c>
      <c r="BT435" s="4">
        <v>0.34027777777777779</v>
      </c>
      <c r="BU435" t="s">
        <v>511</v>
      </c>
      <c r="BV435" t="s">
        <v>86</v>
      </c>
      <c r="BY435">
        <v>5320</v>
      </c>
      <c r="BZ435" t="s">
        <v>87</v>
      </c>
      <c r="CA435" t="s">
        <v>355</v>
      </c>
      <c r="CC435" t="s">
        <v>107</v>
      </c>
      <c r="CD435">
        <v>2</v>
      </c>
      <c r="CE435" t="s">
        <v>99</v>
      </c>
      <c r="CF435" s="3">
        <v>45813</v>
      </c>
      <c r="CI435">
        <v>1</v>
      </c>
      <c r="CJ435">
        <v>1</v>
      </c>
      <c r="CK435">
        <v>21</v>
      </c>
      <c r="CL435" t="s">
        <v>90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"080065756846"</f>
        <v>080065756846</v>
      </c>
      <c r="F436" s="3">
        <v>45812</v>
      </c>
      <c r="G436">
        <v>202603</v>
      </c>
      <c r="H436" t="s">
        <v>75</v>
      </c>
      <c r="I436" t="s">
        <v>76</v>
      </c>
      <c r="J436" t="s">
        <v>77</v>
      </c>
      <c r="K436" t="s">
        <v>78</v>
      </c>
      <c r="L436" t="s">
        <v>1073</v>
      </c>
      <c r="M436" t="s">
        <v>1074</v>
      </c>
      <c r="N436" t="s">
        <v>1075</v>
      </c>
      <c r="O436" t="s">
        <v>82</v>
      </c>
      <c r="P436" t="str">
        <f>"4170042168                    "</f>
        <v xml:space="preserve">4170042168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58.77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16.739999999999998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3</v>
      </c>
      <c r="BJ436">
        <v>2</v>
      </c>
      <c r="BK436">
        <v>3</v>
      </c>
      <c r="BL436">
        <v>212.19</v>
      </c>
      <c r="BM436">
        <v>31.83</v>
      </c>
      <c r="BN436">
        <v>244.02</v>
      </c>
      <c r="BO436">
        <v>244.02</v>
      </c>
      <c r="BQ436" t="s">
        <v>1076</v>
      </c>
      <c r="BR436" t="s">
        <v>84</v>
      </c>
      <c r="BS436" s="3">
        <v>45813</v>
      </c>
      <c r="BT436" s="4">
        <v>0.56666666666666665</v>
      </c>
      <c r="BU436" t="s">
        <v>1077</v>
      </c>
      <c r="BV436" t="s">
        <v>86</v>
      </c>
      <c r="BY436">
        <v>10125</v>
      </c>
      <c r="BZ436" t="s">
        <v>431</v>
      </c>
      <c r="CA436" t="s">
        <v>850</v>
      </c>
      <c r="CC436" t="s">
        <v>1074</v>
      </c>
      <c r="CD436">
        <v>407</v>
      </c>
      <c r="CE436" t="s">
        <v>166</v>
      </c>
      <c r="CF436" s="3">
        <v>45813</v>
      </c>
      <c r="CI436">
        <v>1</v>
      </c>
      <c r="CJ436">
        <v>1</v>
      </c>
      <c r="CK436">
        <v>23</v>
      </c>
      <c r="CL436" t="s">
        <v>90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"080065756925"</f>
        <v>080065756925</v>
      </c>
      <c r="F437" s="3">
        <v>45812</v>
      </c>
      <c r="G437">
        <v>202603</v>
      </c>
      <c r="H437" t="s">
        <v>75</v>
      </c>
      <c r="I437" t="s">
        <v>76</v>
      </c>
      <c r="J437" t="s">
        <v>77</v>
      </c>
      <c r="K437" t="s">
        <v>78</v>
      </c>
      <c r="L437" t="s">
        <v>100</v>
      </c>
      <c r="M437" t="s">
        <v>101</v>
      </c>
      <c r="N437" t="s">
        <v>1078</v>
      </c>
      <c r="O437" t="s">
        <v>82</v>
      </c>
      <c r="P437" t="str">
        <f>"4170042077                    "</f>
        <v xml:space="preserve">4170042077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52.22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5</v>
      </c>
      <c r="BJ437">
        <v>4.0999999999999996</v>
      </c>
      <c r="BK437">
        <v>5</v>
      </c>
      <c r="BL437">
        <v>173.66</v>
      </c>
      <c r="BM437">
        <v>26.05</v>
      </c>
      <c r="BN437">
        <v>199.71</v>
      </c>
      <c r="BO437">
        <v>199.71</v>
      </c>
      <c r="BQ437" t="s">
        <v>1079</v>
      </c>
      <c r="BR437" t="s">
        <v>84</v>
      </c>
      <c r="BS437" s="3">
        <v>45813</v>
      </c>
      <c r="BT437" s="4">
        <v>0.43402777777777779</v>
      </c>
      <c r="BU437" t="s">
        <v>1080</v>
      </c>
      <c r="BV437" t="s">
        <v>86</v>
      </c>
      <c r="BY437">
        <v>20280</v>
      </c>
      <c r="BZ437" t="s">
        <v>87</v>
      </c>
      <c r="CA437" t="s">
        <v>271</v>
      </c>
      <c r="CC437" t="s">
        <v>101</v>
      </c>
      <c r="CD437">
        <v>6001</v>
      </c>
      <c r="CE437" t="s">
        <v>166</v>
      </c>
      <c r="CF437" s="3">
        <v>45813</v>
      </c>
      <c r="CI437">
        <v>1</v>
      </c>
      <c r="CJ437">
        <v>1</v>
      </c>
      <c r="CK437">
        <v>21</v>
      </c>
      <c r="CL437" t="s">
        <v>90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"080065757037"</f>
        <v>080065757037</v>
      </c>
      <c r="F438" s="3">
        <v>45812</v>
      </c>
      <c r="G438">
        <v>202603</v>
      </c>
      <c r="H438" t="s">
        <v>75</v>
      </c>
      <c r="I438" t="s">
        <v>76</v>
      </c>
      <c r="J438" t="s">
        <v>77</v>
      </c>
      <c r="K438" t="s">
        <v>78</v>
      </c>
      <c r="L438" t="s">
        <v>293</v>
      </c>
      <c r="M438" t="s">
        <v>294</v>
      </c>
      <c r="N438" t="s">
        <v>1081</v>
      </c>
      <c r="O438" t="s">
        <v>82</v>
      </c>
      <c r="P438" t="str">
        <f>"4170042111                    "</f>
        <v xml:space="preserve">4170042111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40.49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1</v>
      </c>
      <c r="BJ438">
        <v>0.2</v>
      </c>
      <c r="BK438">
        <v>1</v>
      </c>
      <c r="BL438">
        <v>134.65</v>
      </c>
      <c r="BM438">
        <v>20.2</v>
      </c>
      <c r="BN438">
        <v>154.85</v>
      </c>
      <c r="BO438">
        <v>154.85</v>
      </c>
      <c r="BQ438" t="s">
        <v>1082</v>
      </c>
      <c r="BR438" t="s">
        <v>84</v>
      </c>
      <c r="BS438" s="3">
        <v>45813</v>
      </c>
      <c r="BT438" s="4">
        <v>0.4284722222222222</v>
      </c>
      <c r="BU438" t="s">
        <v>1083</v>
      </c>
      <c r="BV438" t="s">
        <v>86</v>
      </c>
      <c r="BY438">
        <v>1200</v>
      </c>
      <c r="BZ438" t="s">
        <v>87</v>
      </c>
      <c r="CA438" t="s">
        <v>298</v>
      </c>
      <c r="CC438" t="s">
        <v>294</v>
      </c>
      <c r="CD438">
        <v>1939</v>
      </c>
      <c r="CE438" t="s">
        <v>89</v>
      </c>
      <c r="CF438" s="3">
        <v>45814</v>
      </c>
      <c r="CI438">
        <v>1</v>
      </c>
      <c r="CJ438">
        <v>1</v>
      </c>
      <c r="CK438">
        <v>23</v>
      </c>
      <c r="CL438" t="s">
        <v>90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"080065757059"</f>
        <v>080065757059</v>
      </c>
      <c r="F439" s="3">
        <v>45812</v>
      </c>
      <c r="G439">
        <v>202603</v>
      </c>
      <c r="H439" t="s">
        <v>75</v>
      </c>
      <c r="I439" t="s">
        <v>76</v>
      </c>
      <c r="J439" t="s">
        <v>77</v>
      </c>
      <c r="K439" t="s">
        <v>78</v>
      </c>
      <c r="L439" t="s">
        <v>331</v>
      </c>
      <c r="M439" t="s">
        <v>332</v>
      </c>
      <c r="N439" t="s">
        <v>1084</v>
      </c>
      <c r="O439" t="s">
        <v>82</v>
      </c>
      <c r="P439" t="str">
        <f>"4170042114                    "</f>
        <v xml:space="preserve">4170042114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20.9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0.2</v>
      </c>
      <c r="BK439">
        <v>1</v>
      </c>
      <c r="BL439">
        <v>69.5</v>
      </c>
      <c r="BM439">
        <v>10.43</v>
      </c>
      <c r="BN439">
        <v>79.930000000000007</v>
      </c>
      <c r="BO439">
        <v>79.930000000000007</v>
      </c>
      <c r="BQ439" t="s">
        <v>1085</v>
      </c>
      <c r="BR439" t="s">
        <v>84</v>
      </c>
      <c r="BS439" s="3">
        <v>45813</v>
      </c>
      <c r="BT439" s="4">
        <v>0.54027777777777775</v>
      </c>
      <c r="BU439" t="s">
        <v>1086</v>
      </c>
      <c r="BV439" t="s">
        <v>90</v>
      </c>
      <c r="BW439" t="s">
        <v>416</v>
      </c>
      <c r="BX439" t="s">
        <v>417</v>
      </c>
      <c r="BY439">
        <v>1200</v>
      </c>
      <c r="BZ439" t="s">
        <v>87</v>
      </c>
      <c r="CA439" t="s">
        <v>179</v>
      </c>
      <c r="CC439" t="s">
        <v>332</v>
      </c>
      <c r="CD439">
        <v>4000</v>
      </c>
      <c r="CE439" t="s">
        <v>89</v>
      </c>
      <c r="CF439" s="3">
        <v>45814</v>
      </c>
      <c r="CI439">
        <v>1</v>
      </c>
      <c r="CJ439">
        <v>1</v>
      </c>
      <c r="CK439">
        <v>21</v>
      </c>
      <c r="CL439" t="s">
        <v>90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"080065757088"</f>
        <v>080065757088</v>
      </c>
      <c r="F440" s="3">
        <v>45812</v>
      </c>
      <c r="G440">
        <v>202603</v>
      </c>
      <c r="H440" t="s">
        <v>75</v>
      </c>
      <c r="I440" t="s">
        <v>76</v>
      </c>
      <c r="J440" t="s">
        <v>77</v>
      </c>
      <c r="K440" t="s">
        <v>78</v>
      </c>
      <c r="L440" t="s">
        <v>75</v>
      </c>
      <c r="M440" t="s">
        <v>76</v>
      </c>
      <c r="N440" t="s">
        <v>656</v>
      </c>
      <c r="O440" t="s">
        <v>82</v>
      </c>
      <c r="P440" t="str">
        <f>"4170042117                    "</f>
        <v xml:space="preserve">4170042117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16.32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1</v>
      </c>
      <c r="BJ440">
        <v>0.2</v>
      </c>
      <c r="BK440">
        <v>1</v>
      </c>
      <c r="BL440">
        <v>54.28</v>
      </c>
      <c r="BM440">
        <v>8.14</v>
      </c>
      <c r="BN440">
        <v>62.42</v>
      </c>
      <c r="BO440">
        <v>62.42</v>
      </c>
      <c r="BQ440" t="s">
        <v>657</v>
      </c>
      <c r="BR440" t="s">
        <v>84</v>
      </c>
      <c r="BS440" s="3">
        <v>45813</v>
      </c>
      <c r="BT440" s="4">
        <v>0.38194444444444442</v>
      </c>
      <c r="BU440" t="s">
        <v>232</v>
      </c>
      <c r="BV440" t="s">
        <v>86</v>
      </c>
      <c r="BY440">
        <v>1200</v>
      </c>
      <c r="BZ440" t="s">
        <v>87</v>
      </c>
      <c r="CA440" t="s">
        <v>1087</v>
      </c>
      <c r="CC440" t="s">
        <v>76</v>
      </c>
      <c r="CD440">
        <v>1619</v>
      </c>
      <c r="CE440" t="s">
        <v>89</v>
      </c>
      <c r="CF440" s="3">
        <v>45813</v>
      </c>
      <c r="CI440">
        <v>1</v>
      </c>
      <c r="CJ440">
        <v>1</v>
      </c>
      <c r="CK440">
        <v>22</v>
      </c>
      <c r="CL440" t="s">
        <v>90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"080065757112"</f>
        <v>080065757112</v>
      </c>
      <c r="F441" s="3">
        <v>45812</v>
      </c>
      <c r="G441">
        <v>202603</v>
      </c>
      <c r="H441" t="s">
        <v>75</v>
      </c>
      <c r="I441" t="s">
        <v>76</v>
      </c>
      <c r="J441" t="s">
        <v>77</v>
      </c>
      <c r="K441" t="s">
        <v>78</v>
      </c>
      <c r="L441" t="s">
        <v>321</v>
      </c>
      <c r="M441" t="s">
        <v>322</v>
      </c>
      <c r="N441" t="s">
        <v>1088</v>
      </c>
      <c r="O441" t="s">
        <v>82</v>
      </c>
      <c r="P441" t="str">
        <f>"4170042126                    "</f>
        <v xml:space="preserve">4170042126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29.39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</v>
      </c>
      <c r="BJ441">
        <v>0.2</v>
      </c>
      <c r="BK441">
        <v>1</v>
      </c>
      <c r="BL441">
        <v>97.74</v>
      </c>
      <c r="BM441">
        <v>14.66</v>
      </c>
      <c r="BN441">
        <v>112.4</v>
      </c>
      <c r="BO441">
        <v>112.4</v>
      </c>
      <c r="BQ441" t="s">
        <v>1089</v>
      </c>
      <c r="BR441" t="s">
        <v>84</v>
      </c>
      <c r="BS441" s="3">
        <v>45813</v>
      </c>
      <c r="BT441" s="4">
        <v>0.42777777777777776</v>
      </c>
      <c r="BU441" t="s">
        <v>1090</v>
      </c>
      <c r="BV441" t="s">
        <v>86</v>
      </c>
      <c r="BY441">
        <v>1200</v>
      </c>
      <c r="BZ441" t="s">
        <v>87</v>
      </c>
      <c r="CA441" t="s">
        <v>326</v>
      </c>
      <c r="CC441" t="s">
        <v>322</v>
      </c>
      <c r="CD441">
        <v>1441</v>
      </c>
      <c r="CE441" t="s">
        <v>89</v>
      </c>
      <c r="CF441" s="3">
        <v>45814</v>
      </c>
      <c r="CI441">
        <v>1</v>
      </c>
      <c r="CJ441">
        <v>1</v>
      </c>
      <c r="CK441">
        <v>24</v>
      </c>
      <c r="CL441" t="s">
        <v>90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"080065757137"</f>
        <v>080065757137</v>
      </c>
      <c r="F442" s="3">
        <v>45812</v>
      </c>
      <c r="G442">
        <v>202603</v>
      </c>
      <c r="H442" t="s">
        <v>75</v>
      </c>
      <c r="I442" t="s">
        <v>76</v>
      </c>
      <c r="J442" t="s">
        <v>77</v>
      </c>
      <c r="K442" t="s">
        <v>78</v>
      </c>
      <c r="L442" t="s">
        <v>504</v>
      </c>
      <c r="M442" t="s">
        <v>505</v>
      </c>
      <c r="N442" t="s">
        <v>506</v>
      </c>
      <c r="O442" t="s">
        <v>82</v>
      </c>
      <c r="P442" t="str">
        <f>"4170042119                    "</f>
        <v xml:space="preserve">4170042119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40.49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0.2</v>
      </c>
      <c r="BK442">
        <v>1</v>
      </c>
      <c r="BL442">
        <v>134.65</v>
      </c>
      <c r="BM442">
        <v>20.2</v>
      </c>
      <c r="BN442">
        <v>154.85</v>
      </c>
      <c r="BO442">
        <v>154.85</v>
      </c>
      <c r="BQ442" t="s">
        <v>507</v>
      </c>
      <c r="BR442" t="s">
        <v>84</v>
      </c>
      <c r="BS442" s="3">
        <v>45813</v>
      </c>
      <c r="BT442" s="4">
        <v>0.52361111111111114</v>
      </c>
      <c r="BU442" t="s">
        <v>1062</v>
      </c>
      <c r="BV442" t="s">
        <v>86</v>
      </c>
      <c r="BY442">
        <v>1200</v>
      </c>
      <c r="BZ442" t="s">
        <v>87</v>
      </c>
      <c r="CA442" t="s">
        <v>1063</v>
      </c>
      <c r="CC442" t="s">
        <v>505</v>
      </c>
      <c r="CD442">
        <v>2740</v>
      </c>
      <c r="CE442" t="s">
        <v>89</v>
      </c>
      <c r="CF442" s="3">
        <v>45814</v>
      </c>
      <c r="CI442">
        <v>1</v>
      </c>
      <c r="CJ442">
        <v>1</v>
      </c>
      <c r="CK442">
        <v>23</v>
      </c>
      <c r="CL442" t="s">
        <v>90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"080065757518"</f>
        <v>080065757518</v>
      </c>
      <c r="F443" s="3">
        <v>45812</v>
      </c>
      <c r="G443">
        <v>202603</v>
      </c>
      <c r="H443" t="s">
        <v>75</v>
      </c>
      <c r="I443" t="s">
        <v>76</v>
      </c>
      <c r="J443" t="s">
        <v>77</v>
      </c>
      <c r="K443" t="s">
        <v>78</v>
      </c>
      <c r="L443" t="s">
        <v>136</v>
      </c>
      <c r="M443" t="s">
        <v>137</v>
      </c>
      <c r="N443" t="s">
        <v>203</v>
      </c>
      <c r="O443" t="s">
        <v>82</v>
      </c>
      <c r="P443" t="str">
        <f>"009943879268                  "</f>
        <v xml:space="preserve">009943879268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47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2</v>
      </c>
      <c r="BJ443">
        <v>4.0999999999999996</v>
      </c>
      <c r="BK443">
        <v>4.5</v>
      </c>
      <c r="BL443">
        <v>156.30000000000001</v>
      </c>
      <c r="BM443">
        <v>23.45</v>
      </c>
      <c r="BN443">
        <v>179.75</v>
      </c>
      <c r="BO443">
        <v>179.75</v>
      </c>
      <c r="BQ443" t="s">
        <v>204</v>
      </c>
      <c r="BR443" t="s">
        <v>84</v>
      </c>
      <c r="BS443" s="3">
        <v>45813</v>
      </c>
      <c r="BT443" s="4">
        <v>0.47430555555555554</v>
      </c>
      <c r="BU443" t="s">
        <v>1091</v>
      </c>
      <c r="BV443" t="s">
        <v>90</v>
      </c>
      <c r="BY443">
        <v>20358</v>
      </c>
      <c r="BZ443" t="s">
        <v>87</v>
      </c>
      <c r="CC443" t="s">
        <v>137</v>
      </c>
      <c r="CD443">
        <v>5205</v>
      </c>
      <c r="CE443" t="s">
        <v>687</v>
      </c>
      <c r="CF443" s="3">
        <v>45814</v>
      </c>
      <c r="CI443">
        <v>1</v>
      </c>
      <c r="CJ443">
        <v>1</v>
      </c>
      <c r="CK443">
        <v>21</v>
      </c>
      <c r="CL443" t="s">
        <v>90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"080065757600"</f>
        <v>080065757600</v>
      </c>
      <c r="F444" s="3">
        <v>45812</v>
      </c>
      <c r="G444">
        <v>202603</v>
      </c>
      <c r="H444" t="s">
        <v>75</v>
      </c>
      <c r="I444" t="s">
        <v>76</v>
      </c>
      <c r="J444" t="s">
        <v>77</v>
      </c>
      <c r="K444" t="s">
        <v>78</v>
      </c>
      <c r="L444" t="s">
        <v>130</v>
      </c>
      <c r="M444" t="s">
        <v>131</v>
      </c>
      <c r="N444" t="s">
        <v>1045</v>
      </c>
      <c r="O444" t="s">
        <v>82</v>
      </c>
      <c r="P444" t="str">
        <f>"4170042108                    "</f>
        <v xml:space="preserve">4170042108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16.32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0.2</v>
      </c>
      <c r="BK444">
        <v>1</v>
      </c>
      <c r="BL444">
        <v>54.28</v>
      </c>
      <c r="BM444">
        <v>8.14</v>
      </c>
      <c r="BN444">
        <v>62.42</v>
      </c>
      <c r="BO444">
        <v>62.42</v>
      </c>
      <c r="BQ444" t="s">
        <v>1046</v>
      </c>
      <c r="BR444" t="s">
        <v>84</v>
      </c>
      <c r="BS444" s="3">
        <v>45813</v>
      </c>
      <c r="BT444" s="4">
        <v>0.37291666666666667</v>
      </c>
      <c r="BU444" t="s">
        <v>1047</v>
      </c>
      <c r="BV444" t="s">
        <v>86</v>
      </c>
      <c r="BY444">
        <v>1200</v>
      </c>
      <c r="BZ444" t="s">
        <v>87</v>
      </c>
      <c r="CA444" t="s">
        <v>425</v>
      </c>
      <c r="CC444" t="s">
        <v>131</v>
      </c>
      <c r="CD444">
        <v>1459</v>
      </c>
      <c r="CE444" t="s">
        <v>89</v>
      </c>
      <c r="CF444" s="3">
        <v>45813</v>
      </c>
      <c r="CI444">
        <v>1</v>
      </c>
      <c r="CJ444">
        <v>1</v>
      </c>
      <c r="CK444">
        <v>22</v>
      </c>
      <c r="CL444" t="s">
        <v>90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"080065757637"</f>
        <v>080065757637</v>
      </c>
      <c r="F445" s="3">
        <v>45812</v>
      </c>
      <c r="G445">
        <v>202603</v>
      </c>
      <c r="H445" t="s">
        <v>75</v>
      </c>
      <c r="I445" t="s">
        <v>76</v>
      </c>
      <c r="J445" t="s">
        <v>77</v>
      </c>
      <c r="K445" t="s">
        <v>78</v>
      </c>
      <c r="L445" t="s">
        <v>100</v>
      </c>
      <c r="M445" t="s">
        <v>101</v>
      </c>
      <c r="N445" t="s">
        <v>564</v>
      </c>
      <c r="O445" t="s">
        <v>82</v>
      </c>
      <c r="P445" t="str">
        <f>"4170042103                    "</f>
        <v xml:space="preserve">4170042103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47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4</v>
      </c>
      <c r="BJ445">
        <v>4.3</v>
      </c>
      <c r="BK445">
        <v>4.5</v>
      </c>
      <c r="BL445">
        <v>156.30000000000001</v>
      </c>
      <c r="BM445">
        <v>23.45</v>
      </c>
      <c r="BN445">
        <v>179.75</v>
      </c>
      <c r="BO445">
        <v>179.75</v>
      </c>
      <c r="BQ445" t="s">
        <v>565</v>
      </c>
      <c r="BR445" t="s">
        <v>84</v>
      </c>
      <c r="BS445" s="3">
        <v>45814</v>
      </c>
      <c r="BT445" s="4">
        <v>0.39513888888888887</v>
      </c>
      <c r="BU445" t="s">
        <v>566</v>
      </c>
      <c r="BV445" t="s">
        <v>90</v>
      </c>
      <c r="BW445" t="s">
        <v>416</v>
      </c>
      <c r="BX445" t="s">
        <v>614</v>
      </c>
      <c r="BY445">
        <v>21692</v>
      </c>
      <c r="BZ445" t="s">
        <v>87</v>
      </c>
      <c r="CA445" t="s">
        <v>223</v>
      </c>
      <c r="CC445" t="s">
        <v>101</v>
      </c>
      <c r="CD445">
        <v>6001</v>
      </c>
      <c r="CE445" t="s">
        <v>166</v>
      </c>
      <c r="CF445" s="3">
        <v>45814</v>
      </c>
      <c r="CI445">
        <v>1</v>
      </c>
      <c r="CJ445">
        <v>2</v>
      </c>
      <c r="CK445">
        <v>21</v>
      </c>
      <c r="CL445" t="s">
        <v>90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"080065757664"</f>
        <v>080065757664</v>
      </c>
      <c r="F446" s="3">
        <v>45812</v>
      </c>
      <c r="G446">
        <v>202603</v>
      </c>
      <c r="H446" t="s">
        <v>75</v>
      </c>
      <c r="I446" t="s">
        <v>76</v>
      </c>
      <c r="J446" t="s">
        <v>77</v>
      </c>
      <c r="K446" t="s">
        <v>78</v>
      </c>
      <c r="L446" t="s">
        <v>136</v>
      </c>
      <c r="M446" t="s">
        <v>137</v>
      </c>
      <c r="N446" t="s">
        <v>317</v>
      </c>
      <c r="O446" t="s">
        <v>82</v>
      </c>
      <c r="P446" t="str">
        <f>"4170042120                    "</f>
        <v xml:space="preserve">4170042120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20.9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</v>
      </c>
      <c r="BJ446">
        <v>0.6</v>
      </c>
      <c r="BK446">
        <v>1</v>
      </c>
      <c r="BL446">
        <v>69.5</v>
      </c>
      <c r="BM446">
        <v>10.43</v>
      </c>
      <c r="BN446">
        <v>79.930000000000007</v>
      </c>
      <c r="BO446">
        <v>79.930000000000007</v>
      </c>
      <c r="BQ446" t="s">
        <v>318</v>
      </c>
      <c r="BR446" t="s">
        <v>84</v>
      </c>
      <c r="BS446" s="3">
        <v>45813</v>
      </c>
      <c r="BT446" s="4">
        <v>0.4375</v>
      </c>
      <c r="BU446" t="s">
        <v>1092</v>
      </c>
      <c r="BV446" t="s">
        <v>86</v>
      </c>
      <c r="BY446">
        <v>3192</v>
      </c>
      <c r="BZ446" t="s">
        <v>87</v>
      </c>
      <c r="CA446" t="s">
        <v>320</v>
      </c>
      <c r="CC446" t="s">
        <v>137</v>
      </c>
      <c r="CD446">
        <v>5201</v>
      </c>
      <c r="CE446" t="s">
        <v>180</v>
      </c>
      <c r="CF446" s="3">
        <v>45814</v>
      </c>
      <c r="CI446">
        <v>1</v>
      </c>
      <c r="CJ446">
        <v>1</v>
      </c>
      <c r="CK446">
        <v>21</v>
      </c>
      <c r="CL446" t="s">
        <v>90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"080065758301"</f>
        <v>080065758301</v>
      </c>
      <c r="F447" s="3">
        <v>45812</v>
      </c>
      <c r="G447">
        <v>202603</v>
      </c>
      <c r="H447" t="s">
        <v>75</v>
      </c>
      <c r="I447" t="s">
        <v>76</v>
      </c>
      <c r="J447" t="s">
        <v>77</v>
      </c>
      <c r="K447" t="s">
        <v>78</v>
      </c>
      <c r="L447" t="s">
        <v>75</v>
      </c>
      <c r="M447" t="s">
        <v>76</v>
      </c>
      <c r="N447" t="s">
        <v>656</v>
      </c>
      <c r="O447" t="s">
        <v>82</v>
      </c>
      <c r="P447" t="str">
        <f>"4170042193                    "</f>
        <v xml:space="preserve">4170042193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16.32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2</v>
      </c>
      <c r="BJ447">
        <v>3.4</v>
      </c>
      <c r="BK447">
        <v>4</v>
      </c>
      <c r="BL447">
        <v>54.28</v>
      </c>
      <c r="BM447">
        <v>8.14</v>
      </c>
      <c r="BN447">
        <v>62.42</v>
      </c>
      <c r="BO447">
        <v>62.42</v>
      </c>
      <c r="BQ447" t="s">
        <v>657</v>
      </c>
      <c r="BR447" t="s">
        <v>84</v>
      </c>
      <c r="BS447" s="3">
        <v>45813</v>
      </c>
      <c r="BT447" s="4">
        <v>0.38194444444444442</v>
      </c>
      <c r="BU447" t="s">
        <v>232</v>
      </c>
      <c r="BV447" t="s">
        <v>86</v>
      </c>
      <c r="BY447">
        <v>16965</v>
      </c>
      <c r="BZ447" t="s">
        <v>87</v>
      </c>
      <c r="CA447" t="s">
        <v>1087</v>
      </c>
      <c r="CC447" t="s">
        <v>76</v>
      </c>
      <c r="CD447">
        <v>1619</v>
      </c>
      <c r="CE447" t="s">
        <v>99</v>
      </c>
      <c r="CF447" s="3">
        <v>45813</v>
      </c>
      <c r="CI447">
        <v>1</v>
      </c>
      <c r="CJ447">
        <v>1</v>
      </c>
      <c r="CK447">
        <v>22</v>
      </c>
      <c r="CL447" t="s">
        <v>90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"080065758312"</f>
        <v>080065758312</v>
      </c>
      <c r="F448" s="3">
        <v>45812</v>
      </c>
      <c r="G448">
        <v>202603</v>
      </c>
      <c r="H448" t="s">
        <v>75</v>
      </c>
      <c r="I448" t="s">
        <v>76</v>
      </c>
      <c r="J448" t="s">
        <v>77</v>
      </c>
      <c r="K448" t="s">
        <v>78</v>
      </c>
      <c r="L448" t="s">
        <v>91</v>
      </c>
      <c r="M448" t="s">
        <v>92</v>
      </c>
      <c r="N448" t="s">
        <v>1093</v>
      </c>
      <c r="O448" t="s">
        <v>82</v>
      </c>
      <c r="P448" t="str">
        <f>"4170042115                    "</f>
        <v xml:space="preserve">4170042115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20.9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0.2</v>
      </c>
      <c r="BK448">
        <v>1</v>
      </c>
      <c r="BL448">
        <v>69.5</v>
      </c>
      <c r="BM448">
        <v>10.43</v>
      </c>
      <c r="BN448">
        <v>79.930000000000007</v>
      </c>
      <c r="BO448">
        <v>79.930000000000007</v>
      </c>
      <c r="BQ448" t="s">
        <v>1094</v>
      </c>
      <c r="BR448" t="s">
        <v>84</v>
      </c>
      <c r="BS448" s="3">
        <v>45813</v>
      </c>
      <c r="BT448" s="4">
        <v>0.35902777777777778</v>
      </c>
      <c r="BU448" t="s">
        <v>1095</v>
      </c>
      <c r="BV448" t="s">
        <v>86</v>
      </c>
      <c r="BY448">
        <v>1200</v>
      </c>
      <c r="BZ448" t="s">
        <v>87</v>
      </c>
      <c r="CA448" t="s">
        <v>955</v>
      </c>
      <c r="CC448" t="s">
        <v>92</v>
      </c>
      <c r="CD448">
        <v>7945</v>
      </c>
      <c r="CE448" t="s">
        <v>89</v>
      </c>
      <c r="CF448" s="3">
        <v>45814</v>
      </c>
      <c r="CI448">
        <v>1</v>
      </c>
      <c r="CJ448">
        <v>1</v>
      </c>
      <c r="CK448">
        <v>21</v>
      </c>
      <c r="CL448" t="s">
        <v>90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"080065758318"</f>
        <v>080065758318</v>
      </c>
      <c r="F449" s="3">
        <v>45812</v>
      </c>
      <c r="G449">
        <v>202603</v>
      </c>
      <c r="H449" t="s">
        <v>75</v>
      </c>
      <c r="I449" t="s">
        <v>76</v>
      </c>
      <c r="J449" t="s">
        <v>77</v>
      </c>
      <c r="K449" t="s">
        <v>78</v>
      </c>
      <c r="L449" t="s">
        <v>100</v>
      </c>
      <c r="M449" t="s">
        <v>101</v>
      </c>
      <c r="N449" t="s">
        <v>585</v>
      </c>
      <c r="O449" t="s">
        <v>82</v>
      </c>
      <c r="P449" t="str">
        <f>"4170042175                    "</f>
        <v xml:space="preserve">4170042175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20.9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2</v>
      </c>
      <c r="BJ449">
        <v>1.4</v>
      </c>
      <c r="BK449">
        <v>2</v>
      </c>
      <c r="BL449">
        <v>69.5</v>
      </c>
      <c r="BM449">
        <v>10.43</v>
      </c>
      <c r="BN449">
        <v>79.930000000000007</v>
      </c>
      <c r="BO449">
        <v>79.930000000000007</v>
      </c>
      <c r="BQ449" t="s">
        <v>586</v>
      </c>
      <c r="BR449" t="s">
        <v>84</v>
      </c>
      <c r="BS449" s="3">
        <v>45813</v>
      </c>
      <c r="BT449" s="4">
        <v>0.40972222222222221</v>
      </c>
      <c r="BU449" t="s">
        <v>1096</v>
      </c>
      <c r="BV449" t="s">
        <v>86</v>
      </c>
      <c r="BY449">
        <v>7000</v>
      </c>
      <c r="BZ449" t="s">
        <v>87</v>
      </c>
      <c r="CA449" t="s">
        <v>589</v>
      </c>
      <c r="CC449" t="s">
        <v>101</v>
      </c>
      <c r="CD449">
        <v>6001</v>
      </c>
      <c r="CE449" t="s">
        <v>99</v>
      </c>
      <c r="CF449" s="3">
        <v>45813</v>
      </c>
      <c r="CI449">
        <v>1</v>
      </c>
      <c r="CJ449">
        <v>1</v>
      </c>
      <c r="CK449">
        <v>21</v>
      </c>
      <c r="CL449" t="s">
        <v>90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"080065758319"</f>
        <v>080065758319</v>
      </c>
      <c r="F450" s="3">
        <v>45812</v>
      </c>
      <c r="G450">
        <v>202603</v>
      </c>
      <c r="H450" t="s">
        <v>75</v>
      </c>
      <c r="I450" t="s">
        <v>76</v>
      </c>
      <c r="J450" t="s">
        <v>77</v>
      </c>
      <c r="K450" t="s">
        <v>78</v>
      </c>
      <c r="L450" t="s">
        <v>100</v>
      </c>
      <c r="M450" t="s">
        <v>101</v>
      </c>
      <c r="N450" t="s">
        <v>564</v>
      </c>
      <c r="O450" t="s">
        <v>82</v>
      </c>
      <c r="P450" t="str">
        <f>"4170042102                    "</f>
        <v xml:space="preserve">4170042102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20.9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1</v>
      </c>
      <c r="BJ450">
        <v>0.2</v>
      </c>
      <c r="BK450">
        <v>1</v>
      </c>
      <c r="BL450">
        <v>69.5</v>
      </c>
      <c r="BM450">
        <v>10.43</v>
      </c>
      <c r="BN450">
        <v>79.930000000000007</v>
      </c>
      <c r="BO450">
        <v>79.930000000000007</v>
      </c>
      <c r="BQ450" t="s">
        <v>565</v>
      </c>
      <c r="BR450" t="s">
        <v>84</v>
      </c>
      <c r="BS450" s="3">
        <v>45813</v>
      </c>
      <c r="BT450" s="4">
        <v>0.43333333333333335</v>
      </c>
      <c r="BU450" t="s">
        <v>962</v>
      </c>
      <c r="BV450" t="s">
        <v>86</v>
      </c>
      <c r="BY450">
        <v>1200</v>
      </c>
      <c r="BZ450" t="s">
        <v>87</v>
      </c>
      <c r="CA450" t="s">
        <v>223</v>
      </c>
      <c r="CC450" t="s">
        <v>101</v>
      </c>
      <c r="CD450">
        <v>6001</v>
      </c>
      <c r="CE450" t="s">
        <v>89</v>
      </c>
      <c r="CF450" s="3">
        <v>45813</v>
      </c>
      <c r="CI450">
        <v>1</v>
      </c>
      <c r="CJ450">
        <v>1</v>
      </c>
      <c r="CK450">
        <v>21</v>
      </c>
      <c r="CL450" t="s">
        <v>90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"080065758324"</f>
        <v>080065758324</v>
      </c>
      <c r="F451" s="3">
        <v>45812</v>
      </c>
      <c r="G451">
        <v>202603</v>
      </c>
      <c r="H451" t="s">
        <v>75</v>
      </c>
      <c r="I451" t="s">
        <v>76</v>
      </c>
      <c r="J451" t="s">
        <v>77</v>
      </c>
      <c r="K451" t="s">
        <v>78</v>
      </c>
      <c r="L451" t="s">
        <v>1097</v>
      </c>
      <c r="M451" t="s">
        <v>1098</v>
      </c>
      <c r="N451" t="s">
        <v>1099</v>
      </c>
      <c r="O451" t="s">
        <v>276</v>
      </c>
      <c r="P451" t="str">
        <f>"4170042089                    "</f>
        <v xml:space="preserve">4170042089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27.32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14</v>
      </c>
      <c r="BJ451">
        <v>8.9</v>
      </c>
      <c r="BK451">
        <v>14</v>
      </c>
      <c r="BL451">
        <v>90.85</v>
      </c>
      <c r="BM451">
        <v>13.63</v>
      </c>
      <c r="BN451">
        <v>104.48</v>
      </c>
      <c r="BO451">
        <v>104.48</v>
      </c>
      <c r="BQ451" t="s">
        <v>1100</v>
      </c>
      <c r="BR451" t="s">
        <v>84</v>
      </c>
      <c r="BS451" s="3">
        <v>45813</v>
      </c>
      <c r="BT451" s="4">
        <v>0.37152777777777779</v>
      </c>
      <c r="BU451" t="s">
        <v>1101</v>
      </c>
      <c r="BV451" t="s">
        <v>86</v>
      </c>
      <c r="BY451">
        <v>44640</v>
      </c>
      <c r="BZ451" t="s">
        <v>97</v>
      </c>
      <c r="CA451" t="s">
        <v>1102</v>
      </c>
      <c r="CC451" t="s">
        <v>1098</v>
      </c>
      <c r="CD451">
        <v>1451</v>
      </c>
      <c r="CE451" t="s">
        <v>99</v>
      </c>
      <c r="CF451" s="3">
        <v>45813</v>
      </c>
      <c r="CI451">
        <v>1</v>
      </c>
      <c r="CJ451">
        <v>1</v>
      </c>
      <c r="CK451">
        <v>32</v>
      </c>
      <c r="CL451" t="s">
        <v>90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"080065758344"</f>
        <v>080065758344</v>
      </c>
      <c r="F452" s="3">
        <v>45812</v>
      </c>
      <c r="G452">
        <v>202603</v>
      </c>
      <c r="H452" t="s">
        <v>75</v>
      </c>
      <c r="I452" t="s">
        <v>76</v>
      </c>
      <c r="J452" t="s">
        <v>77</v>
      </c>
      <c r="K452" t="s">
        <v>78</v>
      </c>
      <c r="L452" t="s">
        <v>75</v>
      </c>
      <c r="M452" t="s">
        <v>76</v>
      </c>
      <c r="N452" t="s">
        <v>1103</v>
      </c>
      <c r="O452" t="s">
        <v>82</v>
      </c>
      <c r="P452" t="str">
        <f>"4170042183                    "</f>
        <v xml:space="preserve">4170042183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16.32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0.2</v>
      </c>
      <c r="BK452">
        <v>1</v>
      </c>
      <c r="BL452">
        <v>54.28</v>
      </c>
      <c r="BM452">
        <v>8.14</v>
      </c>
      <c r="BN452">
        <v>62.42</v>
      </c>
      <c r="BO452">
        <v>62.42</v>
      </c>
      <c r="BQ452" t="s">
        <v>1104</v>
      </c>
      <c r="BR452" t="s">
        <v>84</v>
      </c>
      <c r="BS452" s="3">
        <v>45813</v>
      </c>
      <c r="BT452" s="4">
        <v>0.39791666666666664</v>
      </c>
      <c r="BU452" t="s">
        <v>1105</v>
      </c>
      <c r="BV452" t="s">
        <v>86</v>
      </c>
      <c r="BY452">
        <v>1200</v>
      </c>
      <c r="BZ452" t="s">
        <v>87</v>
      </c>
      <c r="CA452" t="s">
        <v>193</v>
      </c>
      <c r="CC452" t="s">
        <v>76</v>
      </c>
      <c r="CD452">
        <v>1619</v>
      </c>
      <c r="CE452" t="s">
        <v>89</v>
      </c>
      <c r="CF452" s="3">
        <v>45813</v>
      </c>
      <c r="CI452">
        <v>1</v>
      </c>
      <c r="CJ452">
        <v>1</v>
      </c>
      <c r="CK452">
        <v>22</v>
      </c>
      <c r="CL452" t="s">
        <v>90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"080065758380"</f>
        <v>080065758380</v>
      </c>
      <c r="F453" s="3">
        <v>45812</v>
      </c>
      <c r="G453">
        <v>202603</v>
      </c>
      <c r="H453" t="s">
        <v>75</v>
      </c>
      <c r="I453" t="s">
        <v>76</v>
      </c>
      <c r="J453" t="s">
        <v>77</v>
      </c>
      <c r="K453" t="s">
        <v>78</v>
      </c>
      <c r="L453" t="s">
        <v>91</v>
      </c>
      <c r="M453" t="s">
        <v>92</v>
      </c>
      <c r="N453" t="s">
        <v>540</v>
      </c>
      <c r="O453" t="s">
        <v>82</v>
      </c>
      <c r="P453" t="str">
        <f>"4170042181                    "</f>
        <v xml:space="preserve">4170042181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20.9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0.2</v>
      </c>
      <c r="BK453">
        <v>1</v>
      </c>
      <c r="BL453">
        <v>69.5</v>
      </c>
      <c r="BM453">
        <v>10.43</v>
      </c>
      <c r="BN453">
        <v>79.930000000000007</v>
      </c>
      <c r="BO453">
        <v>79.930000000000007</v>
      </c>
      <c r="BQ453" t="s">
        <v>541</v>
      </c>
      <c r="BR453" t="s">
        <v>84</v>
      </c>
      <c r="BS453" s="3">
        <v>45813</v>
      </c>
      <c r="BT453" s="4">
        <v>0.4152777777777778</v>
      </c>
      <c r="BU453" t="s">
        <v>1106</v>
      </c>
      <c r="BV453" t="s">
        <v>86</v>
      </c>
      <c r="BY453">
        <v>1200</v>
      </c>
      <c r="BZ453" t="s">
        <v>87</v>
      </c>
      <c r="CA453" t="s">
        <v>291</v>
      </c>
      <c r="CC453" t="s">
        <v>92</v>
      </c>
      <c r="CD453">
        <v>7441</v>
      </c>
      <c r="CE453" t="s">
        <v>89</v>
      </c>
      <c r="CF453" s="3">
        <v>45814</v>
      </c>
      <c r="CI453">
        <v>1</v>
      </c>
      <c r="CJ453">
        <v>1</v>
      </c>
      <c r="CK453">
        <v>21</v>
      </c>
      <c r="CL453" t="s">
        <v>90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"080065758393"</f>
        <v>080065758393</v>
      </c>
      <c r="F454" s="3">
        <v>45812</v>
      </c>
      <c r="G454">
        <v>202603</v>
      </c>
      <c r="H454" t="s">
        <v>75</v>
      </c>
      <c r="I454" t="s">
        <v>76</v>
      </c>
      <c r="J454" t="s">
        <v>77</v>
      </c>
      <c r="K454" t="s">
        <v>78</v>
      </c>
      <c r="L454" t="s">
        <v>331</v>
      </c>
      <c r="M454" t="s">
        <v>332</v>
      </c>
      <c r="N454" t="s">
        <v>333</v>
      </c>
      <c r="O454" t="s">
        <v>82</v>
      </c>
      <c r="P454" t="str">
        <f>"4170042130                    "</f>
        <v xml:space="preserve">4170042130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20.9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0.2</v>
      </c>
      <c r="BK454">
        <v>1</v>
      </c>
      <c r="BL454">
        <v>69.5</v>
      </c>
      <c r="BM454">
        <v>10.43</v>
      </c>
      <c r="BN454">
        <v>79.930000000000007</v>
      </c>
      <c r="BO454">
        <v>79.930000000000007</v>
      </c>
      <c r="BQ454" t="s">
        <v>334</v>
      </c>
      <c r="BR454" t="s">
        <v>84</v>
      </c>
      <c r="BS454" s="3">
        <v>45813</v>
      </c>
      <c r="BT454" s="4">
        <v>0.34097222222222223</v>
      </c>
      <c r="BU454" t="s">
        <v>1060</v>
      </c>
      <c r="BV454" t="s">
        <v>86</v>
      </c>
      <c r="BY454">
        <v>1200</v>
      </c>
      <c r="BZ454" t="s">
        <v>87</v>
      </c>
      <c r="CA454" t="s">
        <v>1061</v>
      </c>
      <c r="CC454" t="s">
        <v>332</v>
      </c>
      <c r="CD454">
        <v>4000</v>
      </c>
      <c r="CE454" t="s">
        <v>89</v>
      </c>
      <c r="CF454" s="3">
        <v>45813</v>
      </c>
      <c r="CI454">
        <v>1</v>
      </c>
      <c r="CJ454">
        <v>1</v>
      </c>
      <c r="CK454">
        <v>21</v>
      </c>
      <c r="CL454" t="s">
        <v>90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"080065758400"</f>
        <v>080065758400</v>
      </c>
      <c r="F455" s="3">
        <v>45812</v>
      </c>
      <c r="G455">
        <v>202603</v>
      </c>
      <c r="H455" t="s">
        <v>75</v>
      </c>
      <c r="I455" t="s">
        <v>76</v>
      </c>
      <c r="J455" t="s">
        <v>77</v>
      </c>
      <c r="K455" t="s">
        <v>78</v>
      </c>
      <c r="L455" t="s">
        <v>375</v>
      </c>
      <c r="M455" t="s">
        <v>376</v>
      </c>
      <c r="N455" t="s">
        <v>386</v>
      </c>
      <c r="O455" t="s">
        <v>82</v>
      </c>
      <c r="P455" t="str">
        <f>"4170042135                    "</f>
        <v xml:space="preserve">4170042135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16.32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4</v>
      </c>
      <c r="BJ455">
        <v>1.7</v>
      </c>
      <c r="BK455">
        <v>4</v>
      </c>
      <c r="BL455">
        <v>54.28</v>
      </c>
      <c r="BM455">
        <v>8.14</v>
      </c>
      <c r="BN455">
        <v>62.42</v>
      </c>
      <c r="BO455">
        <v>62.42</v>
      </c>
      <c r="BQ455" t="s">
        <v>387</v>
      </c>
      <c r="BR455" t="s">
        <v>84</v>
      </c>
      <c r="BS455" s="3">
        <v>45813</v>
      </c>
      <c r="BT455" s="4">
        <v>0.40347222222222223</v>
      </c>
      <c r="BU455" t="s">
        <v>388</v>
      </c>
      <c r="BV455" t="s">
        <v>86</v>
      </c>
      <c r="BY455">
        <v>8512</v>
      </c>
      <c r="BZ455" t="s">
        <v>87</v>
      </c>
      <c r="CA455" t="s">
        <v>390</v>
      </c>
      <c r="CC455" t="s">
        <v>376</v>
      </c>
      <c r="CD455">
        <v>1401</v>
      </c>
      <c r="CE455" t="s">
        <v>180</v>
      </c>
      <c r="CF455" s="3">
        <v>45813</v>
      </c>
      <c r="CI455">
        <v>1</v>
      </c>
      <c r="CJ455">
        <v>1</v>
      </c>
      <c r="CK455">
        <v>22</v>
      </c>
      <c r="CL455" t="s">
        <v>90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"080065758499"</f>
        <v>080065758499</v>
      </c>
      <c r="F456" s="3">
        <v>45812</v>
      </c>
      <c r="G456">
        <v>202603</v>
      </c>
      <c r="H456" t="s">
        <v>75</v>
      </c>
      <c r="I456" t="s">
        <v>76</v>
      </c>
      <c r="J456" t="s">
        <v>77</v>
      </c>
      <c r="K456" t="s">
        <v>78</v>
      </c>
      <c r="L456" t="s">
        <v>615</v>
      </c>
      <c r="M456" t="s">
        <v>616</v>
      </c>
      <c r="N456" t="s">
        <v>863</v>
      </c>
      <c r="O456" t="s">
        <v>82</v>
      </c>
      <c r="P456" t="str">
        <f>"4170042137                    "</f>
        <v xml:space="preserve">4170042137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40.49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</v>
      </c>
      <c r="BJ456">
        <v>0.2</v>
      </c>
      <c r="BK456">
        <v>1</v>
      </c>
      <c r="BL456">
        <v>134.65</v>
      </c>
      <c r="BM456">
        <v>20.2</v>
      </c>
      <c r="BN456">
        <v>154.85</v>
      </c>
      <c r="BO456">
        <v>154.85</v>
      </c>
      <c r="BQ456" t="s">
        <v>864</v>
      </c>
      <c r="BR456" t="s">
        <v>84</v>
      </c>
      <c r="BS456" s="3">
        <v>45813</v>
      </c>
      <c r="BT456" s="4">
        <v>0.58611111111111114</v>
      </c>
      <c r="BU456" t="s">
        <v>1107</v>
      </c>
      <c r="BV456" t="s">
        <v>86</v>
      </c>
      <c r="BY456">
        <v>1200</v>
      </c>
      <c r="BZ456" t="s">
        <v>87</v>
      </c>
      <c r="CA456" t="s">
        <v>620</v>
      </c>
      <c r="CC456" t="s">
        <v>616</v>
      </c>
      <c r="CD456">
        <v>6850</v>
      </c>
      <c r="CE456" t="s">
        <v>89</v>
      </c>
      <c r="CF456" s="3">
        <v>45814</v>
      </c>
      <c r="CI456">
        <v>2</v>
      </c>
      <c r="CJ456">
        <v>1</v>
      </c>
      <c r="CK456">
        <v>23</v>
      </c>
      <c r="CL456" t="s">
        <v>90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"080065758506"</f>
        <v>080065758506</v>
      </c>
      <c r="F457" s="3">
        <v>45812</v>
      </c>
      <c r="G457">
        <v>202603</v>
      </c>
      <c r="H457" t="s">
        <v>75</v>
      </c>
      <c r="I457" t="s">
        <v>76</v>
      </c>
      <c r="J457" t="s">
        <v>77</v>
      </c>
      <c r="K457" t="s">
        <v>78</v>
      </c>
      <c r="L457" t="s">
        <v>116</v>
      </c>
      <c r="M457" t="s">
        <v>117</v>
      </c>
      <c r="N457" t="s">
        <v>936</v>
      </c>
      <c r="O457" t="s">
        <v>82</v>
      </c>
      <c r="P457" t="str">
        <f>"4170042188                    "</f>
        <v xml:space="preserve">4170042188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20.9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2</v>
      </c>
      <c r="BJ457">
        <v>1.1000000000000001</v>
      </c>
      <c r="BK457">
        <v>2</v>
      </c>
      <c r="BL457">
        <v>69.5</v>
      </c>
      <c r="BM457">
        <v>10.43</v>
      </c>
      <c r="BN457">
        <v>79.930000000000007</v>
      </c>
      <c r="BO457">
        <v>79.930000000000007</v>
      </c>
      <c r="BQ457" t="s">
        <v>937</v>
      </c>
      <c r="BR457" t="s">
        <v>84</v>
      </c>
      <c r="BS457" s="3">
        <v>45813</v>
      </c>
      <c r="BT457" s="4">
        <v>0.39861111111111114</v>
      </c>
      <c r="BU457" t="s">
        <v>1108</v>
      </c>
      <c r="BV457" t="s">
        <v>86</v>
      </c>
      <c r="BY457">
        <v>5320</v>
      </c>
      <c r="BZ457" t="s">
        <v>87</v>
      </c>
      <c r="CA457" t="s">
        <v>939</v>
      </c>
      <c r="CC457" t="s">
        <v>117</v>
      </c>
      <c r="CD457">
        <v>3201</v>
      </c>
      <c r="CE457" t="s">
        <v>180</v>
      </c>
      <c r="CF457" s="3">
        <v>45813</v>
      </c>
      <c r="CI457">
        <v>1</v>
      </c>
      <c r="CJ457">
        <v>1</v>
      </c>
      <c r="CK457">
        <v>21</v>
      </c>
      <c r="CL457" t="s">
        <v>90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"080065758523"</f>
        <v>080065758523</v>
      </c>
      <c r="F458" s="3">
        <v>45812</v>
      </c>
      <c r="G458">
        <v>202603</v>
      </c>
      <c r="H458" t="s">
        <v>75</v>
      </c>
      <c r="I458" t="s">
        <v>76</v>
      </c>
      <c r="J458" t="s">
        <v>77</v>
      </c>
      <c r="K458" t="s">
        <v>78</v>
      </c>
      <c r="L458" t="s">
        <v>100</v>
      </c>
      <c r="M458" t="s">
        <v>101</v>
      </c>
      <c r="N458" t="s">
        <v>1013</v>
      </c>
      <c r="O458" t="s">
        <v>82</v>
      </c>
      <c r="P458" t="str">
        <f>"4170042087                    "</f>
        <v xml:space="preserve">4170042087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20.9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0.2</v>
      </c>
      <c r="BK458">
        <v>1</v>
      </c>
      <c r="BL458">
        <v>69.5</v>
      </c>
      <c r="BM458">
        <v>10.43</v>
      </c>
      <c r="BN458">
        <v>79.930000000000007</v>
      </c>
      <c r="BO458">
        <v>79.930000000000007</v>
      </c>
      <c r="BQ458" t="s">
        <v>1014</v>
      </c>
      <c r="BR458" t="s">
        <v>84</v>
      </c>
      <c r="BS458" s="3">
        <v>45813</v>
      </c>
      <c r="BT458" s="4">
        <v>0.40972222222222221</v>
      </c>
      <c r="BU458" t="s">
        <v>1015</v>
      </c>
      <c r="BV458" t="s">
        <v>86</v>
      </c>
      <c r="BY458">
        <v>1200</v>
      </c>
      <c r="BZ458" t="s">
        <v>87</v>
      </c>
      <c r="CA458" t="s">
        <v>235</v>
      </c>
      <c r="CC458" t="s">
        <v>101</v>
      </c>
      <c r="CD458">
        <v>6001</v>
      </c>
      <c r="CE458" t="s">
        <v>89</v>
      </c>
      <c r="CF458" s="3">
        <v>45813</v>
      </c>
      <c r="CI458">
        <v>1</v>
      </c>
      <c r="CJ458">
        <v>1</v>
      </c>
      <c r="CK458">
        <v>21</v>
      </c>
      <c r="CL458" t="s">
        <v>90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"080065758533"</f>
        <v>080065758533</v>
      </c>
      <c r="F459" s="3">
        <v>45812</v>
      </c>
      <c r="G459">
        <v>202603</v>
      </c>
      <c r="H459" t="s">
        <v>75</v>
      </c>
      <c r="I459" t="s">
        <v>76</v>
      </c>
      <c r="J459" t="s">
        <v>77</v>
      </c>
      <c r="K459" t="s">
        <v>78</v>
      </c>
      <c r="L459" t="s">
        <v>375</v>
      </c>
      <c r="M459" t="s">
        <v>376</v>
      </c>
      <c r="N459" t="s">
        <v>1109</v>
      </c>
      <c r="O459" t="s">
        <v>82</v>
      </c>
      <c r="P459" t="str">
        <f>"4170042176                    "</f>
        <v xml:space="preserve">4170042176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16.32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3</v>
      </c>
      <c r="BJ459">
        <v>1.6</v>
      </c>
      <c r="BK459">
        <v>3</v>
      </c>
      <c r="BL459">
        <v>54.28</v>
      </c>
      <c r="BM459">
        <v>8.14</v>
      </c>
      <c r="BN459">
        <v>62.42</v>
      </c>
      <c r="BO459">
        <v>62.42</v>
      </c>
      <c r="BQ459" t="s">
        <v>1110</v>
      </c>
      <c r="BR459" t="s">
        <v>84</v>
      </c>
      <c r="BS459" s="3">
        <v>45813</v>
      </c>
      <c r="BT459" s="4">
        <v>0.39583333333333331</v>
      </c>
      <c r="BU459" t="s">
        <v>1111</v>
      </c>
      <c r="BV459" t="s">
        <v>86</v>
      </c>
      <c r="BY459">
        <v>7840</v>
      </c>
      <c r="BZ459" t="s">
        <v>87</v>
      </c>
      <c r="CA459" t="s">
        <v>380</v>
      </c>
      <c r="CC459" t="s">
        <v>376</v>
      </c>
      <c r="CD459">
        <v>1401</v>
      </c>
      <c r="CE459" t="s">
        <v>166</v>
      </c>
      <c r="CF459" s="3">
        <v>45813</v>
      </c>
      <c r="CI459">
        <v>1</v>
      </c>
      <c r="CJ459">
        <v>1</v>
      </c>
      <c r="CK459">
        <v>22</v>
      </c>
      <c r="CL459" t="s">
        <v>90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"080065758538"</f>
        <v>080065758538</v>
      </c>
      <c r="F460" s="3">
        <v>45812</v>
      </c>
      <c r="G460">
        <v>202603</v>
      </c>
      <c r="H460" t="s">
        <v>75</v>
      </c>
      <c r="I460" t="s">
        <v>76</v>
      </c>
      <c r="J460" t="s">
        <v>77</v>
      </c>
      <c r="K460" t="s">
        <v>78</v>
      </c>
      <c r="L460" t="s">
        <v>311</v>
      </c>
      <c r="M460" t="s">
        <v>312</v>
      </c>
      <c r="N460" t="s">
        <v>1112</v>
      </c>
      <c r="O460" t="s">
        <v>82</v>
      </c>
      <c r="P460" t="str">
        <f>"4170042138                    "</f>
        <v xml:space="preserve">4170042138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40.49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0.2</v>
      </c>
      <c r="BK460">
        <v>1</v>
      </c>
      <c r="BL460">
        <v>134.65</v>
      </c>
      <c r="BM460">
        <v>20.2</v>
      </c>
      <c r="BN460">
        <v>154.85</v>
      </c>
      <c r="BO460">
        <v>154.85</v>
      </c>
      <c r="BQ460" t="s">
        <v>1113</v>
      </c>
      <c r="BR460" t="s">
        <v>84</v>
      </c>
      <c r="BS460" s="3">
        <v>45813</v>
      </c>
      <c r="BT460" s="4">
        <v>0.50347222222222221</v>
      </c>
      <c r="BU460" t="s">
        <v>1114</v>
      </c>
      <c r="BV460" t="s">
        <v>86</v>
      </c>
      <c r="BY460">
        <v>1200</v>
      </c>
      <c r="BZ460" t="s">
        <v>87</v>
      </c>
      <c r="CA460" t="s">
        <v>316</v>
      </c>
      <c r="CC460" t="s">
        <v>312</v>
      </c>
      <c r="CD460">
        <v>1020</v>
      </c>
      <c r="CE460" t="s">
        <v>89</v>
      </c>
      <c r="CF460" s="3">
        <v>45813</v>
      </c>
      <c r="CI460">
        <v>1</v>
      </c>
      <c r="CJ460">
        <v>1</v>
      </c>
      <c r="CK460">
        <v>23</v>
      </c>
      <c r="CL460" t="s">
        <v>90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"080065758572"</f>
        <v>080065758572</v>
      </c>
      <c r="F461" s="3">
        <v>45812</v>
      </c>
      <c r="G461">
        <v>202603</v>
      </c>
      <c r="H461" t="s">
        <v>75</v>
      </c>
      <c r="I461" t="s">
        <v>76</v>
      </c>
      <c r="J461" t="s">
        <v>77</v>
      </c>
      <c r="K461" t="s">
        <v>78</v>
      </c>
      <c r="L461" t="s">
        <v>426</v>
      </c>
      <c r="M461" t="s">
        <v>427</v>
      </c>
      <c r="N461" t="s">
        <v>428</v>
      </c>
      <c r="O461" t="s">
        <v>82</v>
      </c>
      <c r="P461" t="str">
        <f>"4170042139                    "</f>
        <v xml:space="preserve">4170042139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29.39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16.739999999999998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1</v>
      </c>
      <c r="BJ461">
        <v>0.2</v>
      </c>
      <c r="BK461">
        <v>1</v>
      </c>
      <c r="BL461">
        <v>114.48</v>
      </c>
      <c r="BM461">
        <v>17.170000000000002</v>
      </c>
      <c r="BN461">
        <v>131.65</v>
      </c>
      <c r="BO461">
        <v>131.65</v>
      </c>
      <c r="BQ461" t="s">
        <v>429</v>
      </c>
      <c r="BR461" t="s">
        <v>84</v>
      </c>
      <c r="BS461" s="3">
        <v>45813</v>
      </c>
      <c r="BT461" s="4">
        <v>0.4201388888888889</v>
      </c>
      <c r="BU461" t="s">
        <v>430</v>
      </c>
      <c r="BV461" t="s">
        <v>86</v>
      </c>
      <c r="BY461">
        <v>1200</v>
      </c>
      <c r="BZ461" t="s">
        <v>431</v>
      </c>
      <c r="CA461" t="s">
        <v>798</v>
      </c>
      <c r="CC461" t="s">
        <v>427</v>
      </c>
      <c r="CD461">
        <v>1759</v>
      </c>
      <c r="CE461" t="s">
        <v>89</v>
      </c>
      <c r="CF461" s="3">
        <v>45814</v>
      </c>
      <c r="CI461">
        <v>1</v>
      </c>
      <c r="CJ461">
        <v>1</v>
      </c>
      <c r="CK461">
        <v>24</v>
      </c>
      <c r="CL461" t="s">
        <v>90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"080065759338"</f>
        <v>080065759338</v>
      </c>
      <c r="F462" s="3">
        <v>45812</v>
      </c>
      <c r="G462">
        <v>202603</v>
      </c>
      <c r="H462" t="s">
        <v>75</v>
      </c>
      <c r="I462" t="s">
        <v>76</v>
      </c>
      <c r="J462" t="s">
        <v>77</v>
      </c>
      <c r="K462" t="s">
        <v>78</v>
      </c>
      <c r="L462" t="s">
        <v>75</v>
      </c>
      <c r="M462" t="s">
        <v>76</v>
      </c>
      <c r="N462" t="s">
        <v>112</v>
      </c>
      <c r="O462" t="s">
        <v>82</v>
      </c>
      <c r="P462" t="str">
        <f>"4170042177                    "</f>
        <v xml:space="preserve">4170042177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16.32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</v>
      </c>
      <c r="BJ462">
        <v>0.2</v>
      </c>
      <c r="BK462">
        <v>1</v>
      </c>
      <c r="BL462">
        <v>54.28</v>
      </c>
      <c r="BM462">
        <v>8.14</v>
      </c>
      <c r="BN462">
        <v>62.42</v>
      </c>
      <c r="BO462">
        <v>62.42</v>
      </c>
      <c r="BQ462" t="s">
        <v>1115</v>
      </c>
      <c r="BR462" t="s">
        <v>84</v>
      </c>
      <c r="BS462" s="3">
        <v>45813</v>
      </c>
      <c r="BT462" s="4">
        <v>0.34722222222222221</v>
      </c>
      <c r="BU462" t="s">
        <v>114</v>
      </c>
      <c r="BV462" t="s">
        <v>86</v>
      </c>
      <c r="BY462">
        <v>1200</v>
      </c>
      <c r="BZ462" t="s">
        <v>87</v>
      </c>
      <c r="CA462" t="s">
        <v>115</v>
      </c>
      <c r="CC462" t="s">
        <v>76</v>
      </c>
      <c r="CD462">
        <v>1600</v>
      </c>
      <c r="CE462" t="s">
        <v>89</v>
      </c>
      <c r="CF462" s="3">
        <v>45814</v>
      </c>
      <c r="CI462">
        <v>1</v>
      </c>
      <c r="CJ462">
        <v>1</v>
      </c>
      <c r="CK462">
        <v>22</v>
      </c>
      <c r="CL462" t="s">
        <v>90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"080065759365"</f>
        <v>080065759365</v>
      </c>
      <c r="F463" s="3">
        <v>45812</v>
      </c>
      <c r="G463">
        <v>202603</v>
      </c>
      <c r="H463" t="s">
        <v>75</v>
      </c>
      <c r="I463" t="s">
        <v>76</v>
      </c>
      <c r="J463" t="s">
        <v>77</v>
      </c>
      <c r="K463" t="s">
        <v>78</v>
      </c>
      <c r="L463" t="s">
        <v>130</v>
      </c>
      <c r="M463" t="s">
        <v>131</v>
      </c>
      <c r="N463" t="s">
        <v>653</v>
      </c>
      <c r="O463" t="s">
        <v>82</v>
      </c>
      <c r="P463" t="str">
        <f>"4170042133                    "</f>
        <v xml:space="preserve">4170042133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16.32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0.2</v>
      </c>
      <c r="BK463">
        <v>1</v>
      </c>
      <c r="BL463">
        <v>54.28</v>
      </c>
      <c r="BM463">
        <v>8.14</v>
      </c>
      <c r="BN463">
        <v>62.42</v>
      </c>
      <c r="BO463">
        <v>62.42</v>
      </c>
      <c r="BQ463" t="s">
        <v>654</v>
      </c>
      <c r="BR463" t="s">
        <v>84</v>
      </c>
      <c r="BS463" s="3">
        <v>45813</v>
      </c>
      <c r="BT463" s="4">
        <v>0.3527777777777778</v>
      </c>
      <c r="BU463" t="s">
        <v>1116</v>
      </c>
      <c r="BV463" t="s">
        <v>86</v>
      </c>
      <c r="BY463">
        <v>1200</v>
      </c>
      <c r="BZ463" t="s">
        <v>87</v>
      </c>
      <c r="CA463" t="s">
        <v>135</v>
      </c>
      <c r="CC463" t="s">
        <v>131</v>
      </c>
      <c r="CD463">
        <v>1459</v>
      </c>
      <c r="CE463" t="s">
        <v>89</v>
      </c>
      <c r="CF463" s="3">
        <v>45813</v>
      </c>
      <c r="CI463">
        <v>1</v>
      </c>
      <c r="CJ463">
        <v>1</v>
      </c>
      <c r="CK463">
        <v>22</v>
      </c>
      <c r="CL463" t="s">
        <v>90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"080065759404"</f>
        <v>080065759404</v>
      </c>
      <c r="F464" s="3">
        <v>45812</v>
      </c>
      <c r="G464">
        <v>202603</v>
      </c>
      <c r="H464" t="s">
        <v>75</v>
      </c>
      <c r="I464" t="s">
        <v>76</v>
      </c>
      <c r="J464" t="s">
        <v>77</v>
      </c>
      <c r="K464" t="s">
        <v>78</v>
      </c>
      <c r="L464" t="s">
        <v>331</v>
      </c>
      <c r="M464" t="s">
        <v>332</v>
      </c>
      <c r="N464" t="s">
        <v>333</v>
      </c>
      <c r="O464" t="s">
        <v>82</v>
      </c>
      <c r="P464" t="str">
        <f>"4170042166                    "</f>
        <v xml:space="preserve">4170042166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20.9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0.2</v>
      </c>
      <c r="BK464">
        <v>1</v>
      </c>
      <c r="BL464">
        <v>69.5</v>
      </c>
      <c r="BM464">
        <v>10.43</v>
      </c>
      <c r="BN464">
        <v>79.930000000000007</v>
      </c>
      <c r="BO464">
        <v>79.930000000000007</v>
      </c>
      <c r="BQ464" t="s">
        <v>334</v>
      </c>
      <c r="BR464" t="s">
        <v>84</v>
      </c>
      <c r="BS464" s="3">
        <v>45813</v>
      </c>
      <c r="BT464" s="4">
        <v>0.34097222222222223</v>
      </c>
      <c r="BU464" t="s">
        <v>1060</v>
      </c>
      <c r="BV464" t="s">
        <v>86</v>
      </c>
      <c r="BY464">
        <v>1200</v>
      </c>
      <c r="BZ464" t="s">
        <v>87</v>
      </c>
      <c r="CA464" t="s">
        <v>1061</v>
      </c>
      <c r="CC464" t="s">
        <v>332</v>
      </c>
      <c r="CD464">
        <v>4051</v>
      </c>
      <c r="CE464" t="s">
        <v>89</v>
      </c>
      <c r="CF464" s="3">
        <v>45813</v>
      </c>
      <c r="CI464">
        <v>1</v>
      </c>
      <c r="CJ464">
        <v>1</v>
      </c>
      <c r="CK464">
        <v>21</v>
      </c>
      <c r="CL464" t="s">
        <v>90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"080065759427"</f>
        <v>080065759427</v>
      </c>
      <c r="F465" s="3">
        <v>45812</v>
      </c>
      <c r="G465">
        <v>202603</v>
      </c>
      <c r="H465" t="s">
        <v>75</v>
      </c>
      <c r="I465" t="s">
        <v>76</v>
      </c>
      <c r="J465" t="s">
        <v>77</v>
      </c>
      <c r="K465" t="s">
        <v>78</v>
      </c>
      <c r="L465" t="s">
        <v>350</v>
      </c>
      <c r="M465" t="s">
        <v>351</v>
      </c>
      <c r="N465" t="s">
        <v>352</v>
      </c>
      <c r="O465" t="s">
        <v>82</v>
      </c>
      <c r="P465" t="str">
        <f>"4170042191                    "</f>
        <v xml:space="preserve">4170042191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20.9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</v>
      </c>
      <c r="BJ465">
        <v>0.2</v>
      </c>
      <c r="BK465">
        <v>1</v>
      </c>
      <c r="BL465">
        <v>69.5</v>
      </c>
      <c r="BM465">
        <v>10.43</v>
      </c>
      <c r="BN465">
        <v>79.930000000000007</v>
      </c>
      <c r="BO465">
        <v>79.930000000000007</v>
      </c>
      <c r="BQ465" t="s">
        <v>353</v>
      </c>
      <c r="BR465" t="s">
        <v>84</v>
      </c>
      <c r="BS465" s="3">
        <v>45813</v>
      </c>
      <c r="BT465" s="4">
        <v>0.34236111111111112</v>
      </c>
      <c r="BU465" t="s">
        <v>1117</v>
      </c>
      <c r="BV465" t="s">
        <v>86</v>
      </c>
      <c r="BY465">
        <v>1200</v>
      </c>
      <c r="BZ465" t="s">
        <v>87</v>
      </c>
      <c r="CA465" t="s">
        <v>355</v>
      </c>
      <c r="CC465" t="s">
        <v>351</v>
      </c>
      <c r="CD465">
        <v>157</v>
      </c>
      <c r="CE465" t="s">
        <v>89</v>
      </c>
      <c r="CF465" s="3">
        <v>45813</v>
      </c>
      <c r="CI465">
        <v>1</v>
      </c>
      <c r="CJ465">
        <v>1</v>
      </c>
      <c r="CK465">
        <v>21</v>
      </c>
      <c r="CL465" t="s">
        <v>90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"080065759461"</f>
        <v>080065759461</v>
      </c>
      <c r="F466" s="3">
        <v>45812</v>
      </c>
      <c r="G466">
        <v>202603</v>
      </c>
      <c r="H466" t="s">
        <v>75</v>
      </c>
      <c r="I466" t="s">
        <v>76</v>
      </c>
      <c r="J466" t="s">
        <v>77</v>
      </c>
      <c r="K466" t="s">
        <v>78</v>
      </c>
      <c r="L466" t="s">
        <v>136</v>
      </c>
      <c r="M466" t="s">
        <v>137</v>
      </c>
      <c r="N466" t="s">
        <v>1118</v>
      </c>
      <c r="O466" t="s">
        <v>82</v>
      </c>
      <c r="P466" t="str">
        <f>"4170042151                    "</f>
        <v xml:space="preserve">4170042151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198.38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19</v>
      </c>
      <c r="BJ466">
        <v>9.8000000000000007</v>
      </c>
      <c r="BK466">
        <v>19</v>
      </c>
      <c r="BL466">
        <v>659.74</v>
      </c>
      <c r="BM466">
        <v>98.96</v>
      </c>
      <c r="BN466">
        <v>758.7</v>
      </c>
      <c r="BO466">
        <v>758.7</v>
      </c>
      <c r="BQ466" t="s">
        <v>1119</v>
      </c>
      <c r="BR466" t="s">
        <v>84</v>
      </c>
      <c r="BS466" s="3">
        <v>45813</v>
      </c>
      <c r="BT466" s="4">
        <v>0.44305555555555554</v>
      </c>
      <c r="BU466" t="s">
        <v>1120</v>
      </c>
      <c r="BV466" t="s">
        <v>90</v>
      </c>
      <c r="BY466">
        <v>49128</v>
      </c>
      <c r="BZ466" t="s">
        <v>87</v>
      </c>
      <c r="CA466" t="s">
        <v>1121</v>
      </c>
      <c r="CC466" t="s">
        <v>137</v>
      </c>
      <c r="CD466">
        <v>5200</v>
      </c>
      <c r="CE466" t="s">
        <v>99</v>
      </c>
      <c r="CF466" s="3">
        <v>45813</v>
      </c>
      <c r="CI466">
        <v>1</v>
      </c>
      <c r="CJ466">
        <v>1</v>
      </c>
      <c r="CK466">
        <v>21</v>
      </c>
      <c r="CL466" t="s">
        <v>90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"080065759492"</f>
        <v>080065759492</v>
      </c>
      <c r="F467" s="3">
        <v>45812</v>
      </c>
      <c r="G467">
        <v>202603</v>
      </c>
      <c r="H467" t="s">
        <v>75</v>
      </c>
      <c r="I467" t="s">
        <v>76</v>
      </c>
      <c r="J467" t="s">
        <v>77</v>
      </c>
      <c r="K467" t="s">
        <v>78</v>
      </c>
      <c r="L467" t="s">
        <v>91</v>
      </c>
      <c r="M467" t="s">
        <v>92</v>
      </c>
      <c r="N467" t="s">
        <v>985</v>
      </c>
      <c r="O467" t="s">
        <v>82</v>
      </c>
      <c r="P467" t="str">
        <f>"4170042152                    "</f>
        <v xml:space="preserve">4170042152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73.099999999999994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3</v>
      </c>
      <c r="BJ467">
        <v>7</v>
      </c>
      <c r="BK467">
        <v>7</v>
      </c>
      <c r="BL467">
        <v>243.1</v>
      </c>
      <c r="BM467">
        <v>36.47</v>
      </c>
      <c r="BN467">
        <v>279.57</v>
      </c>
      <c r="BO467">
        <v>279.57</v>
      </c>
      <c r="BQ467" t="s">
        <v>986</v>
      </c>
      <c r="BR467" t="s">
        <v>84</v>
      </c>
      <c r="BS467" s="3">
        <v>45813</v>
      </c>
      <c r="BT467" s="4">
        <v>0.42222222222222222</v>
      </c>
      <c r="BU467" t="s">
        <v>1122</v>
      </c>
      <c r="BV467" t="s">
        <v>86</v>
      </c>
      <c r="BY467">
        <v>34960</v>
      </c>
      <c r="BZ467" t="s">
        <v>87</v>
      </c>
      <c r="CA467" t="s">
        <v>1123</v>
      </c>
      <c r="CC467" t="s">
        <v>92</v>
      </c>
      <c r="CD467">
        <v>7500</v>
      </c>
      <c r="CE467" t="s">
        <v>99</v>
      </c>
      <c r="CF467" s="3">
        <v>45814</v>
      </c>
      <c r="CI467">
        <v>1</v>
      </c>
      <c r="CJ467">
        <v>1</v>
      </c>
      <c r="CK467">
        <v>21</v>
      </c>
      <c r="CL467" t="s">
        <v>90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"080065759528"</f>
        <v>080065759528</v>
      </c>
      <c r="F468" s="3">
        <v>45812</v>
      </c>
      <c r="G468">
        <v>202603</v>
      </c>
      <c r="H468" t="s">
        <v>75</v>
      </c>
      <c r="I468" t="s">
        <v>76</v>
      </c>
      <c r="J468" t="s">
        <v>77</v>
      </c>
      <c r="K468" t="s">
        <v>78</v>
      </c>
      <c r="L468" t="s">
        <v>1124</v>
      </c>
      <c r="M468" t="s">
        <v>1125</v>
      </c>
      <c r="N468" t="s">
        <v>1126</v>
      </c>
      <c r="O468" t="s">
        <v>82</v>
      </c>
      <c r="P468" t="str">
        <f>"4170042083                    "</f>
        <v xml:space="preserve">4170042083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40.49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2</v>
      </c>
      <c r="BJ468">
        <v>0.6</v>
      </c>
      <c r="BK468">
        <v>2</v>
      </c>
      <c r="BL468">
        <v>134.65</v>
      </c>
      <c r="BM468">
        <v>20.2</v>
      </c>
      <c r="BN468">
        <v>154.85</v>
      </c>
      <c r="BO468">
        <v>154.85</v>
      </c>
      <c r="BQ468" t="s">
        <v>1127</v>
      </c>
      <c r="BR468" t="s">
        <v>84</v>
      </c>
      <c r="BS468" s="3">
        <v>45813</v>
      </c>
      <c r="BT468" s="4">
        <v>0.51388888888888884</v>
      </c>
      <c r="BU468" t="s">
        <v>1128</v>
      </c>
      <c r="BV468" t="s">
        <v>86</v>
      </c>
      <c r="BY468">
        <v>3192</v>
      </c>
      <c r="BZ468" t="s">
        <v>87</v>
      </c>
      <c r="CA468" t="s">
        <v>1129</v>
      </c>
      <c r="CC468" t="s">
        <v>1125</v>
      </c>
      <c r="CD468">
        <v>4449</v>
      </c>
      <c r="CE468" t="s">
        <v>180</v>
      </c>
      <c r="CF468" s="3">
        <v>45813</v>
      </c>
      <c r="CI468">
        <v>1</v>
      </c>
      <c r="CJ468">
        <v>1</v>
      </c>
      <c r="CK468">
        <v>23</v>
      </c>
      <c r="CL468" t="s">
        <v>90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"080065759590"</f>
        <v>080065759590</v>
      </c>
      <c r="F469" s="3">
        <v>45812</v>
      </c>
      <c r="G469">
        <v>202603</v>
      </c>
      <c r="H469" t="s">
        <v>75</v>
      </c>
      <c r="I469" t="s">
        <v>76</v>
      </c>
      <c r="J469" t="s">
        <v>77</v>
      </c>
      <c r="K469" t="s">
        <v>78</v>
      </c>
      <c r="L469" t="s">
        <v>266</v>
      </c>
      <c r="M469" t="s">
        <v>267</v>
      </c>
      <c r="N469" t="s">
        <v>1130</v>
      </c>
      <c r="O469" t="s">
        <v>82</v>
      </c>
      <c r="P469" t="str">
        <f>"4170042098                    "</f>
        <v xml:space="preserve">4170042098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31.34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3</v>
      </c>
      <c r="BJ469">
        <v>1.7</v>
      </c>
      <c r="BK469">
        <v>3</v>
      </c>
      <c r="BL469">
        <v>104.22</v>
      </c>
      <c r="BM469">
        <v>15.63</v>
      </c>
      <c r="BN469">
        <v>119.85</v>
      </c>
      <c r="BO469">
        <v>119.85</v>
      </c>
      <c r="BQ469" t="s">
        <v>1131</v>
      </c>
      <c r="BR469" t="s">
        <v>84</v>
      </c>
      <c r="BS469" s="3">
        <v>45813</v>
      </c>
      <c r="BT469" s="4">
        <v>0.42708333333333331</v>
      </c>
      <c r="BU469" t="s">
        <v>1132</v>
      </c>
      <c r="BV469" t="s">
        <v>86</v>
      </c>
      <c r="BY469">
        <v>8624</v>
      </c>
      <c r="BZ469" t="s">
        <v>87</v>
      </c>
      <c r="CA469" t="s">
        <v>271</v>
      </c>
      <c r="CC469" t="s">
        <v>267</v>
      </c>
      <c r="CD469">
        <v>6229</v>
      </c>
      <c r="CE469" t="s">
        <v>166</v>
      </c>
      <c r="CF469" s="3">
        <v>45813</v>
      </c>
      <c r="CI469">
        <v>1</v>
      </c>
      <c r="CJ469">
        <v>1</v>
      </c>
      <c r="CK469">
        <v>21</v>
      </c>
      <c r="CL469" t="s">
        <v>90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"080065759623"</f>
        <v>080065759623</v>
      </c>
      <c r="F470" s="3">
        <v>45812</v>
      </c>
      <c r="G470">
        <v>202603</v>
      </c>
      <c r="H470" t="s">
        <v>75</v>
      </c>
      <c r="I470" t="s">
        <v>76</v>
      </c>
      <c r="J470" t="s">
        <v>77</v>
      </c>
      <c r="K470" t="s">
        <v>78</v>
      </c>
      <c r="L470" t="s">
        <v>75</v>
      </c>
      <c r="M470" t="s">
        <v>76</v>
      </c>
      <c r="N470" t="s">
        <v>112</v>
      </c>
      <c r="O470" t="s">
        <v>82</v>
      </c>
      <c r="P470" t="str">
        <f>"4170042118                    "</f>
        <v xml:space="preserve">4170042118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16.32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</v>
      </c>
      <c r="BJ470">
        <v>1.9</v>
      </c>
      <c r="BK470">
        <v>2</v>
      </c>
      <c r="BL470">
        <v>54.28</v>
      </c>
      <c r="BM470">
        <v>8.14</v>
      </c>
      <c r="BN470">
        <v>62.42</v>
      </c>
      <c r="BO470">
        <v>62.42</v>
      </c>
      <c r="BQ470" t="s">
        <v>113</v>
      </c>
      <c r="BR470" t="s">
        <v>84</v>
      </c>
      <c r="BS470" s="3">
        <v>45813</v>
      </c>
      <c r="BT470" s="4">
        <v>0.34722222222222221</v>
      </c>
      <c r="BU470" t="s">
        <v>114</v>
      </c>
      <c r="BV470" t="s">
        <v>86</v>
      </c>
      <c r="BY470">
        <v>9600</v>
      </c>
      <c r="BZ470" t="s">
        <v>87</v>
      </c>
      <c r="CA470" t="s">
        <v>115</v>
      </c>
      <c r="CC470" t="s">
        <v>76</v>
      </c>
      <c r="CD470">
        <v>1600</v>
      </c>
      <c r="CE470" t="s">
        <v>180</v>
      </c>
      <c r="CF470" s="3">
        <v>45814</v>
      </c>
      <c r="CI470">
        <v>1</v>
      </c>
      <c r="CJ470">
        <v>1</v>
      </c>
      <c r="CK470">
        <v>22</v>
      </c>
      <c r="CL470" t="s">
        <v>90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"080065759670"</f>
        <v>080065759670</v>
      </c>
      <c r="F471" s="3">
        <v>45812</v>
      </c>
      <c r="G471">
        <v>202603</v>
      </c>
      <c r="H471" t="s">
        <v>75</v>
      </c>
      <c r="I471" t="s">
        <v>76</v>
      </c>
      <c r="J471" t="s">
        <v>77</v>
      </c>
      <c r="K471" t="s">
        <v>78</v>
      </c>
      <c r="L471" t="s">
        <v>100</v>
      </c>
      <c r="M471" t="s">
        <v>101</v>
      </c>
      <c r="N471" t="s">
        <v>391</v>
      </c>
      <c r="O471" t="s">
        <v>82</v>
      </c>
      <c r="P471" t="str">
        <f>"4170042110                    "</f>
        <v xml:space="preserve">4170042110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20.9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1</v>
      </c>
      <c r="BJ471">
        <v>1.4</v>
      </c>
      <c r="BK471">
        <v>1.5</v>
      </c>
      <c r="BL471">
        <v>69.5</v>
      </c>
      <c r="BM471">
        <v>10.43</v>
      </c>
      <c r="BN471">
        <v>79.930000000000007</v>
      </c>
      <c r="BO471">
        <v>79.930000000000007</v>
      </c>
      <c r="BQ471" t="s">
        <v>392</v>
      </c>
      <c r="BR471" t="s">
        <v>84</v>
      </c>
      <c r="BS471" s="3">
        <v>45813</v>
      </c>
      <c r="BT471" s="4">
        <v>0.4152777777777778</v>
      </c>
      <c r="BU471" t="s">
        <v>1133</v>
      </c>
      <c r="BV471" t="s">
        <v>86</v>
      </c>
      <c r="BY471">
        <v>7000</v>
      </c>
      <c r="BZ471" t="s">
        <v>87</v>
      </c>
      <c r="CA471" t="s">
        <v>394</v>
      </c>
      <c r="CC471" t="s">
        <v>101</v>
      </c>
      <c r="CD471">
        <v>6001</v>
      </c>
      <c r="CE471" t="s">
        <v>180</v>
      </c>
      <c r="CF471" s="3">
        <v>45813</v>
      </c>
      <c r="CI471">
        <v>1</v>
      </c>
      <c r="CJ471">
        <v>1</v>
      </c>
      <c r="CK471">
        <v>21</v>
      </c>
      <c r="CL471" t="s">
        <v>90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"R080065617374"</f>
        <v>R080065617374</v>
      </c>
      <c r="F472" s="3">
        <v>45812</v>
      </c>
      <c r="G472">
        <v>202603</v>
      </c>
      <c r="H472" t="s">
        <v>75</v>
      </c>
      <c r="I472" t="s">
        <v>76</v>
      </c>
      <c r="J472" t="s">
        <v>1134</v>
      </c>
      <c r="K472" t="s">
        <v>78</v>
      </c>
      <c r="L472" t="s">
        <v>331</v>
      </c>
      <c r="M472" t="s">
        <v>332</v>
      </c>
      <c r="N472" t="s">
        <v>839</v>
      </c>
      <c r="O472" t="s">
        <v>82</v>
      </c>
      <c r="P472" t="str">
        <f>"4170041031                    "</f>
        <v xml:space="preserve">4170041031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31.34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3</v>
      </c>
      <c r="BJ472">
        <v>1.4</v>
      </c>
      <c r="BK472">
        <v>3</v>
      </c>
      <c r="BL472">
        <v>104.22</v>
      </c>
      <c r="BM472">
        <v>15.63</v>
      </c>
      <c r="BN472">
        <v>119.85</v>
      </c>
      <c r="BO472">
        <v>119.85</v>
      </c>
      <c r="BQ472" t="s">
        <v>1135</v>
      </c>
      <c r="BR472" t="s">
        <v>84</v>
      </c>
      <c r="BS472" s="3">
        <v>45814</v>
      </c>
      <c r="BT472" s="4">
        <v>0.34166666666666667</v>
      </c>
      <c r="BU472" t="s">
        <v>1136</v>
      </c>
      <c r="BV472" t="s">
        <v>90</v>
      </c>
      <c r="BY472">
        <v>7000</v>
      </c>
      <c r="BZ472" t="s">
        <v>87</v>
      </c>
      <c r="CA472" t="s">
        <v>1061</v>
      </c>
      <c r="CC472" t="s">
        <v>332</v>
      </c>
      <c r="CD472">
        <v>4000</v>
      </c>
      <c r="CE472" t="s">
        <v>99</v>
      </c>
      <c r="CF472" s="3">
        <v>45814</v>
      </c>
      <c r="CI472">
        <v>2</v>
      </c>
      <c r="CJ472">
        <v>2</v>
      </c>
      <c r="CK472">
        <v>21</v>
      </c>
      <c r="CL472" t="s">
        <v>90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"080065760122"</f>
        <v>080065760122</v>
      </c>
      <c r="F473" s="3">
        <v>45812</v>
      </c>
      <c r="G473">
        <v>202603</v>
      </c>
      <c r="H473" t="s">
        <v>75</v>
      </c>
      <c r="I473" t="s">
        <v>76</v>
      </c>
      <c r="J473" t="s">
        <v>77</v>
      </c>
      <c r="K473" t="s">
        <v>78</v>
      </c>
      <c r="L473" t="s">
        <v>106</v>
      </c>
      <c r="M473" t="s">
        <v>107</v>
      </c>
      <c r="N473" t="s">
        <v>1137</v>
      </c>
      <c r="O473" t="s">
        <v>94</v>
      </c>
      <c r="P473" t="str">
        <f>"4170042209                    "</f>
        <v xml:space="preserve">4170042209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40.409999999999997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6</v>
      </c>
      <c r="BJ473">
        <v>2</v>
      </c>
      <c r="BK473">
        <v>6</v>
      </c>
      <c r="BL473">
        <v>139.96</v>
      </c>
      <c r="BM473">
        <v>20.99</v>
      </c>
      <c r="BN473">
        <v>160.94999999999999</v>
      </c>
      <c r="BO473">
        <v>160.94999999999999</v>
      </c>
      <c r="BQ473" t="s">
        <v>1138</v>
      </c>
      <c r="BR473" t="s">
        <v>84</v>
      </c>
      <c r="BS473" s="3">
        <v>45813</v>
      </c>
      <c r="BT473" s="4">
        <v>0.3611111111111111</v>
      </c>
      <c r="BU473" t="s">
        <v>1139</v>
      </c>
      <c r="BV473" t="s">
        <v>86</v>
      </c>
      <c r="BY473">
        <v>10108</v>
      </c>
      <c r="BZ473" t="s">
        <v>97</v>
      </c>
      <c r="CA473" t="s">
        <v>1140</v>
      </c>
      <c r="CC473" t="s">
        <v>107</v>
      </c>
      <c r="CD473">
        <v>83</v>
      </c>
      <c r="CE473" t="s">
        <v>99</v>
      </c>
      <c r="CF473" s="3">
        <v>45813</v>
      </c>
      <c r="CI473">
        <v>1</v>
      </c>
      <c r="CJ473">
        <v>1</v>
      </c>
      <c r="CK473">
        <v>41</v>
      </c>
      <c r="CL473" t="s">
        <v>90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"080065760147"</f>
        <v>080065760147</v>
      </c>
      <c r="F474" s="3">
        <v>45812</v>
      </c>
      <c r="G474">
        <v>202603</v>
      </c>
      <c r="H474" t="s">
        <v>75</v>
      </c>
      <c r="I474" t="s">
        <v>76</v>
      </c>
      <c r="J474" t="s">
        <v>77</v>
      </c>
      <c r="K474" t="s">
        <v>78</v>
      </c>
      <c r="L474" t="s">
        <v>154</v>
      </c>
      <c r="M474" t="s">
        <v>154</v>
      </c>
      <c r="N474" t="s">
        <v>949</v>
      </c>
      <c r="O474" t="s">
        <v>82</v>
      </c>
      <c r="P474" t="str">
        <f>"4170042109                    "</f>
        <v xml:space="preserve">4170042109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259.89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14</v>
      </c>
      <c r="BJ474">
        <v>8.9</v>
      </c>
      <c r="BK474">
        <v>14</v>
      </c>
      <c r="BL474">
        <v>864.29</v>
      </c>
      <c r="BM474">
        <v>129.63999999999999</v>
      </c>
      <c r="BN474">
        <v>993.93</v>
      </c>
      <c r="BO474">
        <v>993.93</v>
      </c>
      <c r="BQ474" t="s">
        <v>950</v>
      </c>
      <c r="BR474" t="s">
        <v>84</v>
      </c>
      <c r="BS474" s="3">
        <v>45813</v>
      </c>
      <c r="BT474" s="4">
        <v>0.47916666666666669</v>
      </c>
      <c r="BU474" t="s">
        <v>951</v>
      </c>
      <c r="BV474" t="s">
        <v>86</v>
      </c>
      <c r="BY474">
        <v>44640</v>
      </c>
      <c r="BZ474" t="s">
        <v>87</v>
      </c>
      <c r="CA474" t="s">
        <v>158</v>
      </c>
      <c r="CC474" t="s">
        <v>154</v>
      </c>
      <c r="CD474">
        <v>7646</v>
      </c>
      <c r="CE474" t="s">
        <v>99</v>
      </c>
      <c r="CF474" s="3">
        <v>45814</v>
      </c>
      <c r="CI474">
        <v>1</v>
      </c>
      <c r="CJ474">
        <v>1</v>
      </c>
      <c r="CK474">
        <v>23</v>
      </c>
      <c r="CL474" t="s">
        <v>90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"080065760150"</f>
        <v>080065760150</v>
      </c>
      <c r="F475" s="3">
        <v>45812</v>
      </c>
      <c r="G475">
        <v>202603</v>
      </c>
      <c r="H475" t="s">
        <v>75</v>
      </c>
      <c r="I475" t="s">
        <v>76</v>
      </c>
      <c r="J475" t="s">
        <v>77</v>
      </c>
      <c r="K475" t="s">
        <v>78</v>
      </c>
      <c r="L475" t="s">
        <v>106</v>
      </c>
      <c r="M475" t="s">
        <v>107</v>
      </c>
      <c r="N475" t="s">
        <v>1141</v>
      </c>
      <c r="O475" t="s">
        <v>82</v>
      </c>
      <c r="P475" t="str">
        <f>"4170042172                    "</f>
        <v xml:space="preserve">4170042172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20.9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</v>
      </c>
      <c r="BJ475">
        <v>0.2</v>
      </c>
      <c r="BK475">
        <v>1</v>
      </c>
      <c r="BL475">
        <v>69.5</v>
      </c>
      <c r="BM475">
        <v>10.43</v>
      </c>
      <c r="BN475">
        <v>79.930000000000007</v>
      </c>
      <c r="BO475">
        <v>79.930000000000007</v>
      </c>
      <c r="BQ475" t="s">
        <v>1142</v>
      </c>
      <c r="BR475" t="s">
        <v>84</v>
      </c>
      <c r="BS475" s="3">
        <v>45813</v>
      </c>
      <c r="BT475" s="4">
        <v>0.40277777777777779</v>
      </c>
      <c r="BU475" t="s">
        <v>1143</v>
      </c>
      <c r="BV475" t="s">
        <v>86</v>
      </c>
      <c r="BY475">
        <v>1200</v>
      </c>
      <c r="BZ475" t="s">
        <v>87</v>
      </c>
      <c r="CA475" t="s">
        <v>1072</v>
      </c>
      <c r="CC475" t="s">
        <v>107</v>
      </c>
      <c r="CD475">
        <v>127</v>
      </c>
      <c r="CE475" t="s">
        <v>89</v>
      </c>
      <c r="CF475" s="3">
        <v>45813</v>
      </c>
      <c r="CI475">
        <v>1</v>
      </c>
      <c r="CJ475">
        <v>1</v>
      </c>
      <c r="CK475">
        <v>21</v>
      </c>
      <c r="CL475" t="s">
        <v>90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"080065760179"</f>
        <v>080065760179</v>
      </c>
      <c r="F476" s="3">
        <v>45812</v>
      </c>
      <c r="G476">
        <v>202603</v>
      </c>
      <c r="H476" t="s">
        <v>75</v>
      </c>
      <c r="I476" t="s">
        <v>76</v>
      </c>
      <c r="J476" t="s">
        <v>77</v>
      </c>
      <c r="K476" t="s">
        <v>78</v>
      </c>
      <c r="L476" t="s">
        <v>100</v>
      </c>
      <c r="M476" t="s">
        <v>101</v>
      </c>
      <c r="N476" t="s">
        <v>585</v>
      </c>
      <c r="O476" t="s">
        <v>82</v>
      </c>
      <c r="P476" t="str">
        <f>"4170042195                    "</f>
        <v xml:space="preserve">4170042195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20.9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1</v>
      </c>
      <c r="BJ476">
        <v>0.2</v>
      </c>
      <c r="BK476">
        <v>1</v>
      </c>
      <c r="BL476">
        <v>69.5</v>
      </c>
      <c r="BM476">
        <v>10.43</v>
      </c>
      <c r="BN476">
        <v>79.930000000000007</v>
      </c>
      <c r="BO476">
        <v>79.930000000000007</v>
      </c>
      <c r="BQ476" t="s">
        <v>586</v>
      </c>
      <c r="BR476" t="s">
        <v>84</v>
      </c>
      <c r="BS476" s="3">
        <v>45813</v>
      </c>
      <c r="BT476" s="4">
        <v>0.41180555555555554</v>
      </c>
      <c r="BU476" t="s">
        <v>879</v>
      </c>
      <c r="BV476" t="s">
        <v>86</v>
      </c>
      <c r="BY476">
        <v>1200</v>
      </c>
      <c r="BZ476" t="s">
        <v>87</v>
      </c>
      <c r="CA476" t="s">
        <v>589</v>
      </c>
      <c r="CC476" t="s">
        <v>101</v>
      </c>
      <c r="CD476">
        <v>6001</v>
      </c>
      <c r="CE476" t="s">
        <v>89</v>
      </c>
      <c r="CF476" s="3">
        <v>45813</v>
      </c>
      <c r="CI476">
        <v>1</v>
      </c>
      <c r="CJ476">
        <v>1</v>
      </c>
      <c r="CK476">
        <v>21</v>
      </c>
      <c r="CL476" t="s">
        <v>90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"080065760189"</f>
        <v>080065760189</v>
      </c>
      <c r="F477" s="3">
        <v>45812</v>
      </c>
      <c r="G477">
        <v>202603</v>
      </c>
      <c r="H477" t="s">
        <v>75</v>
      </c>
      <c r="I477" t="s">
        <v>76</v>
      </c>
      <c r="J477" t="s">
        <v>77</v>
      </c>
      <c r="K477" t="s">
        <v>78</v>
      </c>
      <c r="L477" t="s">
        <v>996</v>
      </c>
      <c r="M477" t="s">
        <v>997</v>
      </c>
      <c r="N477" t="s">
        <v>998</v>
      </c>
      <c r="O477" t="s">
        <v>82</v>
      </c>
      <c r="P477" t="str">
        <f>"4170042097                    "</f>
        <v xml:space="preserve">4170042097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40.49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1.1000000000000001</v>
      </c>
      <c r="BK477">
        <v>1.5</v>
      </c>
      <c r="BL477">
        <v>134.65</v>
      </c>
      <c r="BM477">
        <v>20.2</v>
      </c>
      <c r="BN477">
        <v>154.85</v>
      </c>
      <c r="BO477">
        <v>154.85</v>
      </c>
      <c r="BQ477" t="s">
        <v>999</v>
      </c>
      <c r="BR477" t="s">
        <v>84</v>
      </c>
      <c r="BS477" s="3">
        <v>45814</v>
      </c>
      <c r="BT477" s="4">
        <v>0.41666666666666669</v>
      </c>
      <c r="BU477" t="s">
        <v>1144</v>
      </c>
      <c r="BV477" t="s">
        <v>90</v>
      </c>
      <c r="BY477">
        <v>5320</v>
      </c>
      <c r="BZ477" t="s">
        <v>87</v>
      </c>
      <c r="CA477" t="s">
        <v>1145</v>
      </c>
      <c r="CC477" t="s">
        <v>997</v>
      </c>
      <c r="CD477">
        <v>3310</v>
      </c>
      <c r="CE477" t="s">
        <v>180</v>
      </c>
      <c r="CF477" s="3">
        <v>45815</v>
      </c>
      <c r="CI477">
        <v>1</v>
      </c>
      <c r="CJ477">
        <v>2</v>
      </c>
      <c r="CK477">
        <v>23</v>
      </c>
      <c r="CL477" t="s">
        <v>90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"080065760211"</f>
        <v>080065760211</v>
      </c>
      <c r="F478" s="3">
        <v>45812</v>
      </c>
      <c r="G478">
        <v>202603</v>
      </c>
      <c r="H478" t="s">
        <v>75</v>
      </c>
      <c r="I478" t="s">
        <v>76</v>
      </c>
      <c r="J478" t="s">
        <v>77</v>
      </c>
      <c r="K478" t="s">
        <v>78</v>
      </c>
      <c r="L478" t="s">
        <v>870</v>
      </c>
      <c r="M478" t="s">
        <v>871</v>
      </c>
      <c r="N478" t="s">
        <v>872</v>
      </c>
      <c r="O478" t="s">
        <v>82</v>
      </c>
      <c r="P478" t="str">
        <f>"4170042197                    "</f>
        <v xml:space="preserve">4170042197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40.49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</v>
      </c>
      <c r="BJ478">
        <v>0.2</v>
      </c>
      <c r="BK478">
        <v>1</v>
      </c>
      <c r="BL478">
        <v>134.65</v>
      </c>
      <c r="BM478">
        <v>20.2</v>
      </c>
      <c r="BN478">
        <v>154.85</v>
      </c>
      <c r="BO478">
        <v>154.85</v>
      </c>
      <c r="BQ478" t="s">
        <v>873</v>
      </c>
      <c r="BR478" t="s">
        <v>84</v>
      </c>
      <c r="BS478" s="3">
        <v>45813</v>
      </c>
      <c r="BT478" s="4">
        <v>0.63194444444444442</v>
      </c>
      <c r="BU478" t="s">
        <v>874</v>
      </c>
      <c r="BV478" t="s">
        <v>86</v>
      </c>
      <c r="BY478">
        <v>1200</v>
      </c>
      <c r="BZ478" t="s">
        <v>87</v>
      </c>
      <c r="CA478" t="s">
        <v>877</v>
      </c>
      <c r="CC478" t="s">
        <v>871</v>
      </c>
      <c r="CD478">
        <v>7299</v>
      </c>
      <c r="CE478" t="s">
        <v>89</v>
      </c>
      <c r="CF478" s="3">
        <v>45814</v>
      </c>
      <c r="CI478">
        <v>1</v>
      </c>
      <c r="CJ478">
        <v>1</v>
      </c>
      <c r="CK478">
        <v>23</v>
      </c>
      <c r="CL478" t="s">
        <v>90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"080065760233"</f>
        <v>080065760233</v>
      </c>
      <c r="F479" s="3">
        <v>45812</v>
      </c>
      <c r="G479">
        <v>202603</v>
      </c>
      <c r="H479" t="s">
        <v>75</v>
      </c>
      <c r="I479" t="s">
        <v>76</v>
      </c>
      <c r="J479" t="s">
        <v>77</v>
      </c>
      <c r="K479" t="s">
        <v>78</v>
      </c>
      <c r="L479" t="s">
        <v>106</v>
      </c>
      <c r="M479" t="s">
        <v>107</v>
      </c>
      <c r="N479" t="s">
        <v>1146</v>
      </c>
      <c r="O479" t="s">
        <v>82</v>
      </c>
      <c r="P479" t="str">
        <f>"4170042165                    "</f>
        <v xml:space="preserve">4170042165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20.9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1.1000000000000001</v>
      </c>
      <c r="BK479">
        <v>1.5</v>
      </c>
      <c r="BL479">
        <v>69.5</v>
      </c>
      <c r="BM479">
        <v>10.43</v>
      </c>
      <c r="BN479">
        <v>79.930000000000007</v>
      </c>
      <c r="BO479">
        <v>79.930000000000007</v>
      </c>
      <c r="BQ479" t="s">
        <v>1147</v>
      </c>
      <c r="BR479" t="s">
        <v>84</v>
      </c>
      <c r="BS479" s="3">
        <v>45813</v>
      </c>
      <c r="BT479" s="4">
        <v>0.375</v>
      </c>
      <c r="BU479" t="s">
        <v>1148</v>
      </c>
      <c r="BV479" t="s">
        <v>86</v>
      </c>
      <c r="BY479">
        <v>5320</v>
      </c>
      <c r="BZ479" t="s">
        <v>87</v>
      </c>
      <c r="CA479" t="s">
        <v>111</v>
      </c>
      <c r="CC479" t="s">
        <v>107</v>
      </c>
      <c r="CD479">
        <v>200</v>
      </c>
      <c r="CE479" t="s">
        <v>180</v>
      </c>
      <c r="CF479" s="3">
        <v>45813</v>
      </c>
      <c r="CI479">
        <v>1</v>
      </c>
      <c r="CJ479">
        <v>1</v>
      </c>
      <c r="CK479">
        <v>21</v>
      </c>
      <c r="CL479" t="s">
        <v>90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"080065760251"</f>
        <v>080065760251</v>
      </c>
      <c r="F480" s="3">
        <v>45812</v>
      </c>
      <c r="G480">
        <v>202603</v>
      </c>
      <c r="H480" t="s">
        <v>75</v>
      </c>
      <c r="I480" t="s">
        <v>76</v>
      </c>
      <c r="J480" t="s">
        <v>77</v>
      </c>
      <c r="K480" t="s">
        <v>78</v>
      </c>
      <c r="L480" t="s">
        <v>100</v>
      </c>
      <c r="M480" t="s">
        <v>101</v>
      </c>
      <c r="N480" t="s">
        <v>123</v>
      </c>
      <c r="O480" t="s">
        <v>82</v>
      </c>
      <c r="P480" t="str">
        <f>"4170042164                    "</f>
        <v xml:space="preserve">4170042164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20.9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1</v>
      </c>
      <c r="BJ480">
        <v>0.2</v>
      </c>
      <c r="BK480">
        <v>1</v>
      </c>
      <c r="BL480">
        <v>69.5</v>
      </c>
      <c r="BM480">
        <v>10.43</v>
      </c>
      <c r="BN480">
        <v>79.930000000000007</v>
      </c>
      <c r="BO480">
        <v>79.930000000000007</v>
      </c>
      <c r="BQ480" t="s">
        <v>124</v>
      </c>
      <c r="BR480" t="s">
        <v>84</v>
      </c>
      <c r="BS480" s="3">
        <v>45813</v>
      </c>
      <c r="BT480" s="4">
        <v>0.43333333333333335</v>
      </c>
      <c r="BU480" t="s">
        <v>688</v>
      </c>
      <c r="BV480" t="s">
        <v>86</v>
      </c>
      <c r="BY480">
        <v>1200</v>
      </c>
      <c r="BZ480" t="s">
        <v>87</v>
      </c>
      <c r="CA480" t="s">
        <v>235</v>
      </c>
      <c r="CC480" t="s">
        <v>101</v>
      </c>
      <c r="CD480">
        <v>6001</v>
      </c>
      <c r="CE480" t="s">
        <v>89</v>
      </c>
      <c r="CF480" s="3">
        <v>45813</v>
      </c>
      <c r="CI480">
        <v>1</v>
      </c>
      <c r="CJ480">
        <v>1</v>
      </c>
      <c r="CK480">
        <v>21</v>
      </c>
      <c r="CL480" t="s">
        <v>90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"080065760283"</f>
        <v>080065760283</v>
      </c>
      <c r="F481" s="3">
        <v>45812</v>
      </c>
      <c r="G481">
        <v>202603</v>
      </c>
      <c r="H481" t="s">
        <v>75</v>
      </c>
      <c r="I481" t="s">
        <v>76</v>
      </c>
      <c r="J481" t="s">
        <v>77</v>
      </c>
      <c r="K481" t="s">
        <v>78</v>
      </c>
      <c r="L481" t="s">
        <v>331</v>
      </c>
      <c r="M481" t="s">
        <v>332</v>
      </c>
      <c r="N481" t="s">
        <v>1149</v>
      </c>
      <c r="O481" t="s">
        <v>82</v>
      </c>
      <c r="P481" t="str">
        <f>"4170042194                    "</f>
        <v xml:space="preserve">4170042194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20.9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2</v>
      </c>
      <c r="BJ481">
        <v>1.1000000000000001</v>
      </c>
      <c r="BK481">
        <v>2</v>
      </c>
      <c r="BL481">
        <v>69.5</v>
      </c>
      <c r="BM481">
        <v>10.43</v>
      </c>
      <c r="BN481">
        <v>79.930000000000007</v>
      </c>
      <c r="BO481">
        <v>79.930000000000007</v>
      </c>
      <c r="BQ481" t="s">
        <v>1150</v>
      </c>
      <c r="BR481" t="s">
        <v>84</v>
      </c>
      <c r="BS481" s="3">
        <v>45813</v>
      </c>
      <c r="BT481" s="4">
        <v>0.375</v>
      </c>
      <c r="BU481" t="s">
        <v>1151</v>
      </c>
      <c r="BV481" t="s">
        <v>86</v>
      </c>
      <c r="BY481">
        <v>5320</v>
      </c>
      <c r="BZ481" t="s">
        <v>87</v>
      </c>
      <c r="CA481" t="s">
        <v>418</v>
      </c>
      <c r="CC481" t="s">
        <v>332</v>
      </c>
      <c r="CD481">
        <v>4052</v>
      </c>
      <c r="CE481" t="s">
        <v>180</v>
      </c>
      <c r="CF481" s="3">
        <v>45814</v>
      </c>
      <c r="CI481">
        <v>1</v>
      </c>
      <c r="CJ481">
        <v>1</v>
      </c>
      <c r="CK481">
        <v>21</v>
      </c>
      <c r="CL481" t="s">
        <v>90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"080065760299"</f>
        <v>080065760299</v>
      </c>
      <c r="F482" s="3">
        <v>45812</v>
      </c>
      <c r="G482">
        <v>202603</v>
      </c>
      <c r="H482" t="s">
        <v>75</v>
      </c>
      <c r="I482" t="s">
        <v>76</v>
      </c>
      <c r="J482" t="s">
        <v>77</v>
      </c>
      <c r="K482" t="s">
        <v>78</v>
      </c>
      <c r="L482" t="s">
        <v>130</v>
      </c>
      <c r="M482" t="s">
        <v>131</v>
      </c>
      <c r="N482" t="s">
        <v>1152</v>
      </c>
      <c r="O482" t="s">
        <v>82</v>
      </c>
      <c r="P482" t="str">
        <f>"4170042199                    "</f>
        <v xml:space="preserve">4170042199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16.32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</v>
      </c>
      <c r="BJ482">
        <v>0.2</v>
      </c>
      <c r="BK482">
        <v>1</v>
      </c>
      <c r="BL482">
        <v>54.28</v>
      </c>
      <c r="BM482">
        <v>8.14</v>
      </c>
      <c r="BN482">
        <v>62.42</v>
      </c>
      <c r="BO482">
        <v>62.42</v>
      </c>
      <c r="BQ482" t="s">
        <v>1153</v>
      </c>
      <c r="BR482" t="s">
        <v>84</v>
      </c>
      <c r="BS482" s="3">
        <v>45813</v>
      </c>
      <c r="BT482" s="4">
        <v>0.35208333333333336</v>
      </c>
      <c r="BU482" t="s">
        <v>1154</v>
      </c>
      <c r="BV482" t="s">
        <v>86</v>
      </c>
      <c r="BY482">
        <v>1200</v>
      </c>
      <c r="BZ482" t="s">
        <v>87</v>
      </c>
      <c r="CA482" t="s">
        <v>425</v>
      </c>
      <c r="CC482" t="s">
        <v>131</v>
      </c>
      <c r="CD482">
        <v>1459</v>
      </c>
      <c r="CE482" t="s">
        <v>89</v>
      </c>
      <c r="CF482" s="3">
        <v>45813</v>
      </c>
      <c r="CI482">
        <v>1</v>
      </c>
      <c r="CJ482">
        <v>1</v>
      </c>
      <c r="CK482">
        <v>22</v>
      </c>
      <c r="CL482" t="s">
        <v>90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"080065760342"</f>
        <v>080065760342</v>
      </c>
      <c r="F483" s="3">
        <v>45812</v>
      </c>
      <c r="G483">
        <v>202603</v>
      </c>
      <c r="H483" t="s">
        <v>75</v>
      </c>
      <c r="I483" t="s">
        <v>76</v>
      </c>
      <c r="J483" t="s">
        <v>77</v>
      </c>
      <c r="K483" t="s">
        <v>78</v>
      </c>
      <c r="L483" t="s">
        <v>130</v>
      </c>
      <c r="M483" t="s">
        <v>131</v>
      </c>
      <c r="N483" t="s">
        <v>451</v>
      </c>
      <c r="O483" t="s">
        <v>82</v>
      </c>
      <c r="P483" t="str">
        <f>"4170042201                    "</f>
        <v xml:space="preserve">4170042201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16.32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</v>
      </c>
      <c r="BJ483">
        <v>0.2</v>
      </c>
      <c r="BK483">
        <v>1</v>
      </c>
      <c r="BL483">
        <v>54.28</v>
      </c>
      <c r="BM483">
        <v>8.14</v>
      </c>
      <c r="BN483">
        <v>62.42</v>
      </c>
      <c r="BO483">
        <v>62.42</v>
      </c>
      <c r="BQ483" t="s">
        <v>452</v>
      </c>
      <c r="BR483" t="s">
        <v>84</v>
      </c>
      <c r="BS483" s="3">
        <v>45813</v>
      </c>
      <c r="BT483" s="4">
        <v>0.39583333333333331</v>
      </c>
      <c r="BU483" t="s">
        <v>1155</v>
      </c>
      <c r="BV483" t="s">
        <v>86</v>
      </c>
      <c r="BY483">
        <v>1200</v>
      </c>
      <c r="BZ483" t="s">
        <v>87</v>
      </c>
      <c r="CA483" t="s">
        <v>135</v>
      </c>
      <c r="CC483" t="s">
        <v>131</v>
      </c>
      <c r="CD483">
        <v>1469</v>
      </c>
      <c r="CE483" t="s">
        <v>89</v>
      </c>
      <c r="CF483" s="3">
        <v>45813</v>
      </c>
      <c r="CI483">
        <v>1</v>
      </c>
      <c r="CJ483">
        <v>1</v>
      </c>
      <c r="CK483">
        <v>22</v>
      </c>
      <c r="CL483" t="s">
        <v>90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"080065760348"</f>
        <v>080065760348</v>
      </c>
      <c r="F484" s="3">
        <v>45812</v>
      </c>
      <c r="G484">
        <v>202603</v>
      </c>
      <c r="H484" t="s">
        <v>75</v>
      </c>
      <c r="I484" t="s">
        <v>76</v>
      </c>
      <c r="J484" t="s">
        <v>77</v>
      </c>
      <c r="K484" t="s">
        <v>78</v>
      </c>
      <c r="L484" t="s">
        <v>106</v>
      </c>
      <c r="M484" t="s">
        <v>107</v>
      </c>
      <c r="N484" t="s">
        <v>509</v>
      </c>
      <c r="O484" t="s">
        <v>82</v>
      </c>
      <c r="P484" t="str">
        <f>"4170042162                    "</f>
        <v xml:space="preserve">4170042162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31.34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3</v>
      </c>
      <c r="BJ484">
        <v>1.7</v>
      </c>
      <c r="BK484">
        <v>3</v>
      </c>
      <c r="BL484">
        <v>104.22</v>
      </c>
      <c r="BM484">
        <v>15.63</v>
      </c>
      <c r="BN484">
        <v>119.85</v>
      </c>
      <c r="BO484">
        <v>119.85</v>
      </c>
      <c r="BQ484" t="s">
        <v>510</v>
      </c>
      <c r="BR484" t="s">
        <v>84</v>
      </c>
      <c r="BS484" s="3">
        <v>45813</v>
      </c>
      <c r="BT484" s="4">
        <v>0.34027777777777779</v>
      </c>
      <c r="BU484" t="s">
        <v>511</v>
      </c>
      <c r="BV484" t="s">
        <v>86</v>
      </c>
      <c r="BY484">
        <v>8512</v>
      </c>
      <c r="BZ484" t="s">
        <v>87</v>
      </c>
      <c r="CA484" t="s">
        <v>355</v>
      </c>
      <c r="CC484" t="s">
        <v>107</v>
      </c>
      <c r="CD484">
        <v>2</v>
      </c>
      <c r="CE484" t="s">
        <v>99</v>
      </c>
      <c r="CF484" s="3">
        <v>45813</v>
      </c>
      <c r="CI484">
        <v>1</v>
      </c>
      <c r="CJ484">
        <v>1</v>
      </c>
      <c r="CK484">
        <v>21</v>
      </c>
      <c r="CL484" t="s">
        <v>90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"080065760396"</f>
        <v>080065760396</v>
      </c>
      <c r="F485" s="3">
        <v>45812</v>
      </c>
      <c r="G485">
        <v>202603</v>
      </c>
      <c r="H485" t="s">
        <v>75</v>
      </c>
      <c r="I485" t="s">
        <v>76</v>
      </c>
      <c r="J485" t="s">
        <v>77</v>
      </c>
      <c r="K485" t="s">
        <v>78</v>
      </c>
      <c r="L485" t="s">
        <v>136</v>
      </c>
      <c r="M485" t="s">
        <v>137</v>
      </c>
      <c r="N485" t="s">
        <v>621</v>
      </c>
      <c r="O485" t="s">
        <v>82</v>
      </c>
      <c r="P485" t="str">
        <f>"4170042187                    "</f>
        <v xml:space="preserve">4170042187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20.9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1</v>
      </c>
      <c r="BJ485">
        <v>0.2</v>
      </c>
      <c r="BK485">
        <v>1</v>
      </c>
      <c r="BL485">
        <v>69.5</v>
      </c>
      <c r="BM485">
        <v>10.43</v>
      </c>
      <c r="BN485">
        <v>79.930000000000007</v>
      </c>
      <c r="BO485">
        <v>79.930000000000007</v>
      </c>
      <c r="BQ485" t="s">
        <v>622</v>
      </c>
      <c r="BR485" t="s">
        <v>84</v>
      </c>
      <c r="BS485" s="3">
        <v>45813</v>
      </c>
      <c r="BT485" s="4">
        <v>0.60555555555555551</v>
      </c>
      <c r="BU485" t="s">
        <v>1156</v>
      </c>
      <c r="BV485" t="s">
        <v>90</v>
      </c>
      <c r="BY485">
        <v>1200</v>
      </c>
      <c r="BZ485" t="s">
        <v>87</v>
      </c>
      <c r="CA485" t="s">
        <v>1157</v>
      </c>
      <c r="CC485" t="s">
        <v>137</v>
      </c>
      <c r="CD485">
        <v>5200</v>
      </c>
      <c r="CE485" t="s">
        <v>89</v>
      </c>
      <c r="CF485" s="3">
        <v>45813</v>
      </c>
      <c r="CI485">
        <v>1</v>
      </c>
      <c r="CJ485">
        <v>1</v>
      </c>
      <c r="CK485">
        <v>21</v>
      </c>
      <c r="CL485" t="s">
        <v>90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"080065760425"</f>
        <v>080065760425</v>
      </c>
      <c r="F486" s="3">
        <v>45812</v>
      </c>
      <c r="G486">
        <v>202603</v>
      </c>
      <c r="H486" t="s">
        <v>75</v>
      </c>
      <c r="I486" t="s">
        <v>76</v>
      </c>
      <c r="J486" t="s">
        <v>77</v>
      </c>
      <c r="K486" t="s">
        <v>78</v>
      </c>
      <c r="L486" t="s">
        <v>100</v>
      </c>
      <c r="M486" t="s">
        <v>101</v>
      </c>
      <c r="N486" t="s">
        <v>123</v>
      </c>
      <c r="O486" t="s">
        <v>94</v>
      </c>
      <c r="P486" t="str">
        <f>"4170042186                    "</f>
        <v xml:space="preserve">4170042186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43.75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8</v>
      </c>
      <c r="BJ486">
        <v>16.2</v>
      </c>
      <c r="BK486">
        <v>17</v>
      </c>
      <c r="BL486">
        <v>151.06</v>
      </c>
      <c r="BM486">
        <v>22.66</v>
      </c>
      <c r="BN486">
        <v>173.72</v>
      </c>
      <c r="BO486">
        <v>173.72</v>
      </c>
      <c r="BQ486" t="s">
        <v>124</v>
      </c>
      <c r="BR486" t="s">
        <v>84</v>
      </c>
      <c r="BS486" s="3">
        <v>45814</v>
      </c>
      <c r="BT486" s="4">
        <v>0.39513888888888887</v>
      </c>
      <c r="BU486" t="s">
        <v>234</v>
      </c>
      <c r="BV486" t="s">
        <v>86</v>
      </c>
      <c r="BY486">
        <v>81000</v>
      </c>
      <c r="BZ486" t="s">
        <v>97</v>
      </c>
      <c r="CA486" t="s">
        <v>235</v>
      </c>
      <c r="CC486" t="s">
        <v>101</v>
      </c>
      <c r="CD486">
        <v>6001</v>
      </c>
      <c r="CE486" t="s">
        <v>99</v>
      </c>
      <c r="CF486" s="3">
        <v>45814</v>
      </c>
      <c r="CI486">
        <v>3</v>
      </c>
      <c r="CJ486">
        <v>2</v>
      </c>
      <c r="CK486">
        <v>41</v>
      </c>
      <c r="CL486" t="s">
        <v>90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"080065760437"</f>
        <v>080065760437</v>
      </c>
      <c r="F487" s="3">
        <v>45812</v>
      </c>
      <c r="G487">
        <v>202603</v>
      </c>
      <c r="H487" t="s">
        <v>75</v>
      </c>
      <c r="I487" t="s">
        <v>76</v>
      </c>
      <c r="J487" t="s">
        <v>77</v>
      </c>
      <c r="K487" t="s">
        <v>78</v>
      </c>
      <c r="L487" t="s">
        <v>154</v>
      </c>
      <c r="M487" t="s">
        <v>154</v>
      </c>
      <c r="N487" t="s">
        <v>1158</v>
      </c>
      <c r="O487" t="s">
        <v>82</v>
      </c>
      <c r="P487" t="str">
        <f>"4170042163                    "</f>
        <v xml:space="preserve">4170042163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40.49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0.2</v>
      </c>
      <c r="BK487">
        <v>1</v>
      </c>
      <c r="BL487">
        <v>134.65</v>
      </c>
      <c r="BM487">
        <v>20.2</v>
      </c>
      <c r="BN487">
        <v>154.85</v>
      </c>
      <c r="BO487">
        <v>154.85</v>
      </c>
      <c r="BQ487" t="s">
        <v>1159</v>
      </c>
      <c r="BR487" t="s">
        <v>84</v>
      </c>
      <c r="BS487" s="3">
        <v>45813</v>
      </c>
      <c r="BT487" s="4">
        <v>0.47222222222222221</v>
      </c>
      <c r="BU487" t="s">
        <v>1160</v>
      </c>
      <c r="BV487" t="s">
        <v>86</v>
      </c>
      <c r="BY487">
        <v>1200</v>
      </c>
      <c r="BZ487" t="s">
        <v>87</v>
      </c>
      <c r="CA487" t="s">
        <v>158</v>
      </c>
      <c r="CC487" t="s">
        <v>154</v>
      </c>
      <c r="CD487">
        <v>7646</v>
      </c>
      <c r="CE487" t="s">
        <v>89</v>
      </c>
      <c r="CF487" s="3">
        <v>45814</v>
      </c>
      <c r="CI487">
        <v>1</v>
      </c>
      <c r="CJ487">
        <v>1</v>
      </c>
      <c r="CK487">
        <v>23</v>
      </c>
      <c r="CL487" t="s">
        <v>90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"080065760491"</f>
        <v>080065760491</v>
      </c>
      <c r="F488" s="3">
        <v>45812</v>
      </c>
      <c r="G488">
        <v>202603</v>
      </c>
      <c r="H488" t="s">
        <v>75</v>
      </c>
      <c r="I488" t="s">
        <v>76</v>
      </c>
      <c r="J488" t="s">
        <v>77</v>
      </c>
      <c r="K488" t="s">
        <v>78</v>
      </c>
      <c r="L488" t="s">
        <v>239</v>
      </c>
      <c r="M488" t="s">
        <v>240</v>
      </c>
      <c r="N488" t="s">
        <v>241</v>
      </c>
      <c r="O488" t="s">
        <v>82</v>
      </c>
      <c r="P488" t="str">
        <f>"4170042202                    "</f>
        <v xml:space="preserve">4170042202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40.49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</v>
      </c>
      <c r="BJ488">
        <v>0.2</v>
      </c>
      <c r="BK488">
        <v>1</v>
      </c>
      <c r="BL488">
        <v>134.65</v>
      </c>
      <c r="BM488">
        <v>20.2</v>
      </c>
      <c r="BN488">
        <v>154.85</v>
      </c>
      <c r="BO488">
        <v>154.85</v>
      </c>
      <c r="BQ488" t="s">
        <v>242</v>
      </c>
      <c r="BR488" t="s">
        <v>84</v>
      </c>
      <c r="BS488" s="3">
        <v>45813</v>
      </c>
      <c r="BT488" s="4">
        <v>0.49444444444444446</v>
      </c>
      <c r="BU488" t="s">
        <v>574</v>
      </c>
      <c r="BV488" t="s">
        <v>86</v>
      </c>
      <c r="BY488">
        <v>1200</v>
      </c>
      <c r="BZ488" t="s">
        <v>87</v>
      </c>
      <c r="CA488" t="s">
        <v>244</v>
      </c>
      <c r="CC488" t="s">
        <v>240</v>
      </c>
      <c r="CD488">
        <v>2531</v>
      </c>
      <c r="CE488" t="s">
        <v>89</v>
      </c>
      <c r="CF488" s="3">
        <v>45814</v>
      </c>
      <c r="CI488">
        <v>1</v>
      </c>
      <c r="CJ488">
        <v>1</v>
      </c>
      <c r="CK488">
        <v>23</v>
      </c>
      <c r="CL488" t="s">
        <v>90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"080065760498"</f>
        <v>080065760498</v>
      </c>
      <c r="F489" s="3">
        <v>45812</v>
      </c>
      <c r="G489">
        <v>202603</v>
      </c>
      <c r="H489" t="s">
        <v>75</v>
      </c>
      <c r="I489" t="s">
        <v>76</v>
      </c>
      <c r="J489" t="s">
        <v>77</v>
      </c>
      <c r="K489" t="s">
        <v>78</v>
      </c>
      <c r="L489" t="s">
        <v>615</v>
      </c>
      <c r="M489" t="s">
        <v>616</v>
      </c>
      <c r="N489" t="s">
        <v>863</v>
      </c>
      <c r="O489" t="s">
        <v>94</v>
      </c>
      <c r="P489" t="str">
        <f>"4170042148                    "</f>
        <v xml:space="preserve">4170042148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83.2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24</v>
      </c>
      <c r="BJ489">
        <v>10.8</v>
      </c>
      <c r="BK489">
        <v>24</v>
      </c>
      <c r="BL489">
        <v>282.25</v>
      </c>
      <c r="BM489">
        <v>42.34</v>
      </c>
      <c r="BN489">
        <v>324.58999999999997</v>
      </c>
      <c r="BO489">
        <v>324.58999999999997</v>
      </c>
      <c r="BQ489" t="s">
        <v>864</v>
      </c>
      <c r="BR489" t="s">
        <v>84</v>
      </c>
      <c r="BS489" s="3">
        <v>45814</v>
      </c>
      <c r="BT489" s="4">
        <v>0.51111111111111107</v>
      </c>
      <c r="BU489" t="s">
        <v>1161</v>
      </c>
      <c r="BV489" t="s">
        <v>86</v>
      </c>
      <c r="BY489">
        <v>54128</v>
      </c>
      <c r="BZ489" t="s">
        <v>97</v>
      </c>
      <c r="CA489" t="s">
        <v>866</v>
      </c>
      <c r="CC489" t="s">
        <v>616</v>
      </c>
      <c r="CD489">
        <v>6850</v>
      </c>
      <c r="CE489" t="s">
        <v>529</v>
      </c>
      <c r="CF489" s="3">
        <v>45817</v>
      </c>
      <c r="CI489">
        <v>4</v>
      </c>
      <c r="CJ489">
        <v>2</v>
      </c>
      <c r="CK489">
        <v>43</v>
      </c>
      <c r="CL489" t="s">
        <v>90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"080065760530"</f>
        <v>080065760530</v>
      </c>
      <c r="F490" s="3">
        <v>45812</v>
      </c>
      <c r="G490">
        <v>202603</v>
      </c>
      <c r="H490" t="s">
        <v>75</v>
      </c>
      <c r="I490" t="s">
        <v>76</v>
      </c>
      <c r="J490" t="s">
        <v>77</v>
      </c>
      <c r="K490" t="s">
        <v>78</v>
      </c>
      <c r="L490" t="s">
        <v>91</v>
      </c>
      <c r="M490" t="s">
        <v>92</v>
      </c>
      <c r="N490" t="s">
        <v>1162</v>
      </c>
      <c r="O490" t="s">
        <v>82</v>
      </c>
      <c r="P490" t="str">
        <f>"4170042205                    "</f>
        <v xml:space="preserve">4170042205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20.9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1</v>
      </c>
      <c r="BJ490">
        <v>0.2</v>
      </c>
      <c r="BK490">
        <v>1</v>
      </c>
      <c r="BL490">
        <v>69.5</v>
      </c>
      <c r="BM490">
        <v>10.43</v>
      </c>
      <c r="BN490">
        <v>79.930000000000007</v>
      </c>
      <c r="BO490">
        <v>79.930000000000007</v>
      </c>
      <c r="BQ490" t="s">
        <v>1163</v>
      </c>
      <c r="BR490" t="s">
        <v>84</v>
      </c>
      <c r="BS490" s="3">
        <v>45813</v>
      </c>
      <c r="BT490" s="4">
        <v>0.42708333333333331</v>
      </c>
      <c r="BU490" t="s">
        <v>1164</v>
      </c>
      <c r="BV490" t="s">
        <v>86</v>
      </c>
      <c r="BY490">
        <v>1230</v>
      </c>
      <c r="BZ490" t="s">
        <v>87</v>
      </c>
      <c r="CA490" t="s">
        <v>1165</v>
      </c>
      <c r="CC490" t="s">
        <v>92</v>
      </c>
      <c r="CD490">
        <v>7925</v>
      </c>
      <c r="CE490" t="s">
        <v>89</v>
      </c>
      <c r="CF490" s="3">
        <v>45814</v>
      </c>
      <c r="CI490">
        <v>1</v>
      </c>
      <c r="CJ490">
        <v>1</v>
      </c>
      <c r="CK490">
        <v>21</v>
      </c>
      <c r="CL490" t="s">
        <v>90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"080065760544"</f>
        <v>080065760544</v>
      </c>
      <c r="F491" s="3">
        <v>45812</v>
      </c>
      <c r="G491">
        <v>202603</v>
      </c>
      <c r="H491" t="s">
        <v>75</v>
      </c>
      <c r="I491" t="s">
        <v>76</v>
      </c>
      <c r="J491" t="s">
        <v>77</v>
      </c>
      <c r="K491" t="s">
        <v>78</v>
      </c>
      <c r="L491" t="s">
        <v>100</v>
      </c>
      <c r="M491" t="s">
        <v>101</v>
      </c>
      <c r="N491" t="s">
        <v>581</v>
      </c>
      <c r="O491" t="s">
        <v>82</v>
      </c>
      <c r="P491" t="str">
        <f>"4170042159                    "</f>
        <v xml:space="preserve">4170042159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20.9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1</v>
      </c>
      <c r="BK491">
        <v>1</v>
      </c>
      <c r="BL491">
        <v>69.5</v>
      </c>
      <c r="BM491">
        <v>10.43</v>
      </c>
      <c r="BN491">
        <v>79.930000000000007</v>
      </c>
      <c r="BO491">
        <v>79.930000000000007</v>
      </c>
      <c r="BQ491" t="s">
        <v>582</v>
      </c>
      <c r="BR491" t="s">
        <v>84</v>
      </c>
      <c r="BS491" s="3">
        <v>45813</v>
      </c>
      <c r="BT491" s="4">
        <v>0.42152777777777778</v>
      </c>
      <c r="BU491" t="s">
        <v>1166</v>
      </c>
      <c r="BV491" t="s">
        <v>86</v>
      </c>
      <c r="BY491">
        <v>5000</v>
      </c>
      <c r="BZ491" t="s">
        <v>87</v>
      </c>
      <c r="CA491" t="s">
        <v>235</v>
      </c>
      <c r="CC491" t="s">
        <v>101</v>
      </c>
      <c r="CD491">
        <v>6056</v>
      </c>
      <c r="CE491" t="s">
        <v>166</v>
      </c>
      <c r="CF491" s="3">
        <v>45813</v>
      </c>
      <c r="CI491">
        <v>1</v>
      </c>
      <c r="CJ491">
        <v>1</v>
      </c>
      <c r="CK491">
        <v>21</v>
      </c>
      <c r="CL491" t="s">
        <v>90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"080065760564"</f>
        <v>080065760564</v>
      </c>
      <c r="F492" s="3">
        <v>45812</v>
      </c>
      <c r="G492">
        <v>202603</v>
      </c>
      <c r="H492" t="s">
        <v>75</v>
      </c>
      <c r="I492" t="s">
        <v>76</v>
      </c>
      <c r="J492" t="s">
        <v>77</v>
      </c>
      <c r="K492" t="s">
        <v>78</v>
      </c>
      <c r="L492" t="s">
        <v>116</v>
      </c>
      <c r="M492" t="s">
        <v>117</v>
      </c>
      <c r="N492" t="s">
        <v>936</v>
      </c>
      <c r="O492" t="s">
        <v>82</v>
      </c>
      <c r="P492" t="str">
        <f>"4170042182                    "</f>
        <v xml:space="preserve">4170042182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20.9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</v>
      </c>
      <c r="BJ492">
        <v>0.2</v>
      </c>
      <c r="BK492">
        <v>1</v>
      </c>
      <c r="BL492">
        <v>69.5</v>
      </c>
      <c r="BM492">
        <v>10.43</v>
      </c>
      <c r="BN492">
        <v>79.930000000000007</v>
      </c>
      <c r="BO492">
        <v>79.930000000000007</v>
      </c>
      <c r="BQ492" t="s">
        <v>937</v>
      </c>
      <c r="BR492" t="s">
        <v>84</v>
      </c>
      <c r="BS492" s="3">
        <v>45813</v>
      </c>
      <c r="BT492" s="4">
        <v>0.39861111111111114</v>
      </c>
      <c r="BU492" t="s">
        <v>1108</v>
      </c>
      <c r="BV492" t="s">
        <v>86</v>
      </c>
      <c r="BY492">
        <v>1200</v>
      </c>
      <c r="BZ492" t="s">
        <v>87</v>
      </c>
      <c r="CA492" t="s">
        <v>939</v>
      </c>
      <c r="CC492" t="s">
        <v>117</v>
      </c>
      <c r="CD492">
        <v>3201</v>
      </c>
      <c r="CE492" t="s">
        <v>89</v>
      </c>
      <c r="CF492" s="3">
        <v>45813</v>
      </c>
      <c r="CI492">
        <v>1</v>
      </c>
      <c r="CJ492">
        <v>1</v>
      </c>
      <c r="CK492">
        <v>21</v>
      </c>
      <c r="CL492" t="s">
        <v>90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"080065760582"</f>
        <v>080065760582</v>
      </c>
      <c r="F493" s="3">
        <v>45812</v>
      </c>
      <c r="G493">
        <v>202603</v>
      </c>
      <c r="H493" t="s">
        <v>75</v>
      </c>
      <c r="I493" t="s">
        <v>76</v>
      </c>
      <c r="J493" t="s">
        <v>77</v>
      </c>
      <c r="K493" t="s">
        <v>78</v>
      </c>
      <c r="L493" t="s">
        <v>91</v>
      </c>
      <c r="M493" t="s">
        <v>92</v>
      </c>
      <c r="N493" t="s">
        <v>93</v>
      </c>
      <c r="O493" t="s">
        <v>82</v>
      </c>
      <c r="P493" t="str">
        <f>"4170042200                    "</f>
        <v xml:space="preserve">4170042200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20.9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1</v>
      </c>
      <c r="BJ493">
        <v>0.2</v>
      </c>
      <c r="BK493">
        <v>1</v>
      </c>
      <c r="BL493">
        <v>69.5</v>
      </c>
      <c r="BM493">
        <v>10.43</v>
      </c>
      <c r="BN493">
        <v>79.930000000000007</v>
      </c>
      <c r="BO493">
        <v>79.930000000000007</v>
      </c>
      <c r="BQ493" t="s">
        <v>95</v>
      </c>
      <c r="BR493" t="s">
        <v>84</v>
      </c>
      <c r="BS493" s="3">
        <v>45813</v>
      </c>
      <c r="BT493" s="4">
        <v>0.36666666666666664</v>
      </c>
      <c r="BU493" t="s">
        <v>290</v>
      </c>
      <c r="BV493" t="s">
        <v>86</v>
      </c>
      <c r="BY493">
        <v>1200</v>
      </c>
      <c r="BZ493" t="s">
        <v>87</v>
      </c>
      <c r="CA493" t="s">
        <v>291</v>
      </c>
      <c r="CC493" t="s">
        <v>92</v>
      </c>
      <c r="CD493">
        <v>7441</v>
      </c>
      <c r="CE493" t="s">
        <v>89</v>
      </c>
      <c r="CF493" s="3">
        <v>45814</v>
      </c>
      <c r="CI493">
        <v>1</v>
      </c>
      <c r="CJ493">
        <v>1</v>
      </c>
      <c r="CK493">
        <v>21</v>
      </c>
      <c r="CL493" t="s">
        <v>90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"080065760605"</f>
        <v>080065760605</v>
      </c>
      <c r="F494" s="3">
        <v>45812</v>
      </c>
      <c r="G494">
        <v>202603</v>
      </c>
      <c r="H494" t="s">
        <v>75</v>
      </c>
      <c r="I494" t="s">
        <v>76</v>
      </c>
      <c r="J494" t="s">
        <v>77</v>
      </c>
      <c r="K494" t="s">
        <v>78</v>
      </c>
      <c r="L494" t="s">
        <v>116</v>
      </c>
      <c r="M494" t="s">
        <v>117</v>
      </c>
      <c r="N494" t="s">
        <v>1167</v>
      </c>
      <c r="O494" t="s">
        <v>82</v>
      </c>
      <c r="P494" t="str">
        <f>"4170042167                    "</f>
        <v xml:space="preserve">4170042167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20.9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1</v>
      </c>
      <c r="BJ494">
        <v>0.2</v>
      </c>
      <c r="BK494">
        <v>1</v>
      </c>
      <c r="BL494">
        <v>69.5</v>
      </c>
      <c r="BM494">
        <v>10.43</v>
      </c>
      <c r="BN494">
        <v>79.930000000000007</v>
      </c>
      <c r="BO494">
        <v>79.930000000000007</v>
      </c>
      <c r="BQ494" t="s">
        <v>1168</v>
      </c>
      <c r="BR494" t="s">
        <v>84</v>
      </c>
      <c r="BS494" s="3">
        <v>45813</v>
      </c>
      <c r="BT494" s="4">
        <v>0.41666666666666669</v>
      </c>
      <c r="BU494" t="s">
        <v>1169</v>
      </c>
      <c r="BV494" t="s">
        <v>86</v>
      </c>
      <c r="BY494">
        <v>1200</v>
      </c>
      <c r="BZ494" t="s">
        <v>87</v>
      </c>
      <c r="CA494" t="s">
        <v>491</v>
      </c>
      <c r="CC494" t="s">
        <v>117</v>
      </c>
      <c r="CD494">
        <v>3201</v>
      </c>
      <c r="CE494" t="s">
        <v>89</v>
      </c>
      <c r="CF494" s="3">
        <v>45813</v>
      </c>
      <c r="CI494">
        <v>5</v>
      </c>
      <c r="CJ494">
        <v>1</v>
      </c>
      <c r="CK494">
        <v>21</v>
      </c>
      <c r="CL494" t="s">
        <v>90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"080065760835"</f>
        <v>080065760835</v>
      </c>
      <c r="F495" s="3">
        <v>45812</v>
      </c>
      <c r="G495">
        <v>202603</v>
      </c>
      <c r="H495" t="s">
        <v>75</v>
      </c>
      <c r="I495" t="s">
        <v>76</v>
      </c>
      <c r="J495" t="s">
        <v>77</v>
      </c>
      <c r="K495" t="s">
        <v>78</v>
      </c>
      <c r="L495" t="s">
        <v>91</v>
      </c>
      <c r="M495" t="s">
        <v>92</v>
      </c>
      <c r="N495" t="s">
        <v>93</v>
      </c>
      <c r="O495" t="s">
        <v>82</v>
      </c>
      <c r="P495" t="str">
        <f>"4170042160                    "</f>
        <v xml:space="preserve">4170042160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20.9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</v>
      </c>
      <c r="BJ495">
        <v>0.2</v>
      </c>
      <c r="BK495">
        <v>1</v>
      </c>
      <c r="BL495">
        <v>69.5</v>
      </c>
      <c r="BM495">
        <v>10.43</v>
      </c>
      <c r="BN495">
        <v>79.930000000000007</v>
      </c>
      <c r="BO495">
        <v>79.930000000000007</v>
      </c>
      <c r="BQ495" t="s">
        <v>95</v>
      </c>
      <c r="BR495" t="s">
        <v>84</v>
      </c>
      <c r="BS495" s="3">
        <v>45813</v>
      </c>
      <c r="BT495" s="4">
        <v>0.36666666666666664</v>
      </c>
      <c r="BU495" t="s">
        <v>290</v>
      </c>
      <c r="BV495" t="s">
        <v>86</v>
      </c>
      <c r="BY495">
        <v>1200</v>
      </c>
      <c r="BZ495" t="s">
        <v>87</v>
      </c>
      <c r="CA495" t="s">
        <v>291</v>
      </c>
      <c r="CC495" t="s">
        <v>92</v>
      </c>
      <c r="CD495">
        <v>7441</v>
      </c>
      <c r="CE495" t="s">
        <v>89</v>
      </c>
      <c r="CF495" s="3">
        <v>45814</v>
      </c>
      <c r="CI495">
        <v>1</v>
      </c>
      <c r="CJ495">
        <v>1</v>
      </c>
      <c r="CK495">
        <v>21</v>
      </c>
      <c r="CL495" t="s">
        <v>90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"080065760849"</f>
        <v>080065760849</v>
      </c>
      <c r="F496" s="3">
        <v>45812</v>
      </c>
      <c r="G496">
        <v>202603</v>
      </c>
      <c r="H496" t="s">
        <v>75</v>
      </c>
      <c r="I496" t="s">
        <v>76</v>
      </c>
      <c r="J496" t="s">
        <v>77</v>
      </c>
      <c r="K496" t="s">
        <v>78</v>
      </c>
      <c r="L496" t="s">
        <v>136</v>
      </c>
      <c r="M496" t="s">
        <v>137</v>
      </c>
      <c r="N496" t="s">
        <v>317</v>
      </c>
      <c r="O496" t="s">
        <v>82</v>
      </c>
      <c r="P496" t="str">
        <f>"4170042207                    "</f>
        <v xml:space="preserve">4170042207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20.9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</v>
      </c>
      <c r="BJ496">
        <v>0.2</v>
      </c>
      <c r="BK496">
        <v>1</v>
      </c>
      <c r="BL496">
        <v>69.5</v>
      </c>
      <c r="BM496">
        <v>10.43</v>
      </c>
      <c r="BN496">
        <v>79.930000000000007</v>
      </c>
      <c r="BO496">
        <v>79.930000000000007</v>
      </c>
      <c r="BQ496" t="s">
        <v>318</v>
      </c>
      <c r="BR496" t="s">
        <v>84</v>
      </c>
      <c r="BS496" s="3">
        <v>45813</v>
      </c>
      <c r="BT496" s="4">
        <v>0.4375</v>
      </c>
      <c r="BU496" t="s">
        <v>1170</v>
      </c>
      <c r="BV496" t="s">
        <v>86</v>
      </c>
      <c r="BY496">
        <v>1200</v>
      </c>
      <c r="BZ496" t="s">
        <v>87</v>
      </c>
      <c r="CA496" t="s">
        <v>320</v>
      </c>
      <c r="CC496" t="s">
        <v>137</v>
      </c>
      <c r="CD496">
        <v>5201</v>
      </c>
      <c r="CE496" t="s">
        <v>89</v>
      </c>
      <c r="CF496" s="3">
        <v>45814</v>
      </c>
      <c r="CI496">
        <v>1</v>
      </c>
      <c r="CJ496">
        <v>1</v>
      </c>
      <c r="CK496">
        <v>21</v>
      </c>
      <c r="CL496" t="s">
        <v>90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"080065760866"</f>
        <v>080065760866</v>
      </c>
      <c r="F497" s="3">
        <v>45812</v>
      </c>
      <c r="G497">
        <v>202603</v>
      </c>
      <c r="H497" t="s">
        <v>75</v>
      </c>
      <c r="I497" t="s">
        <v>76</v>
      </c>
      <c r="J497" t="s">
        <v>77</v>
      </c>
      <c r="K497" t="s">
        <v>78</v>
      </c>
      <c r="L497" t="s">
        <v>174</v>
      </c>
      <c r="M497" t="s">
        <v>175</v>
      </c>
      <c r="N497" t="s">
        <v>926</v>
      </c>
      <c r="O497" t="s">
        <v>82</v>
      </c>
      <c r="P497" t="str">
        <f>"4170042095                    "</f>
        <v xml:space="preserve">4170042095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20.9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</v>
      </c>
      <c r="BJ497">
        <v>1.1000000000000001</v>
      </c>
      <c r="BK497">
        <v>1.5</v>
      </c>
      <c r="BL497">
        <v>69.5</v>
      </c>
      <c r="BM497">
        <v>10.43</v>
      </c>
      <c r="BN497">
        <v>79.930000000000007</v>
      </c>
      <c r="BO497">
        <v>79.930000000000007</v>
      </c>
      <c r="BQ497" t="s">
        <v>927</v>
      </c>
      <c r="BR497" t="s">
        <v>84</v>
      </c>
      <c r="BS497" s="3">
        <v>45813</v>
      </c>
      <c r="BT497" s="4">
        <v>0.66666666666666663</v>
      </c>
      <c r="BU497" t="s">
        <v>1171</v>
      </c>
      <c r="BV497" t="s">
        <v>90</v>
      </c>
      <c r="BW497" t="s">
        <v>212</v>
      </c>
      <c r="BX497" t="s">
        <v>837</v>
      </c>
      <c r="BY497">
        <v>5320</v>
      </c>
      <c r="BZ497" t="s">
        <v>87</v>
      </c>
      <c r="CA497" t="s">
        <v>487</v>
      </c>
      <c r="CC497" t="s">
        <v>175</v>
      </c>
      <c r="CD497">
        <v>3610</v>
      </c>
      <c r="CE497" t="s">
        <v>180</v>
      </c>
      <c r="CF497" s="3">
        <v>45813</v>
      </c>
      <c r="CI497">
        <v>1</v>
      </c>
      <c r="CJ497">
        <v>1</v>
      </c>
      <c r="CK497">
        <v>21</v>
      </c>
      <c r="CL497" t="s">
        <v>90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"080065760869"</f>
        <v>080065760869</v>
      </c>
      <c r="F498" s="3">
        <v>45812</v>
      </c>
      <c r="G498">
        <v>202603</v>
      </c>
      <c r="H498" t="s">
        <v>75</v>
      </c>
      <c r="I498" t="s">
        <v>76</v>
      </c>
      <c r="J498" t="s">
        <v>77</v>
      </c>
      <c r="K498" t="s">
        <v>78</v>
      </c>
      <c r="L498" t="s">
        <v>663</v>
      </c>
      <c r="M498" t="s">
        <v>664</v>
      </c>
      <c r="N498" t="s">
        <v>723</v>
      </c>
      <c r="O498" t="s">
        <v>82</v>
      </c>
      <c r="P498" t="str">
        <f>"4170042161                    "</f>
        <v xml:space="preserve">4170042161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40.49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1</v>
      </c>
      <c r="BJ498">
        <v>0.2</v>
      </c>
      <c r="BK498">
        <v>1</v>
      </c>
      <c r="BL498">
        <v>134.65</v>
      </c>
      <c r="BM498">
        <v>20.2</v>
      </c>
      <c r="BN498">
        <v>154.85</v>
      </c>
      <c r="BO498">
        <v>154.85</v>
      </c>
      <c r="BQ498" t="s">
        <v>724</v>
      </c>
      <c r="BR498" t="s">
        <v>84</v>
      </c>
      <c r="BS498" s="3">
        <v>45813</v>
      </c>
      <c r="BT498" s="4">
        <v>0.37222222222222223</v>
      </c>
      <c r="BU498" t="s">
        <v>725</v>
      </c>
      <c r="BV498" t="s">
        <v>86</v>
      </c>
      <c r="BY498">
        <v>1200</v>
      </c>
      <c r="BZ498" t="s">
        <v>87</v>
      </c>
      <c r="CC498" t="s">
        <v>664</v>
      </c>
      <c r="CD498">
        <v>1947</v>
      </c>
      <c r="CE498" t="s">
        <v>89</v>
      </c>
      <c r="CF498" s="3">
        <v>45813</v>
      </c>
      <c r="CI498">
        <v>1</v>
      </c>
      <c r="CJ498">
        <v>1</v>
      </c>
      <c r="CK498">
        <v>23</v>
      </c>
      <c r="CL498" t="s">
        <v>90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"080065760885"</f>
        <v>080065760885</v>
      </c>
      <c r="F499" s="3">
        <v>45812</v>
      </c>
      <c r="G499">
        <v>202603</v>
      </c>
      <c r="H499" t="s">
        <v>75</v>
      </c>
      <c r="I499" t="s">
        <v>76</v>
      </c>
      <c r="J499" t="s">
        <v>77</v>
      </c>
      <c r="K499" t="s">
        <v>78</v>
      </c>
      <c r="L499" t="s">
        <v>100</v>
      </c>
      <c r="M499" t="s">
        <v>101</v>
      </c>
      <c r="N499" t="s">
        <v>1172</v>
      </c>
      <c r="O499" t="s">
        <v>82</v>
      </c>
      <c r="P499" t="str">
        <f>"4170042203                    "</f>
        <v xml:space="preserve">4170042203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20.9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0.2</v>
      </c>
      <c r="BK499">
        <v>1</v>
      </c>
      <c r="BL499">
        <v>69.5</v>
      </c>
      <c r="BM499">
        <v>10.43</v>
      </c>
      <c r="BN499">
        <v>79.930000000000007</v>
      </c>
      <c r="BO499">
        <v>79.930000000000007</v>
      </c>
      <c r="BQ499" t="s">
        <v>1173</v>
      </c>
      <c r="BR499" t="s">
        <v>84</v>
      </c>
      <c r="BS499" s="3">
        <v>45813</v>
      </c>
      <c r="BT499" s="4">
        <v>0.4236111111111111</v>
      </c>
      <c r="BU499" t="s">
        <v>1174</v>
      </c>
      <c r="BV499" t="s">
        <v>86</v>
      </c>
      <c r="BY499">
        <v>1200</v>
      </c>
      <c r="BZ499" t="s">
        <v>87</v>
      </c>
      <c r="CA499" t="s">
        <v>394</v>
      </c>
      <c r="CC499" t="s">
        <v>101</v>
      </c>
      <c r="CD499">
        <v>6001</v>
      </c>
      <c r="CE499" t="s">
        <v>89</v>
      </c>
      <c r="CF499" s="3">
        <v>45813</v>
      </c>
      <c r="CI499">
        <v>1</v>
      </c>
      <c r="CJ499">
        <v>1</v>
      </c>
      <c r="CK499">
        <v>21</v>
      </c>
      <c r="CL499" t="s">
        <v>90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"080065760901"</f>
        <v>080065760901</v>
      </c>
      <c r="F500" s="3">
        <v>45812</v>
      </c>
      <c r="G500">
        <v>202603</v>
      </c>
      <c r="H500" t="s">
        <v>75</v>
      </c>
      <c r="I500" t="s">
        <v>76</v>
      </c>
      <c r="J500" t="s">
        <v>77</v>
      </c>
      <c r="K500" t="s">
        <v>78</v>
      </c>
      <c r="L500" t="s">
        <v>461</v>
      </c>
      <c r="M500" t="s">
        <v>462</v>
      </c>
      <c r="N500" t="s">
        <v>1175</v>
      </c>
      <c r="O500" t="s">
        <v>94</v>
      </c>
      <c r="P500" t="str">
        <f>"4170042147                    "</f>
        <v xml:space="preserve">4170042147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57.62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2</v>
      </c>
      <c r="BI500">
        <v>44</v>
      </c>
      <c r="BJ500">
        <v>18.3</v>
      </c>
      <c r="BK500">
        <v>44</v>
      </c>
      <c r="BL500">
        <v>197.19</v>
      </c>
      <c r="BM500">
        <v>29.58</v>
      </c>
      <c r="BN500">
        <v>226.77</v>
      </c>
      <c r="BO500">
        <v>226.77</v>
      </c>
      <c r="BQ500" t="s">
        <v>1176</v>
      </c>
      <c r="BR500" t="s">
        <v>84</v>
      </c>
      <c r="BS500" s="3">
        <v>45814</v>
      </c>
      <c r="BT500" s="4">
        <v>0.41666666666666669</v>
      </c>
      <c r="BU500" t="s">
        <v>1177</v>
      </c>
      <c r="BV500" t="s">
        <v>90</v>
      </c>
      <c r="BW500" t="s">
        <v>144</v>
      </c>
      <c r="BX500" t="s">
        <v>1178</v>
      </c>
      <c r="BY500">
        <v>45816</v>
      </c>
      <c r="BZ500" t="s">
        <v>97</v>
      </c>
      <c r="CC500" t="s">
        <v>462</v>
      </c>
      <c r="CD500">
        <v>1684</v>
      </c>
      <c r="CE500" t="s">
        <v>529</v>
      </c>
      <c r="CF500" s="3">
        <v>45815</v>
      </c>
      <c r="CI500">
        <v>1</v>
      </c>
      <c r="CJ500">
        <v>2</v>
      </c>
      <c r="CK500">
        <v>42</v>
      </c>
      <c r="CL500" t="s">
        <v>90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"080065760926"</f>
        <v>080065760926</v>
      </c>
      <c r="F501" s="3">
        <v>45812</v>
      </c>
      <c r="G501">
        <v>202603</v>
      </c>
      <c r="H501" t="s">
        <v>75</v>
      </c>
      <c r="I501" t="s">
        <v>76</v>
      </c>
      <c r="J501" t="s">
        <v>77</v>
      </c>
      <c r="K501" t="s">
        <v>78</v>
      </c>
      <c r="L501" t="s">
        <v>350</v>
      </c>
      <c r="M501" t="s">
        <v>351</v>
      </c>
      <c r="N501" t="s">
        <v>933</v>
      </c>
      <c r="O501" t="s">
        <v>82</v>
      </c>
      <c r="P501" t="str">
        <f>"4170042171                    "</f>
        <v xml:space="preserve">4170042171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20.9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1</v>
      </c>
      <c r="BJ501">
        <v>1.1000000000000001</v>
      </c>
      <c r="BK501">
        <v>1.5</v>
      </c>
      <c r="BL501">
        <v>69.5</v>
      </c>
      <c r="BM501">
        <v>10.43</v>
      </c>
      <c r="BN501">
        <v>79.930000000000007</v>
      </c>
      <c r="BO501">
        <v>79.930000000000007</v>
      </c>
      <c r="BQ501" t="s">
        <v>934</v>
      </c>
      <c r="BR501" t="s">
        <v>84</v>
      </c>
      <c r="BS501" s="3">
        <v>45813</v>
      </c>
      <c r="BT501" s="4">
        <v>0.41319444444444442</v>
      </c>
      <c r="BU501" t="s">
        <v>935</v>
      </c>
      <c r="BV501" t="s">
        <v>86</v>
      </c>
      <c r="BY501">
        <v>5320</v>
      </c>
      <c r="BZ501" t="s">
        <v>87</v>
      </c>
      <c r="CA501" t="s">
        <v>515</v>
      </c>
      <c r="CC501" t="s">
        <v>351</v>
      </c>
      <c r="CD501">
        <v>157</v>
      </c>
      <c r="CE501" t="s">
        <v>180</v>
      </c>
      <c r="CF501" s="3">
        <v>45813</v>
      </c>
      <c r="CI501">
        <v>1</v>
      </c>
      <c r="CJ501">
        <v>1</v>
      </c>
      <c r="CK501">
        <v>21</v>
      </c>
      <c r="CL501" t="s">
        <v>90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"080065760905"</f>
        <v>080065760905</v>
      </c>
      <c r="F502" s="3">
        <v>45812</v>
      </c>
      <c r="G502">
        <v>202603</v>
      </c>
      <c r="H502" t="s">
        <v>75</v>
      </c>
      <c r="I502" t="s">
        <v>76</v>
      </c>
      <c r="J502" t="s">
        <v>77</v>
      </c>
      <c r="K502" t="s">
        <v>78</v>
      </c>
      <c r="L502" t="s">
        <v>504</v>
      </c>
      <c r="M502" t="s">
        <v>505</v>
      </c>
      <c r="N502" t="s">
        <v>506</v>
      </c>
      <c r="O502" t="s">
        <v>82</v>
      </c>
      <c r="P502" t="str">
        <f>"4170042189                    "</f>
        <v xml:space="preserve">4170042189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40.49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1</v>
      </c>
      <c r="BJ502">
        <v>0.2</v>
      </c>
      <c r="BK502">
        <v>1</v>
      </c>
      <c r="BL502">
        <v>134.65</v>
      </c>
      <c r="BM502">
        <v>20.2</v>
      </c>
      <c r="BN502">
        <v>154.85</v>
      </c>
      <c r="BO502">
        <v>154.85</v>
      </c>
      <c r="BQ502" t="s">
        <v>507</v>
      </c>
      <c r="BR502" t="s">
        <v>84</v>
      </c>
      <c r="BS502" s="3">
        <v>45813</v>
      </c>
      <c r="BT502" s="4">
        <v>0.52847222222222223</v>
      </c>
      <c r="BU502" t="s">
        <v>1062</v>
      </c>
      <c r="BV502" t="s">
        <v>86</v>
      </c>
      <c r="BY502">
        <v>1200</v>
      </c>
      <c r="BZ502" t="s">
        <v>87</v>
      </c>
      <c r="CA502" t="s">
        <v>1063</v>
      </c>
      <c r="CC502" t="s">
        <v>505</v>
      </c>
      <c r="CD502">
        <v>2740</v>
      </c>
      <c r="CE502" t="s">
        <v>89</v>
      </c>
      <c r="CF502" s="3">
        <v>45814</v>
      </c>
      <c r="CI502">
        <v>1</v>
      </c>
      <c r="CJ502">
        <v>1</v>
      </c>
      <c r="CK502">
        <v>23</v>
      </c>
      <c r="CL502" t="s">
        <v>90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"080065760939"</f>
        <v>080065760939</v>
      </c>
      <c r="F503" s="3">
        <v>45812</v>
      </c>
      <c r="G503">
        <v>202603</v>
      </c>
      <c r="H503" t="s">
        <v>75</v>
      </c>
      <c r="I503" t="s">
        <v>76</v>
      </c>
      <c r="J503" t="s">
        <v>77</v>
      </c>
      <c r="K503" t="s">
        <v>78</v>
      </c>
      <c r="L503" t="s">
        <v>136</v>
      </c>
      <c r="M503" t="s">
        <v>137</v>
      </c>
      <c r="N503" t="s">
        <v>621</v>
      </c>
      <c r="O503" t="s">
        <v>82</v>
      </c>
      <c r="P503" t="str">
        <f>"4170042210                    "</f>
        <v xml:space="preserve">4170042210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31.34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3</v>
      </c>
      <c r="BJ503">
        <v>1.9</v>
      </c>
      <c r="BK503">
        <v>3</v>
      </c>
      <c r="BL503">
        <v>104.22</v>
      </c>
      <c r="BM503">
        <v>15.63</v>
      </c>
      <c r="BN503">
        <v>119.85</v>
      </c>
      <c r="BO503">
        <v>119.85</v>
      </c>
      <c r="BQ503" t="s">
        <v>622</v>
      </c>
      <c r="BR503" t="s">
        <v>84</v>
      </c>
      <c r="BS503" s="3">
        <v>45813</v>
      </c>
      <c r="BT503" s="4">
        <v>0.55555555555555558</v>
      </c>
      <c r="BU503" t="s">
        <v>1156</v>
      </c>
      <c r="BV503" t="s">
        <v>90</v>
      </c>
      <c r="BY503">
        <v>9600</v>
      </c>
      <c r="BZ503" t="s">
        <v>87</v>
      </c>
      <c r="CA503" t="s">
        <v>1157</v>
      </c>
      <c r="CC503" t="s">
        <v>137</v>
      </c>
      <c r="CD503">
        <v>5201</v>
      </c>
      <c r="CE503" t="s">
        <v>180</v>
      </c>
      <c r="CF503" s="3">
        <v>45813</v>
      </c>
      <c r="CI503">
        <v>1</v>
      </c>
      <c r="CJ503">
        <v>1</v>
      </c>
      <c r="CK503">
        <v>21</v>
      </c>
      <c r="CL503" t="s">
        <v>90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"080065760961"</f>
        <v>080065760961</v>
      </c>
      <c r="F504" s="3">
        <v>45812</v>
      </c>
      <c r="G504">
        <v>202603</v>
      </c>
      <c r="H504" t="s">
        <v>75</v>
      </c>
      <c r="I504" t="s">
        <v>76</v>
      </c>
      <c r="J504" t="s">
        <v>77</v>
      </c>
      <c r="K504" t="s">
        <v>78</v>
      </c>
      <c r="L504" t="s">
        <v>106</v>
      </c>
      <c r="M504" t="s">
        <v>107</v>
      </c>
      <c r="N504" t="s">
        <v>126</v>
      </c>
      <c r="O504" t="s">
        <v>82</v>
      </c>
      <c r="P504" t="str">
        <f>"4170042211                    "</f>
        <v xml:space="preserve">4170042211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20.9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2</v>
      </c>
      <c r="BJ504">
        <v>1.7</v>
      </c>
      <c r="BK504">
        <v>2</v>
      </c>
      <c r="BL504">
        <v>69.5</v>
      </c>
      <c r="BM504">
        <v>10.43</v>
      </c>
      <c r="BN504">
        <v>79.930000000000007</v>
      </c>
      <c r="BO504">
        <v>79.930000000000007</v>
      </c>
      <c r="BQ504" t="s">
        <v>127</v>
      </c>
      <c r="BR504" t="s">
        <v>84</v>
      </c>
      <c r="BS504" s="3">
        <v>45813</v>
      </c>
      <c r="BT504" s="4">
        <v>0.34097222222222223</v>
      </c>
      <c r="BU504" t="s">
        <v>128</v>
      </c>
      <c r="BV504" t="s">
        <v>86</v>
      </c>
      <c r="BY504">
        <v>8550</v>
      </c>
      <c r="BZ504" t="s">
        <v>87</v>
      </c>
      <c r="CA504" t="s">
        <v>129</v>
      </c>
      <c r="CC504" t="s">
        <v>107</v>
      </c>
      <c r="CD504">
        <v>30</v>
      </c>
      <c r="CE504" t="s">
        <v>180</v>
      </c>
      <c r="CF504" s="3">
        <v>45813</v>
      </c>
      <c r="CI504">
        <v>1</v>
      </c>
      <c r="CJ504">
        <v>1</v>
      </c>
      <c r="CK504">
        <v>21</v>
      </c>
      <c r="CL504" t="s">
        <v>90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"080065760979"</f>
        <v>080065760979</v>
      </c>
      <c r="F505" s="3">
        <v>45812</v>
      </c>
      <c r="G505">
        <v>202603</v>
      </c>
      <c r="H505" t="s">
        <v>75</v>
      </c>
      <c r="I505" t="s">
        <v>76</v>
      </c>
      <c r="J505" t="s">
        <v>77</v>
      </c>
      <c r="K505" t="s">
        <v>78</v>
      </c>
      <c r="L505" t="s">
        <v>266</v>
      </c>
      <c r="M505" t="s">
        <v>267</v>
      </c>
      <c r="N505" t="s">
        <v>561</v>
      </c>
      <c r="O505" t="s">
        <v>82</v>
      </c>
      <c r="P505" t="str">
        <f>"4170042192                    "</f>
        <v xml:space="preserve">4170042192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36.56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2</v>
      </c>
      <c r="BJ505">
        <v>3.2</v>
      </c>
      <c r="BK505">
        <v>3.5</v>
      </c>
      <c r="BL505">
        <v>121.58</v>
      </c>
      <c r="BM505">
        <v>18.239999999999998</v>
      </c>
      <c r="BN505">
        <v>139.82</v>
      </c>
      <c r="BO505">
        <v>139.82</v>
      </c>
      <c r="BQ505" t="s">
        <v>562</v>
      </c>
      <c r="BR505" t="s">
        <v>84</v>
      </c>
      <c r="BS505" s="3">
        <v>45813</v>
      </c>
      <c r="BT505" s="4">
        <v>0.40763888888888888</v>
      </c>
      <c r="BU505" t="s">
        <v>563</v>
      </c>
      <c r="BV505" t="s">
        <v>86</v>
      </c>
      <c r="BY505">
        <v>16128</v>
      </c>
      <c r="BZ505" t="s">
        <v>87</v>
      </c>
      <c r="CA505" t="s">
        <v>271</v>
      </c>
      <c r="CC505" t="s">
        <v>267</v>
      </c>
      <c r="CD505">
        <v>6230</v>
      </c>
      <c r="CE505" t="s">
        <v>166</v>
      </c>
      <c r="CF505" s="3">
        <v>45813</v>
      </c>
      <c r="CI505">
        <v>1</v>
      </c>
      <c r="CJ505">
        <v>1</v>
      </c>
      <c r="CK505">
        <v>21</v>
      </c>
      <c r="CL505" t="s">
        <v>90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"080065761008"</f>
        <v>080065761008</v>
      </c>
      <c r="F506" s="3">
        <v>45812</v>
      </c>
      <c r="G506">
        <v>202603</v>
      </c>
      <c r="H506" t="s">
        <v>75</v>
      </c>
      <c r="I506" t="s">
        <v>76</v>
      </c>
      <c r="J506" t="s">
        <v>77</v>
      </c>
      <c r="K506" t="s">
        <v>78</v>
      </c>
      <c r="L506" t="s">
        <v>106</v>
      </c>
      <c r="M506" t="s">
        <v>107</v>
      </c>
      <c r="N506" t="s">
        <v>1141</v>
      </c>
      <c r="O506" t="s">
        <v>82</v>
      </c>
      <c r="P506" t="str">
        <f>"4170042173                    "</f>
        <v xml:space="preserve">4170042173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20.9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1.9</v>
      </c>
      <c r="BK506">
        <v>2</v>
      </c>
      <c r="BL506">
        <v>69.5</v>
      </c>
      <c r="BM506">
        <v>10.43</v>
      </c>
      <c r="BN506">
        <v>79.930000000000007</v>
      </c>
      <c r="BO506">
        <v>79.930000000000007</v>
      </c>
      <c r="BQ506" t="s">
        <v>1142</v>
      </c>
      <c r="BR506" t="s">
        <v>84</v>
      </c>
      <c r="BS506" s="3">
        <v>45813</v>
      </c>
      <c r="BT506" s="4">
        <v>0.40277777777777779</v>
      </c>
      <c r="BU506" t="s">
        <v>1143</v>
      </c>
      <c r="BV506" t="s">
        <v>86</v>
      </c>
      <c r="BY506">
        <v>9600</v>
      </c>
      <c r="BZ506" t="s">
        <v>87</v>
      </c>
      <c r="CA506" t="s">
        <v>1072</v>
      </c>
      <c r="CC506" t="s">
        <v>107</v>
      </c>
      <c r="CD506">
        <v>184</v>
      </c>
      <c r="CE506" t="s">
        <v>99</v>
      </c>
      <c r="CF506" s="3">
        <v>45813</v>
      </c>
      <c r="CI506">
        <v>1</v>
      </c>
      <c r="CJ506">
        <v>1</v>
      </c>
      <c r="CK506">
        <v>21</v>
      </c>
      <c r="CL506" t="s">
        <v>90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"080065761273"</f>
        <v>080065761273</v>
      </c>
      <c r="F507" s="3">
        <v>45812</v>
      </c>
      <c r="G507">
        <v>202603</v>
      </c>
      <c r="H507" t="s">
        <v>75</v>
      </c>
      <c r="I507" t="s">
        <v>76</v>
      </c>
      <c r="J507" t="s">
        <v>77</v>
      </c>
      <c r="K507" t="s">
        <v>78</v>
      </c>
      <c r="L507" t="s">
        <v>174</v>
      </c>
      <c r="M507" t="s">
        <v>175</v>
      </c>
      <c r="N507" t="s">
        <v>337</v>
      </c>
      <c r="O507" t="s">
        <v>82</v>
      </c>
      <c r="P507" t="str">
        <f>"4170042174                    "</f>
        <v xml:space="preserve">4170042174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20.9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0.2</v>
      </c>
      <c r="BK507">
        <v>1</v>
      </c>
      <c r="BL507">
        <v>69.5</v>
      </c>
      <c r="BM507">
        <v>10.43</v>
      </c>
      <c r="BN507">
        <v>79.930000000000007</v>
      </c>
      <c r="BO507">
        <v>79.930000000000007</v>
      </c>
      <c r="BQ507" t="s">
        <v>338</v>
      </c>
      <c r="BR507" t="s">
        <v>84</v>
      </c>
      <c r="BS507" s="3">
        <v>45813</v>
      </c>
      <c r="BT507" s="4">
        <v>0.80277777777777781</v>
      </c>
      <c r="BU507" t="s">
        <v>1179</v>
      </c>
      <c r="BV507" t="s">
        <v>90</v>
      </c>
      <c r="BW507" t="s">
        <v>212</v>
      </c>
      <c r="BX507" t="s">
        <v>837</v>
      </c>
      <c r="BY507">
        <v>1200</v>
      </c>
      <c r="BZ507" t="s">
        <v>87</v>
      </c>
      <c r="CA507" t="s">
        <v>487</v>
      </c>
      <c r="CC507" t="s">
        <v>175</v>
      </c>
      <c r="CD507">
        <v>3608</v>
      </c>
      <c r="CE507" t="s">
        <v>89</v>
      </c>
      <c r="CF507" s="3">
        <v>45813</v>
      </c>
      <c r="CI507">
        <v>1</v>
      </c>
      <c r="CJ507">
        <v>1</v>
      </c>
      <c r="CK507">
        <v>21</v>
      </c>
      <c r="CL507" t="s">
        <v>90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"080065761295"</f>
        <v>080065761295</v>
      </c>
      <c r="F508" s="3">
        <v>45812</v>
      </c>
      <c r="G508">
        <v>202603</v>
      </c>
      <c r="H508" t="s">
        <v>75</v>
      </c>
      <c r="I508" t="s">
        <v>76</v>
      </c>
      <c r="J508" t="s">
        <v>77</v>
      </c>
      <c r="K508" t="s">
        <v>78</v>
      </c>
      <c r="L508" t="s">
        <v>504</v>
      </c>
      <c r="M508" t="s">
        <v>505</v>
      </c>
      <c r="N508" t="s">
        <v>506</v>
      </c>
      <c r="O508" t="s">
        <v>82</v>
      </c>
      <c r="P508" t="str">
        <f>"4170042222                    "</f>
        <v xml:space="preserve">4170042222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40.49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1</v>
      </c>
      <c r="BJ508">
        <v>0.2</v>
      </c>
      <c r="BK508">
        <v>1</v>
      </c>
      <c r="BL508">
        <v>134.65</v>
      </c>
      <c r="BM508">
        <v>20.2</v>
      </c>
      <c r="BN508">
        <v>154.85</v>
      </c>
      <c r="BO508">
        <v>154.85</v>
      </c>
      <c r="BQ508" t="s">
        <v>507</v>
      </c>
      <c r="BR508" t="s">
        <v>84</v>
      </c>
      <c r="BS508" s="3">
        <v>45813</v>
      </c>
      <c r="BT508" s="4">
        <v>0.3298611111111111</v>
      </c>
      <c r="BU508" t="s">
        <v>508</v>
      </c>
      <c r="BV508" t="s">
        <v>86</v>
      </c>
      <c r="BY508">
        <v>1200</v>
      </c>
      <c r="BZ508" t="s">
        <v>87</v>
      </c>
      <c r="CC508" t="s">
        <v>505</v>
      </c>
      <c r="CD508">
        <v>2740</v>
      </c>
      <c r="CE508" t="s">
        <v>89</v>
      </c>
      <c r="CF508" s="3">
        <v>45814</v>
      </c>
      <c r="CI508">
        <v>1</v>
      </c>
      <c r="CJ508">
        <v>1</v>
      </c>
      <c r="CK508">
        <v>23</v>
      </c>
      <c r="CL508" t="s">
        <v>90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"080065761328"</f>
        <v>080065761328</v>
      </c>
      <c r="F509" s="3">
        <v>45812</v>
      </c>
      <c r="G509">
        <v>202603</v>
      </c>
      <c r="H509" t="s">
        <v>75</v>
      </c>
      <c r="I509" t="s">
        <v>76</v>
      </c>
      <c r="J509" t="s">
        <v>77</v>
      </c>
      <c r="K509" t="s">
        <v>78</v>
      </c>
      <c r="L509" t="s">
        <v>975</v>
      </c>
      <c r="M509" t="s">
        <v>976</v>
      </c>
      <c r="N509" t="s">
        <v>977</v>
      </c>
      <c r="O509" t="s">
        <v>82</v>
      </c>
      <c r="P509" t="str">
        <f>"4170042227                    "</f>
        <v xml:space="preserve">4170042227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40.49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0.2</v>
      </c>
      <c r="BK509">
        <v>1</v>
      </c>
      <c r="BL509">
        <v>134.65</v>
      </c>
      <c r="BM509">
        <v>20.2</v>
      </c>
      <c r="BN509">
        <v>154.85</v>
      </c>
      <c r="BO509">
        <v>154.85</v>
      </c>
      <c r="BQ509" t="s">
        <v>978</v>
      </c>
      <c r="BR509" t="s">
        <v>84</v>
      </c>
      <c r="BS509" s="3">
        <v>45813</v>
      </c>
      <c r="BT509" s="4">
        <v>0.61805555555555558</v>
      </c>
      <c r="BU509" t="s">
        <v>1180</v>
      </c>
      <c r="BV509" t="s">
        <v>86</v>
      </c>
      <c r="BY509">
        <v>1200</v>
      </c>
      <c r="BZ509" t="s">
        <v>87</v>
      </c>
      <c r="CA509" t="s">
        <v>980</v>
      </c>
      <c r="CC509" t="s">
        <v>976</v>
      </c>
      <c r="CD509">
        <v>6500</v>
      </c>
      <c r="CE509" t="s">
        <v>89</v>
      </c>
      <c r="CF509" s="3">
        <v>45814</v>
      </c>
      <c r="CI509">
        <v>1</v>
      </c>
      <c r="CJ509">
        <v>1</v>
      </c>
      <c r="CK509">
        <v>23</v>
      </c>
      <c r="CL509" t="s">
        <v>90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"080065761343"</f>
        <v>080065761343</v>
      </c>
      <c r="F510" s="3">
        <v>45812</v>
      </c>
      <c r="G510">
        <v>202603</v>
      </c>
      <c r="H510" t="s">
        <v>75</v>
      </c>
      <c r="I510" t="s">
        <v>76</v>
      </c>
      <c r="J510" t="s">
        <v>77</v>
      </c>
      <c r="K510" t="s">
        <v>78</v>
      </c>
      <c r="L510" t="s">
        <v>100</v>
      </c>
      <c r="M510" t="s">
        <v>101</v>
      </c>
      <c r="N510" t="s">
        <v>492</v>
      </c>
      <c r="O510" t="s">
        <v>82</v>
      </c>
      <c r="P510" t="str">
        <f>"4170042206                    "</f>
        <v xml:space="preserve">4170042206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36.56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1</v>
      </c>
      <c r="BJ510">
        <v>3.4</v>
      </c>
      <c r="BK510">
        <v>3.5</v>
      </c>
      <c r="BL510">
        <v>121.58</v>
      </c>
      <c r="BM510">
        <v>18.239999999999998</v>
      </c>
      <c r="BN510">
        <v>139.82</v>
      </c>
      <c r="BO510">
        <v>139.82</v>
      </c>
      <c r="BQ510" t="s">
        <v>493</v>
      </c>
      <c r="BR510" t="s">
        <v>84</v>
      </c>
      <c r="BS510" s="3">
        <v>45813</v>
      </c>
      <c r="BT510" s="4">
        <v>0.42708333333333331</v>
      </c>
      <c r="BU510" t="s">
        <v>981</v>
      </c>
      <c r="BV510" t="s">
        <v>86</v>
      </c>
      <c r="BY510">
        <v>16965</v>
      </c>
      <c r="BZ510" t="s">
        <v>87</v>
      </c>
      <c r="CA510" t="s">
        <v>348</v>
      </c>
      <c r="CC510" t="s">
        <v>101</v>
      </c>
      <c r="CD510">
        <v>6001</v>
      </c>
      <c r="CE510" t="s">
        <v>99</v>
      </c>
      <c r="CF510" s="3">
        <v>45813</v>
      </c>
      <c r="CI510">
        <v>1</v>
      </c>
      <c r="CJ510">
        <v>1</v>
      </c>
      <c r="CK510">
        <v>21</v>
      </c>
      <c r="CL510" t="s">
        <v>90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"080065761402"</f>
        <v>080065761402</v>
      </c>
      <c r="F511" s="3">
        <v>45812</v>
      </c>
      <c r="G511">
        <v>202603</v>
      </c>
      <c r="H511" t="s">
        <v>75</v>
      </c>
      <c r="I511" t="s">
        <v>76</v>
      </c>
      <c r="J511" t="s">
        <v>77</v>
      </c>
      <c r="K511" t="s">
        <v>78</v>
      </c>
      <c r="L511" t="s">
        <v>100</v>
      </c>
      <c r="M511" t="s">
        <v>101</v>
      </c>
      <c r="N511" t="s">
        <v>1181</v>
      </c>
      <c r="O511" t="s">
        <v>82</v>
      </c>
      <c r="P511" t="str">
        <f>"4170042158                    "</f>
        <v xml:space="preserve">4170042158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20.9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1</v>
      </c>
      <c r="BJ511">
        <v>0.2</v>
      </c>
      <c r="BK511">
        <v>1</v>
      </c>
      <c r="BL511">
        <v>69.5</v>
      </c>
      <c r="BM511">
        <v>10.43</v>
      </c>
      <c r="BN511">
        <v>79.930000000000007</v>
      </c>
      <c r="BO511">
        <v>79.930000000000007</v>
      </c>
      <c r="BQ511" t="s">
        <v>1182</v>
      </c>
      <c r="BR511" t="s">
        <v>84</v>
      </c>
      <c r="BS511" s="3">
        <v>45813</v>
      </c>
      <c r="BT511" s="4">
        <v>0.42708333333333331</v>
      </c>
      <c r="BU511" t="s">
        <v>1183</v>
      </c>
      <c r="BV511" t="s">
        <v>86</v>
      </c>
      <c r="BY511">
        <v>1200</v>
      </c>
      <c r="BZ511" t="s">
        <v>87</v>
      </c>
      <c r="CC511" t="s">
        <v>101</v>
      </c>
      <c r="CD511">
        <v>6001</v>
      </c>
      <c r="CE511" t="s">
        <v>89</v>
      </c>
      <c r="CF511" s="3">
        <v>45813</v>
      </c>
      <c r="CI511">
        <v>1</v>
      </c>
      <c r="CJ511">
        <v>1</v>
      </c>
      <c r="CK511">
        <v>21</v>
      </c>
      <c r="CL511" t="s">
        <v>90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"080065762194"</f>
        <v>080065762194</v>
      </c>
      <c r="F512" s="3">
        <v>45812</v>
      </c>
      <c r="G512">
        <v>202603</v>
      </c>
      <c r="H512" t="s">
        <v>75</v>
      </c>
      <c r="I512" t="s">
        <v>76</v>
      </c>
      <c r="J512" t="s">
        <v>77</v>
      </c>
      <c r="K512" t="s">
        <v>78</v>
      </c>
      <c r="L512" t="s">
        <v>91</v>
      </c>
      <c r="M512" t="s">
        <v>92</v>
      </c>
      <c r="N512" t="s">
        <v>763</v>
      </c>
      <c r="O512" t="s">
        <v>82</v>
      </c>
      <c r="P512" t="str">
        <f>"4170042178                    "</f>
        <v xml:space="preserve">4170042178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20.9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</v>
      </c>
      <c r="BJ512">
        <v>1.4</v>
      </c>
      <c r="BK512">
        <v>1.5</v>
      </c>
      <c r="BL512">
        <v>69.5</v>
      </c>
      <c r="BM512">
        <v>10.43</v>
      </c>
      <c r="BN512">
        <v>79.930000000000007</v>
      </c>
      <c r="BO512">
        <v>79.930000000000007</v>
      </c>
      <c r="BQ512" t="s">
        <v>764</v>
      </c>
      <c r="BR512" t="s">
        <v>84</v>
      </c>
      <c r="BS512" s="3">
        <v>45813</v>
      </c>
      <c r="BT512" s="4">
        <v>0.61944444444444446</v>
      </c>
      <c r="BU512" t="s">
        <v>1184</v>
      </c>
      <c r="BV512" t="s">
        <v>90</v>
      </c>
      <c r="BW512" t="s">
        <v>144</v>
      </c>
      <c r="BX512" t="s">
        <v>199</v>
      </c>
      <c r="BY512">
        <v>6860</v>
      </c>
      <c r="BZ512" t="s">
        <v>87</v>
      </c>
      <c r="CA512" t="s">
        <v>767</v>
      </c>
      <c r="CC512" t="s">
        <v>92</v>
      </c>
      <c r="CD512">
        <v>7550</v>
      </c>
      <c r="CE512" t="s">
        <v>166</v>
      </c>
      <c r="CF512" s="3">
        <v>45814</v>
      </c>
      <c r="CI512">
        <v>1</v>
      </c>
      <c r="CJ512">
        <v>1</v>
      </c>
      <c r="CK512">
        <v>21</v>
      </c>
      <c r="CL512" t="s">
        <v>90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"080065762214"</f>
        <v>080065762214</v>
      </c>
      <c r="F513" s="3">
        <v>45812</v>
      </c>
      <c r="G513">
        <v>202603</v>
      </c>
      <c r="H513" t="s">
        <v>75</v>
      </c>
      <c r="I513" t="s">
        <v>76</v>
      </c>
      <c r="J513" t="s">
        <v>77</v>
      </c>
      <c r="K513" t="s">
        <v>78</v>
      </c>
      <c r="L513" t="s">
        <v>106</v>
      </c>
      <c r="M513" t="s">
        <v>107</v>
      </c>
      <c r="N513" t="s">
        <v>167</v>
      </c>
      <c r="O513" t="s">
        <v>94</v>
      </c>
      <c r="P513" t="str">
        <f>"4170041321                    "</f>
        <v xml:space="preserve">4170041321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40.409999999999997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4</v>
      </c>
      <c r="BJ513">
        <v>1.4</v>
      </c>
      <c r="BK513">
        <v>4</v>
      </c>
      <c r="BL513">
        <v>139.96</v>
      </c>
      <c r="BM513">
        <v>20.99</v>
      </c>
      <c r="BN513">
        <v>160.94999999999999</v>
      </c>
      <c r="BO513">
        <v>160.94999999999999</v>
      </c>
      <c r="BQ513" t="s">
        <v>168</v>
      </c>
      <c r="BR513" t="s">
        <v>84</v>
      </c>
      <c r="BS513" s="3">
        <v>45813</v>
      </c>
      <c r="BT513" s="4">
        <v>0.45694444444444443</v>
      </c>
      <c r="BU513" t="s">
        <v>1185</v>
      </c>
      <c r="BV513" t="s">
        <v>86</v>
      </c>
      <c r="BY513">
        <v>7000</v>
      </c>
      <c r="BZ513" t="s">
        <v>97</v>
      </c>
      <c r="CA513" t="s">
        <v>1186</v>
      </c>
      <c r="CC513" t="s">
        <v>107</v>
      </c>
      <c r="CD513">
        <v>1</v>
      </c>
      <c r="CE513" t="s">
        <v>99</v>
      </c>
      <c r="CF513" s="3">
        <v>45813</v>
      </c>
      <c r="CI513">
        <v>1</v>
      </c>
      <c r="CJ513">
        <v>1</v>
      </c>
      <c r="CK513">
        <v>41</v>
      </c>
      <c r="CL513" t="s">
        <v>90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"080065762874"</f>
        <v>080065762874</v>
      </c>
      <c r="F514" s="3">
        <v>45812</v>
      </c>
      <c r="G514">
        <v>202603</v>
      </c>
      <c r="H514" t="s">
        <v>75</v>
      </c>
      <c r="I514" t="s">
        <v>76</v>
      </c>
      <c r="J514" t="s">
        <v>77</v>
      </c>
      <c r="K514" t="s">
        <v>78</v>
      </c>
      <c r="L514" t="s">
        <v>91</v>
      </c>
      <c r="M514" t="s">
        <v>92</v>
      </c>
      <c r="N514" t="s">
        <v>1187</v>
      </c>
      <c r="O514" t="s">
        <v>94</v>
      </c>
      <c r="P514" t="str">
        <f>"4170042134                    "</f>
        <v xml:space="preserve">4170042134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133.84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3</v>
      </c>
      <c r="BI514">
        <v>71</v>
      </c>
      <c r="BJ514">
        <v>44.3</v>
      </c>
      <c r="BK514">
        <v>71</v>
      </c>
      <c r="BL514">
        <v>450.67</v>
      </c>
      <c r="BM514">
        <v>67.599999999999994</v>
      </c>
      <c r="BN514">
        <v>518.27</v>
      </c>
      <c r="BO514">
        <v>518.27</v>
      </c>
      <c r="BQ514" t="s">
        <v>1188</v>
      </c>
      <c r="BR514" t="s">
        <v>84</v>
      </c>
      <c r="BS514" s="3">
        <v>45814</v>
      </c>
      <c r="BT514" s="4">
        <v>0.54861111111111116</v>
      </c>
      <c r="BU514" t="s">
        <v>1189</v>
      </c>
      <c r="BV514" t="s">
        <v>86</v>
      </c>
      <c r="BY514">
        <v>221280</v>
      </c>
      <c r="BZ514" t="s">
        <v>97</v>
      </c>
      <c r="CA514" t="s">
        <v>153</v>
      </c>
      <c r="CC514" t="s">
        <v>92</v>
      </c>
      <c r="CD514">
        <v>7405</v>
      </c>
      <c r="CE514" t="s">
        <v>99</v>
      </c>
      <c r="CF514" s="3">
        <v>45817</v>
      </c>
      <c r="CI514">
        <v>3</v>
      </c>
      <c r="CJ514">
        <v>2</v>
      </c>
      <c r="CK514">
        <v>41</v>
      </c>
      <c r="CL514" t="s">
        <v>90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"080065763115"</f>
        <v>080065763115</v>
      </c>
      <c r="F515" s="3">
        <v>45812</v>
      </c>
      <c r="G515">
        <v>202603</v>
      </c>
      <c r="H515" t="s">
        <v>75</v>
      </c>
      <c r="I515" t="s">
        <v>76</v>
      </c>
      <c r="J515" t="s">
        <v>77</v>
      </c>
      <c r="K515" t="s">
        <v>78</v>
      </c>
      <c r="L515" t="s">
        <v>100</v>
      </c>
      <c r="M515" t="s">
        <v>101</v>
      </c>
      <c r="N515" t="s">
        <v>123</v>
      </c>
      <c r="O515" t="s">
        <v>94</v>
      </c>
      <c r="P515" t="str">
        <f>"4170042230                    "</f>
        <v xml:space="preserve">4170042230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70.44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12</v>
      </c>
      <c r="BJ515">
        <v>32.700000000000003</v>
      </c>
      <c r="BK515">
        <v>33</v>
      </c>
      <c r="BL515">
        <v>239.83</v>
      </c>
      <c r="BM515">
        <v>35.97</v>
      </c>
      <c r="BN515">
        <v>275.8</v>
      </c>
      <c r="BO515">
        <v>275.8</v>
      </c>
      <c r="BQ515" t="s">
        <v>124</v>
      </c>
      <c r="BR515" t="s">
        <v>84</v>
      </c>
      <c r="BS515" s="3">
        <v>45814</v>
      </c>
      <c r="BT515" s="4">
        <v>0.39513888888888887</v>
      </c>
      <c r="BU515" t="s">
        <v>234</v>
      </c>
      <c r="BV515" t="s">
        <v>86</v>
      </c>
      <c r="BY515">
        <v>163268</v>
      </c>
      <c r="BZ515" t="s">
        <v>97</v>
      </c>
      <c r="CA515" t="s">
        <v>235</v>
      </c>
      <c r="CC515" t="s">
        <v>101</v>
      </c>
      <c r="CD515">
        <v>6001</v>
      </c>
      <c r="CE515" t="s">
        <v>99</v>
      </c>
      <c r="CF515" s="3">
        <v>45814</v>
      </c>
      <c r="CI515">
        <v>3</v>
      </c>
      <c r="CJ515">
        <v>2</v>
      </c>
      <c r="CK515">
        <v>41</v>
      </c>
      <c r="CL515" t="s">
        <v>90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"080065763152"</f>
        <v>080065763152</v>
      </c>
      <c r="F516" s="3">
        <v>45812</v>
      </c>
      <c r="G516">
        <v>202603</v>
      </c>
      <c r="H516" t="s">
        <v>75</v>
      </c>
      <c r="I516" t="s">
        <v>76</v>
      </c>
      <c r="J516" t="s">
        <v>77</v>
      </c>
      <c r="K516" t="s">
        <v>78</v>
      </c>
      <c r="L516" t="s">
        <v>100</v>
      </c>
      <c r="M516" t="s">
        <v>101</v>
      </c>
      <c r="N516" t="s">
        <v>516</v>
      </c>
      <c r="O516" t="s">
        <v>82</v>
      </c>
      <c r="P516" t="str">
        <f>"4170042229                    "</f>
        <v xml:space="preserve">4170042229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125.3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12</v>
      </c>
      <c r="BJ516">
        <v>4.5</v>
      </c>
      <c r="BK516">
        <v>12</v>
      </c>
      <c r="BL516">
        <v>416.7</v>
      </c>
      <c r="BM516">
        <v>62.51</v>
      </c>
      <c r="BN516">
        <v>479.21</v>
      </c>
      <c r="BO516">
        <v>479.21</v>
      </c>
      <c r="BQ516" t="s">
        <v>517</v>
      </c>
      <c r="BR516" t="s">
        <v>84</v>
      </c>
      <c r="BS516" s="3">
        <v>45813</v>
      </c>
      <c r="BT516" s="4">
        <v>0.54791666666666672</v>
      </c>
      <c r="BU516" t="s">
        <v>1190</v>
      </c>
      <c r="BV516" t="s">
        <v>90</v>
      </c>
      <c r="BY516">
        <v>22344</v>
      </c>
      <c r="BZ516" t="s">
        <v>87</v>
      </c>
      <c r="CA516" t="s">
        <v>105</v>
      </c>
      <c r="CC516" t="s">
        <v>101</v>
      </c>
      <c r="CD516">
        <v>6001</v>
      </c>
      <c r="CE516" t="s">
        <v>529</v>
      </c>
      <c r="CF516" s="3">
        <v>45813</v>
      </c>
      <c r="CI516">
        <v>1</v>
      </c>
      <c r="CJ516">
        <v>1</v>
      </c>
      <c r="CK516">
        <v>21</v>
      </c>
      <c r="CL516" t="s">
        <v>90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"080065763357"</f>
        <v>080065763357</v>
      </c>
      <c r="F517" s="3">
        <v>45812</v>
      </c>
      <c r="G517">
        <v>202603</v>
      </c>
      <c r="H517" t="s">
        <v>75</v>
      </c>
      <c r="I517" t="s">
        <v>76</v>
      </c>
      <c r="J517" t="s">
        <v>77</v>
      </c>
      <c r="K517" t="s">
        <v>78</v>
      </c>
      <c r="L517" t="s">
        <v>293</v>
      </c>
      <c r="M517" t="s">
        <v>294</v>
      </c>
      <c r="N517" t="s">
        <v>1191</v>
      </c>
      <c r="O517" t="s">
        <v>82</v>
      </c>
      <c r="P517" t="str">
        <f>"4170042213                    "</f>
        <v xml:space="preserve">4170042213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122.77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4</v>
      </c>
      <c r="BJ517">
        <v>6.2</v>
      </c>
      <c r="BK517">
        <v>6.5</v>
      </c>
      <c r="BL517">
        <v>408.27</v>
      </c>
      <c r="BM517">
        <v>61.24</v>
      </c>
      <c r="BN517">
        <v>469.51</v>
      </c>
      <c r="BO517">
        <v>469.51</v>
      </c>
      <c r="BQ517" t="s">
        <v>1192</v>
      </c>
      <c r="BR517" t="s">
        <v>84</v>
      </c>
      <c r="BS517" s="3">
        <v>45813</v>
      </c>
      <c r="BT517" s="4">
        <v>0.43055555555555558</v>
      </c>
      <c r="BU517" t="s">
        <v>1193</v>
      </c>
      <c r="BV517" t="s">
        <v>86</v>
      </c>
      <c r="BY517">
        <v>31008</v>
      </c>
      <c r="BZ517" t="s">
        <v>87</v>
      </c>
      <c r="CA517" t="s">
        <v>945</v>
      </c>
      <c r="CC517" t="s">
        <v>294</v>
      </c>
      <c r="CD517">
        <v>1900</v>
      </c>
      <c r="CE517" t="s">
        <v>166</v>
      </c>
      <c r="CF517" s="3">
        <v>45813</v>
      </c>
      <c r="CI517">
        <v>1</v>
      </c>
      <c r="CJ517">
        <v>1</v>
      </c>
      <c r="CK517">
        <v>23</v>
      </c>
      <c r="CL517" t="s">
        <v>90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"080065763388"</f>
        <v>080065763388</v>
      </c>
      <c r="F518" s="3">
        <v>45812</v>
      </c>
      <c r="G518">
        <v>202603</v>
      </c>
      <c r="H518" t="s">
        <v>75</v>
      </c>
      <c r="I518" t="s">
        <v>76</v>
      </c>
      <c r="J518" t="s">
        <v>77</v>
      </c>
      <c r="K518" t="s">
        <v>78</v>
      </c>
      <c r="L518" t="s">
        <v>159</v>
      </c>
      <c r="M518" t="s">
        <v>160</v>
      </c>
      <c r="N518" t="s">
        <v>230</v>
      </c>
      <c r="O518" t="s">
        <v>82</v>
      </c>
      <c r="P518" t="str">
        <f>"4170042231                    "</f>
        <v xml:space="preserve">4170042231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16.32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1</v>
      </c>
      <c r="BJ518">
        <v>0.2</v>
      </c>
      <c r="BK518">
        <v>1</v>
      </c>
      <c r="BL518">
        <v>54.28</v>
      </c>
      <c r="BM518">
        <v>8.14</v>
      </c>
      <c r="BN518">
        <v>62.42</v>
      </c>
      <c r="BO518">
        <v>62.42</v>
      </c>
      <c r="BQ518" t="s">
        <v>231</v>
      </c>
      <c r="BR518" t="s">
        <v>84</v>
      </c>
      <c r="BS518" s="3">
        <v>45813</v>
      </c>
      <c r="BT518" s="4">
        <v>0.4513888888888889</v>
      </c>
      <c r="BU518" t="s">
        <v>1194</v>
      </c>
      <c r="BV518" t="s">
        <v>90</v>
      </c>
      <c r="BY518">
        <v>1200</v>
      </c>
      <c r="BZ518" t="s">
        <v>87</v>
      </c>
      <c r="CA518" t="s">
        <v>233</v>
      </c>
      <c r="CC518" t="s">
        <v>160</v>
      </c>
      <c r="CD518">
        <v>2094</v>
      </c>
      <c r="CE518" t="s">
        <v>89</v>
      </c>
      <c r="CF518" s="3">
        <v>45813</v>
      </c>
      <c r="CI518">
        <v>1</v>
      </c>
      <c r="CJ518">
        <v>1</v>
      </c>
      <c r="CK518">
        <v>22</v>
      </c>
      <c r="CL518" t="s">
        <v>90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"080065763390"</f>
        <v>080065763390</v>
      </c>
      <c r="F519" s="3">
        <v>45812</v>
      </c>
      <c r="G519">
        <v>202603</v>
      </c>
      <c r="H519" t="s">
        <v>75</v>
      </c>
      <c r="I519" t="s">
        <v>76</v>
      </c>
      <c r="J519" t="s">
        <v>77</v>
      </c>
      <c r="K519" t="s">
        <v>78</v>
      </c>
      <c r="L519" t="s">
        <v>116</v>
      </c>
      <c r="M519" t="s">
        <v>117</v>
      </c>
      <c r="N519" t="s">
        <v>851</v>
      </c>
      <c r="O519" t="s">
        <v>82</v>
      </c>
      <c r="P519" t="str">
        <f>"4170042196                    "</f>
        <v xml:space="preserve">4170042196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20.9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1</v>
      </c>
      <c r="BJ519">
        <v>1.4</v>
      </c>
      <c r="BK519">
        <v>1.5</v>
      </c>
      <c r="BL519">
        <v>69.5</v>
      </c>
      <c r="BM519">
        <v>10.43</v>
      </c>
      <c r="BN519">
        <v>79.930000000000007</v>
      </c>
      <c r="BO519">
        <v>79.930000000000007</v>
      </c>
      <c r="BQ519" t="s">
        <v>852</v>
      </c>
      <c r="BR519" t="s">
        <v>84</v>
      </c>
      <c r="BS519" s="3">
        <v>45813</v>
      </c>
      <c r="BT519" s="4">
        <v>0.41666666666666669</v>
      </c>
      <c r="BU519" t="s">
        <v>1195</v>
      </c>
      <c r="BV519" t="s">
        <v>86</v>
      </c>
      <c r="BY519">
        <v>7000</v>
      </c>
      <c r="BZ519" t="s">
        <v>87</v>
      </c>
      <c r="CA519" t="s">
        <v>491</v>
      </c>
      <c r="CC519" t="s">
        <v>117</v>
      </c>
      <c r="CD519">
        <v>3201</v>
      </c>
      <c r="CE519" t="s">
        <v>99</v>
      </c>
      <c r="CF519" s="3">
        <v>45813</v>
      </c>
      <c r="CI519">
        <v>5</v>
      </c>
      <c r="CJ519">
        <v>1</v>
      </c>
      <c r="CK519">
        <v>21</v>
      </c>
      <c r="CL519" t="s">
        <v>90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"080065763402"</f>
        <v>080065763402</v>
      </c>
      <c r="F520" s="3">
        <v>45812</v>
      </c>
      <c r="G520">
        <v>202603</v>
      </c>
      <c r="H520" t="s">
        <v>75</v>
      </c>
      <c r="I520" t="s">
        <v>76</v>
      </c>
      <c r="J520" t="s">
        <v>77</v>
      </c>
      <c r="K520" t="s">
        <v>78</v>
      </c>
      <c r="L520" t="s">
        <v>1196</v>
      </c>
      <c r="M520" t="s">
        <v>1197</v>
      </c>
      <c r="N520" t="s">
        <v>1198</v>
      </c>
      <c r="O520" t="s">
        <v>82</v>
      </c>
      <c r="P520" t="str">
        <f>"4170042225                    "</f>
        <v xml:space="preserve">4170042225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20.9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1</v>
      </c>
      <c r="BJ520">
        <v>1.1000000000000001</v>
      </c>
      <c r="BK520">
        <v>1.5</v>
      </c>
      <c r="BL520">
        <v>69.5</v>
      </c>
      <c r="BM520">
        <v>10.43</v>
      </c>
      <c r="BN520">
        <v>79.930000000000007</v>
      </c>
      <c r="BO520">
        <v>79.930000000000007</v>
      </c>
      <c r="BQ520" t="s">
        <v>1199</v>
      </c>
      <c r="BR520" t="s">
        <v>84</v>
      </c>
      <c r="BS520" s="3">
        <v>45814</v>
      </c>
      <c r="BT520" s="4">
        <v>0.41597222222222224</v>
      </c>
      <c r="BU520" t="s">
        <v>1200</v>
      </c>
      <c r="BV520" t="s">
        <v>90</v>
      </c>
      <c r="BY520">
        <v>5320</v>
      </c>
      <c r="BZ520" t="s">
        <v>87</v>
      </c>
      <c r="CA520" t="s">
        <v>450</v>
      </c>
      <c r="CC520" t="s">
        <v>1197</v>
      </c>
      <c r="CD520">
        <v>4120</v>
      </c>
      <c r="CE520" t="s">
        <v>99</v>
      </c>
      <c r="CF520" s="3">
        <v>45815</v>
      </c>
      <c r="CI520">
        <v>1</v>
      </c>
      <c r="CJ520">
        <v>2</v>
      </c>
      <c r="CK520">
        <v>21</v>
      </c>
      <c r="CL520" t="s">
        <v>90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"080065763404"</f>
        <v>080065763404</v>
      </c>
      <c r="F521" s="3">
        <v>45812</v>
      </c>
      <c r="G521">
        <v>202603</v>
      </c>
      <c r="H521" t="s">
        <v>75</v>
      </c>
      <c r="I521" t="s">
        <v>76</v>
      </c>
      <c r="J521" t="s">
        <v>77</v>
      </c>
      <c r="K521" t="s">
        <v>78</v>
      </c>
      <c r="L521" t="s">
        <v>100</v>
      </c>
      <c r="M521" t="s">
        <v>101</v>
      </c>
      <c r="N521" t="s">
        <v>516</v>
      </c>
      <c r="O521" t="s">
        <v>82</v>
      </c>
      <c r="P521" t="str">
        <f>"4170042215                    "</f>
        <v xml:space="preserve">4170042215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20.9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1</v>
      </c>
      <c r="BJ521">
        <v>0.2</v>
      </c>
      <c r="BK521">
        <v>1</v>
      </c>
      <c r="BL521">
        <v>69.5</v>
      </c>
      <c r="BM521">
        <v>10.43</v>
      </c>
      <c r="BN521">
        <v>79.930000000000007</v>
      </c>
      <c r="BO521">
        <v>79.930000000000007</v>
      </c>
      <c r="BQ521" t="s">
        <v>517</v>
      </c>
      <c r="BR521" t="s">
        <v>84</v>
      </c>
      <c r="BS521" s="3">
        <v>45813</v>
      </c>
      <c r="BT521" s="4">
        <v>0.38472222222222224</v>
      </c>
      <c r="BU521" t="s">
        <v>855</v>
      </c>
      <c r="BV521" t="s">
        <v>86</v>
      </c>
      <c r="BY521">
        <v>1200</v>
      </c>
      <c r="BZ521" t="s">
        <v>87</v>
      </c>
      <c r="CA521" t="s">
        <v>283</v>
      </c>
      <c r="CC521" t="s">
        <v>101</v>
      </c>
      <c r="CD521">
        <v>6001</v>
      </c>
      <c r="CE521" t="s">
        <v>89</v>
      </c>
      <c r="CF521" s="3">
        <v>45813</v>
      </c>
      <c r="CI521">
        <v>1</v>
      </c>
      <c r="CJ521">
        <v>1</v>
      </c>
      <c r="CK521">
        <v>21</v>
      </c>
      <c r="CL521" t="s">
        <v>90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"080065763414"</f>
        <v>080065763414</v>
      </c>
      <c r="F522" s="3">
        <v>45812</v>
      </c>
      <c r="G522">
        <v>202603</v>
      </c>
      <c r="H522" t="s">
        <v>75</v>
      </c>
      <c r="I522" t="s">
        <v>76</v>
      </c>
      <c r="J522" t="s">
        <v>77</v>
      </c>
      <c r="K522" t="s">
        <v>78</v>
      </c>
      <c r="L522" t="s">
        <v>174</v>
      </c>
      <c r="M522" t="s">
        <v>175</v>
      </c>
      <c r="N522" t="s">
        <v>176</v>
      </c>
      <c r="O522" t="s">
        <v>82</v>
      </c>
      <c r="P522" t="str">
        <f>"4170042239                    "</f>
        <v xml:space="preserve">4170042239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20.9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1</v>
      </c>
      <c r="BJ522">
        <v>0.2</v>
      </c>
      <c r="BK522">
        <v>1</v>
      </c>
      <c r="BL522">
        <v>69.5</v>
      </c>
      <c r="BM522">
        <v>10.43</v>
      </c>
      <c r="BN522">
        <v>79.930000000000007</v>
      </c>
      <c r="BO522">
        <v>79.930000000000007</v>
      </c>
      <c r="BQ522" t="s">
        <v>177</v>
      </c>
      <c r="BR522" t="s">
        <v>84</v>
      </c>
      <c r="BS522" s="3">
        <v>45813</v>
      </c>
      <c r="BT522" s="4">
        <v>0.4</v>
      </c>
      <c r="BU522" t="s">
        <v>178</v>
      </c>
      <c r="BV522" t="s">
        <v>86</v>
      </c>
      <c r="BY522">
        <v>1200</v>
      </c>
      <c r="BZ522" t="s">
        <v>87</v>
      </c>
      <c r="CA522" t="s">
        <v>179</v>
      </c>
      <c r="CC522" t="s">
        <v>175</v>
      </c>
      <c r="CD522">
        <v>3610</v>
      </c>
      <c r="CE522" t="s">
        <v>89</v>
      </c>
      <c r="CF522" s="3">
        <v>45814</v>
      </c>
      <c r="CI522">
        <v>1</v>
      </c>
      <c r="CJ522">
        <v>1</v>
      </c>
      <c r="CK522">
        <v>21</v>
      </c>
      <c r="CL522" t="s">
        <v>90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"080065763437"</f>
        <v>080065763437</v>
      </c>
      <c r="F523" s="3">
        <v>45812</v>
      </c>
      <c r="G523">
        <v>202603</v>
      </c>
      <c r="H523" t="s">
        <v>75</v>
      </c>
      <c r="I523" t="s">
        <v>76</v>
      </c>
      <c r="J523" t="s">
        <v>77</v>
      </c>
      <c r="K523" t="s">
        <v>78</v>
      </c>
      <c r="L523" t="s">
        <v>1124</v>
      </c>
      <c r="M523" t="s">
        <v>1125</v>
      </c>
      <c r="N523" t="s">
        <v>1201</v>
      </c>
      <c r="O523" t="s">
        <v>82</v>
      </c>
      <c r="P523" t="str">
        <f>"4170042240                    "</f>
        <v xml:space="preserve">4170042240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40.49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1</v>
      </c>
      <c r="BJ523">
        <v>0.2</v>
      </c>
      <c r="BK523">
        <v>1</v>
      </c>
      <c r="BL523">
        <v>134.65</v>
      </c>
      <c r="BM523">
        <v>20.2</v>
      </c>
      <c r="BN523">
        <v>154.85</v>
      </c>
      <c r="BO523">
        <v>154.85</v>
      </c>
      <c r="BQ523" t="s">
        <v>1202</v>
      </c>
      <c r="BR523" t="s">
        <v>84</v>
      </c>
      <c r="BS523" s="3">
        <v>45813</v>
      </c>
      <c r="BT523" s="4">
        <v>0.71111111111111114</v>
      </c>
      <c r="BU523" t="s">
        <v>1203</v>
      </c>
      <c r="BV523" t="s">
        <v>86</v>
      </c>
      <c r="BY523">
        <v>1200</v>
      </c>
      <c r="BZ523" t="s">
        <v>87</v>
      </c>
      <c r="CC523" t="s">
        <v>1125</v>
      </c>
      <c r="CD523">
        <v>4449</v>
      </c>
      <c r="CE523" t="s">
        <v>89</v>
      </c>
      <c r="CF523" s="3">
        <v>45814</v>
      </c>
      <c r="CI523">
        <v>1</v>
      </c>
      <c r="CJ523">
        <v>1</v>
      </c>
      <c r="CK523">
        <v>23</v>
      </c>
      <c r="CL523" t="s">
        <v>90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"080065763473"</f>
        <v>080065763473</v>
      </c>
      <c r="F524" s="3">
        <v>45812</v>
      </c>
      <c r="G524">
        <v>202603</v>
      </c>
      <c r="H524" t="s">
        <v>75</v>
      </c>
      <c r="I524" t="s">
        <v>76</v>
      </c>
      <c r="J524" t="s">
        <v>77</v>
      </c>
      <c r="K524" t="s">
        <v>78</v>
      </c>
      <c r="L524" t="s">
        <v>100</v>
      </c>
      <c r="M524" t="s">
        <v>101</v>
      </c>
      <c r="N524" t="s">
        <v>1013</v>
      </c>
      <c r="O524" t="s">
        <v>82</v>
      </c>
      <c r="P524" t="str">
        <f>"4170042234                    "</f>
        <v xml:space="preserve">4170042234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20.9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1</v>
      </c>
      <c r="BJ524">
        <v>0.2</v>
      </c>
      <c r="BK524">
        <v>1</v>
      </c>
      <c r="BL524">
        <v>69.5</v>
      </c>
      <c r="BM524">
        <v>10.43</v>
      </c>
      <c r="BN524">
        <v>79.930000000000007</v>
      </c>
      <c r="BO524">
        <v>79.930000000000007</v>
      </c>
      <c r="BQ524" t="s">
        <v>1014</v>
      </c>
      <c r="BR524" t="s">
        <v>84</v>
      </c>
      <c r="BS524" s="3">
        <v>45813</v>
      </c>
      <c r="BT524" s="4">
        <v>0.40972222222222221</v>
      </c>
      <c r="BU524" t="s">
        <v>1015</v>
      </c>
      <c r="BV524" t="s">
        <v>86</v>
      </c>
      <c r="BY524">
        <v>1200</v>
      </c>
      <c r="BZ524" t="s">
        <v>87</v>
      </c>
      <c r="CA524" t="s">
        <v>235</v>
      </c>
      <c r="CC524" t="s">
        <v>101</v>
      </c>
      <c r="CD524">
        <v>6001</v>
      </c>
      <c r="CE524" t="s">
        <v>89</v>
      </c>
      <c r="CF524" s="3">
        <v>45813</v>
      </c>
      <c r="CI524">
        <v>1</v>
      </c>
      <c r="CJ524">
        <v>1</v>
      </c>
      <c r="CK524">
        <v>21</v>
      </c>
      <c r="CL524" t="s">
        <v>90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"080065763792"</f>
        <v>080065763792</v>
      </c>
      <c r="F525" s="3">
        <v>45812</v>
      </c>
      <c r="G525">
        <v>202603</v>
      </c>
      <c r="H525" t="s">
        <v>75</v>
      </c>
      <c r="I525" t="s">
        <v>76</v>
      </c>
      <c r="J525" t="s">
        <v>77</v>
      </c>
      <c r="K525" t="s">
        <v>78</v>
      </c>
      <c r="L525" t="s">
        <v>100</v>
      </c>
      <c r="M525" t="s">
        <v>101</v>
      </c>
      <c r="N525" t="s">
        <v>726</v>
      </c>
      <c r="O525" t="s">
        <v>82</v>
      </c>
      <c r="P525" t="str">
        <f>"4170042221                    "</f>
        <v xml:space="preserve">4170042221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20.9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1</v>
      </c>
      <c r="BJ525">
        <v>1.1000000000000001</v>
      </c>
      <c r="BK525">
        <v>1.5</v>
      </c>
      <c r="BL525">
        <v>69.5</v>
      </c>
      <c r="BM525">
        <v>10.43</v>
      </c>
      <c r="BN525">
        <v>79.930000000000007</v>
      </c>
      <c r="BO525">
        <v>79.930000000000007</v>
      </c>
      <c r="BQ525" t="s">
        <v>727</v>
      </c>
      <c r="BR525" t="s">
        <v>84</v>
      </c>
      <c r="BS525" s="3">
        <v>45813</v>
      </c>
      <c r="BT525" s="4">
        <v>0.47916666666666669</v>
      </c>
      <c r="BU525" t="s">
        <v>1204</v>
      </c>
      <c r="BV525" t="s">
        <v>90</v>
      </c>
      <c r="BY525">
        <v>5320</v>
      </c>
      <c r="BZ525" t="s">
        <v>87</v>
      </c>
      <c r="CA525" t="s">
        <v>223</v>
      </c>
      <c r="CC525" t="s">
        <v>101</v>
      </c>
      <c r="CD525">
        <v>6001</v>
      </c>
      <c r="CE525" t="s">
        <v>180</v>
      </c>
      <c r="CF525" s="3">
        <v>45813</v>
      </c>
      <c r="CI525">
        <v>1</v>
      </c>
      <c r="CJ525">
        <v>1</v>
      </c>
      <c r="CK525">
        <v>21</v>
      </c>
      <c r="CL525" t="s">
        <v>90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"080065763869"</f>
        <v>080065763869</v>
      </c>
      <c r="F526" s="3">
        <v>45812</v>
      </c>
      <c r="G526">
        <v>202603</v>
      </c>
      <c r="H526" t="s">
        <v>75</v>
      </c>
      <c r="I526" t="s">
        <v>76</v>
      </c>
      <c r="J526" t="s">
        <v>77</v>
      </c>
      <c r="K526" t="s">
        <v>78</v>
      </c>
      <c r="L526" t="s">
        <v>331</v>
      </c>
      <c r="M526" t="s">
        <v>332</v>
      </c>
      <c r="N526" t="s">
        <v>484</v>
      </c>
      <c r="O526" t="s">
        <v>82</v>
      </c>
      <c r="P526" t="str">
        <f>"4170042236                    "</f>
        <v xml:space="preserve">4170042236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20.9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1</v>
      </c>
      <c r="BJ526">
        <v>1.1000000000000001</v>
      </c>
      <c r="BK526">
        <v>1.5</v>
      </c>
      <c r="BL526">
        <v>69.5</v>
      </c>
      <c r="BM526">
        <v>10.43</v>
      </c>
      <c r="BN526">
        <v>79.930000000000007</v>
      </c>
      <c r="BO526">
        <v>79.930000000000007</v>
      </c>
      <c r="BQ526" t="s">
        <v>485</v>
      </c>
      <c r="BR526" t="s">
        <v>84</v>
      </c>
      <c r="BS526" s="3">
        <v>45813</v>
      </c>
      <c r="BT526" s="4">
        <v>0.43541666666666667</v>
      </c>
      <c r="BU526" t="s">
        <v>1205</v>
      </c>
      <c r="BV526" t="s">
        <v>86</v>
      </c>
      <c r="BY526">
        <v>5320</v>
      </c>
      <c r="BZ526" t="s">
        <v>87</v>
      </c>
      <c r="CA526" t="s">
        <v>418</v>
      </c>
      <c r="CC526" t="s">
        <v>332</v>
      </c>
      <c r="CD526">
        <v>4052</v>
      </c>
      <c r="CE526" t="s">
        <v>99</v>
      </c>
      <c r="CF526" s="3">
        <v>45814</v>
      </c>
      <c r="CI526">
        <v>1</v>
      </c>
      <c r="CJ526">
        <v>1</v>
      </c>
      <c r="CK526">
        <v>21</v>
      </c>
      <c r="CL526" t="s">
        <v>90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"080065763950"</f>
        <v>080065763950</v>
      </c>
      <c r="F527" s="3">
        <v>45812</v>
      </c>
      <c r="G527">
        <v>202603</v>
      </c>
      <c r="H527" t="s">
        <v>75</v>
      </c>
      <c r="I527" t="s">
        <v>76</v>
      </c>
      <c r="J527" t="s">
        <v>77</v>
      </c>
      <c r="K527" t="s">
        <v>78</v>
      </c>
      <c r="L527" t="s">
        <v>75</v>
      </c>
      <c r="M527" t="s">
        <v>76</v>
      </c>
      <c r="N527" t="s">
        <v>112</v>
      </c>
      <c r="O527" t="s">
        <v>276</v>
      </c>
      <c r="P527" t="str">
        <f>"4170042157                    "</f>
        <v xml:space="preserve">4170042157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19.989999999999998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10</v>
      </c>
      <c r="BJ527">
        <v>3.7</v>
      </c>
      <c r="BK527">
        <v>10</v>
      </c>
      <c r="BL527">
        <v>66.48</v>
      </c>
      <c r="BM527">
        <v>9.9700000000000006</v>
      </c>
      <c r="BN527">
        <v>76.45</v>
      </c>
      <c r="BO527">
        <v>76.45</v>
      </c>
      <c r="BQ527" t="s">
        <v>113</v>
      </c>
      <c r="BR527" t="s">
        <v>84</v>
      </c>
      <c r="BS527" s="3">
        <v>45813</v>
      </c>
      <c r="BT527" s="4">
        <v>0.34722222222222221</v>
      </c>
      <c r="BU527" t="s">
        <v>114</v>
      </c>
      <c r="BV527" t="s">
        <v>86</v>
      </c>
      <c r="BY527">
        <v>18468</v>
      </c>
      <c r="BZ527" t="s">
        <v>97</v>
      </c>
      <c r="CA527" t="s">
        <v>115</v>
      </c>
      <c r="CC527" t="s">
        <v>76</v>
      </c>
      <c r="CD527">
        <v>1600</v>
      </c>
      <c r="CE527" t="s">
        <v>166</v>
      </c>
      <c r="CF527" s="3">
        <v>45814</v>
      </c>
      <c r="CI527">
        <v>1</v>
      </c>
      <c r="CJ527">
        <v>1</v>
      </c>
      <c r="CK527">
        <v>32</v>
      </c>
      <c r="CL527" t="s">
        <v>90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"080065764367"</f>
        <v>080065764367</v>
      </c>
      <c r="F528" s="3">
        <v>45812</v>
      </c>
      <c r="G528">
        <v>202603</v>
      </c>
      <c r="H528" t="s">
        <v>75</v>
      </c>
      <c r="I528" t="s">
        <v>76</v>
      </c>
      <c r="J528" t="s">
        <v>77</v>
      </c>
      <c r="K528" t="s">
        <v>78</v>
      </c>
      <c r="L528" t="s">
        <v>75</v>
      </c>
      <c r="M528" t="s">
        <v>76</v>
      </c>
      <c r="N528" t="s">
        <v>1206</v>
      </c>
      <c r="O528" t="s">
        <v>82</v>
      </c>
      <c r="P528" t="str">
        <f>"4170042170                    "</f>
        <v xml:space="preserve">4170042170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16.32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3</v>
      </c>
      <c r="BJ528">
        <v>1.4</v>
      </c>
      <c r="BK528">
        <v>3</v>
      </c>
      <c r="BL528">
        <v>54.28</v>
      </c>
      <c r="BM528">
        <v>8.14</v>
      </c>
      <c r="BN528">
        <v>62.42</v>
      </c>
      <c r="BO528">
        <v>62.42</v>
      </c>
      <c r="BQ528" t="s">
        <v>1207</v>
      </c>
      <c r="BR528" t="s">
        <v>84</v>
      </c>
      <c r="BS528" s="3">
        <v>45813</v>
      </c>
      <c r="BT528" s="4">
        <v>0.34652777777777777</v>
      </c>
      <c r="BU528" t="s">
        <v>1208</v>
      </c>
      <c r="BV528" t="s">
        <v>86</v>
      </c>
      <c r="BY528">
        <v>7000</v>
      </c>
      <c r="BZ528" t="s">
        <v>87</v>
      </c>
      <c r="CA528" t="s">
        <v>193</v>
      </c>
      <c r="CC528" t="s">
        <v>76</v>
      </c>
      <c r="CD528">
        <v>1601</v>
      </c>
      <c r="CE528" t="s">
        <v>99</v>
      </c>
      <c r="CF528" s="3">
        <v>45813</v>
      </c>
      <c r="CI528">
        <v>1</v>
      </c>
      <c r="CJ528">
        <v>1</v>
      </c>
      <c r="CK528">
        <v>22</v>
      </c>
      <c r="CL528" t="s">
        <v>90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"080065764434"</f>
        <v>080065764434</v>
      </c>
      <c r="F529" s="3">
        <v>45812</v>
      </c>
      <c r="G529">
        <v>202603</v>
      </c>
      <c r="H529" t="s">
        <v>75</v>
      </c>
      <c r="I529" t="s">
        <v>76</v>
      </c>
      <c r="J529" t="s">
        <v>77</v>
      </c>
      <c r="K529" t="s">
        <v>78</v>
      </c>
      <c r="L529" t="s">
        <v>91</v>
      </c>
      <c r="M529" t="s">
        <v>92</v>
      </c>
      <c r="N529" t="s">
        <v>763</v>
      </c>
      <c r="O529" t="s">
        <v>82</v>
      </c>
      <c r="P529" t="str">
        <f>"4170042149                    "</f>
        <v xml:space="preserve">4170042149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78.319999999999993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7</v>
      </c>
      <c r="BJ529">
        <v>7.3</v>
      </c>
      <c r="BK529">
        <v>7.5</v>
      </c>
      <c r="BL529">
        <v>260.45999999999998</v>
      </c>
      <c r="BM529">
        <v>39.07</v>
      </c>
      <c r="BN529">
        <v>299.52999999999997</v>
      </c>
      <c r="BO529">
        <v>299.52999999999997</v>
      </c>
      <c r="BQ529" t="s">
        <v>764</v>
      </c>
      <c r="BR529" t="s">
        <v>84</v>
      </c>
      <c r="BS529" s="3">
        <v>45813</v>
      </c>
      <c r="BT529" s="4">
        <v>0.62013888888888891</v>
      </c>
      <c r="BU529" t="s">
        <v>1184</v>
      </c>
      <c r="BV529" t="s">
        <v>90</v>
      </c>
      <c r="BW529" t="s">
        <v>1209</v>
      </c>
      <c r="BX529" t="s">
        <v>199</v>
      </c>
      <c r="BY529">
        <v>36400</v>
      </c>
      <c r="BZ529" t="s">
        <v>87</v>
      </c>
      <c r="CA529" t="s">
        <v>767</v>
      </c>
      <c r="CC529" t="s">
        <v>92</v>
      </c>
      <c r="CD529">
        <v>7550</v>
      </c>
      <c r="CE529" t="s">
        <v>529</v>
      </c>
      <c r="CF529" s="3">
        <v>45814</v>
      </c>
      <c r="CI529">
        <v>1</v>
      </c>
      <c r="CJ529">
        <v>1</v>
      </c>
      <c r="CK529">
        <v>21</v>
      </c>
      <c r="CL529" t="s">
        <v>90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"080065764440"</f>
        <v>080065764440</v>
      </c>
      <c r="F530" s="3">
        <v>45812</v>
      </c>
      <c r="G530">
        <v>202603</v>
      </c>
      <c r="H530" t="s">
        <v>75</v>
      </c>
      <c r="I530" t="s">
        <v>76</v>
      </c>
      <c r="J530" t="s">
        <v>77</v>
      </c>
      <c r="K530" t="s">
        <v>78</v>
      </c>
      <c r="L530" t="s">
        <v>116</v>
      </c>
      <c r="M530" t="s">
        <v>117</v>
      </c>
      <c r="N530" t="s">
        <v>1210</v>
      </c>
      <c r="O530" t="s">
        <v>94</v>
      </c>
      <c r="P530" t="str">
        <f>"4170042249                    "</f>
        <v xml:space="preserve">4170042249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167.21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4</v>
      </c>
      <c r="BI530">
        <v>44</v>
      </c>
      <c r="BJ530">
        <v>90.6</v>
      </c>
      <c r="BK530">
        <v>91</v>
      </c>
      <c r="BL530">
        <v>561.64</v>
      </c>
      <c r="BM530">
        <v>84.25</v>
      </c>
      <c r="BN530">
        <v>645.89</v>
      </c>
      <c r="BO530">
        <v>645.89</v>
      </c>
      <c r="BQ530" t="s">
        <v>1211</v>
      </c>
      <c r="BR530" t="s">
        <v>84</v>
      </c>
      <c r="BS530" s="3">
        <v>45813</v>
      </c>
      <c r="BT530" s="4">
        <v>0.58333333333333337</v>
      </c>
      <c r="BU530" t="s">
        <v>1212</v>
      </c>
      <c r="BV530" t="s">
        <v>86</v>
      </c>
      <c r="BY530">
        <v>361792</v>
      </c>
      <c r="BZ530" t="s">
        <v>97</v>
      </c>
      <c r="CC530" t="s">
        <v>117</v>
      </c>
      <c r="CD530">
        <v>3200</v>
      </c>
      <c r="CE530" t="s">
        <v>99</v>
      </c>
      <c r="CF530" s="3">
        <v>45813</v>
      </c>
      <c r="CI530">
        <v>2</v>
      </c>
      <c r="CJ530">
        <v>1</v>
      </c>
      <c r="CK530">
        <v>41</v>
      </c>
      <c r="CL530" t="s">
        <v>90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"080065764515"</f>
        <v>080065764515</v>
      </c>
      <c r="F531" s="3">
        <v>45812</v>
      </c>
      <c r="G531">
        <v>202603</v>
      </c>
      <c r="H531" t="s">
        <v>75</v>
      </c>
      <c r="I531" t="s">
        <v>76</v>
      </c>
      <c r="J531" t="s">
        <v>77</v>
      </c>
      <c r="K531" t="s">
        <v>78</v>
      </c>
      <c r="L531" t="s">
        <v>266</v>
      </c>
      <c r="M531" t="s">
        <v>267</v>
      </c>
      <c r="N531" t="s">
        <v>561</v>
      </c>
      <c r="O531" t="s">
        <v>82</v>
      </c>
      <c r="P531" t="str">
        <f>"4170042212                    "</f>
        <v xml:space="preserve">4170042212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109.64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6</v>
      </c>
      <c r="BJ531">
        <v>10.5</v>
      </c>
      <c r="BK531">
        <v>10.5</v>
      </c>
      <c r="BL531">
        <v>364.62</v>
      </c>
      <c r="BM531">
        <v>54.69</v>
      </c>
      <c r="BN531">
        <v>419.31</v>
      </c>
      <c r="BO531">
        <v>419.31</v>
      </c>
      <c r="BQ531" t="s">
        <v>562</v>
      </c>
      <c r="BR531" t="s">
        <v>84</v>
      </c>
      <c r="BS531" s="3">
        <v>45813</v>
      </c>
      <c r="BT531" s="4">
        <v>0.40763888888888888</v>
      </c>
      <c r="BU531" t="s">
        <v>563</v>
      </c>
      <c r="BV531" t="s">
        <v>86</v>
      </c>
      <c r="BY531">
        <v>52488</v>
      </c>
      <c r="BZ531" t="s">
        <v>87</v>
      </c>
      <c r="CA531" t="s">
        <v>271</v>
      </c>
      <c r="CC531" t="s">
        <v>267</v>
      </c>
      <c r="CD531">
        <v>6230</v>
      </c>
      <c r="CE531" t="s">
        <v>166</v>
      </c>
      <c r="CF531" s="3">
        <v>45813</v>
      </c>
      <c r="CI531">
        <v>1</v>
      </c>
      <c r="CJ531">
        <v>1</v>
      </c>
      <c r="CK531">
        <v>21</v>
      </c>
      <c r="CL531" t="s">
        <v>90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"080065764600"</f>
        <v>080065764600</v>
      </c>
      <c r="F532" s="3">
        <v>45812</v>
      </c>
      <c r="G532">
        <v>202603</v>
      </c>
      <c r="H532" t="s">
        <v>75</v>
      </c>
      <c r="I532" t="s">
        <v>76</v>
      </c>
      <c r="J532" t="s">
        <v>77</v>
      </c>
      <c r="K532" t="s">
        <v>78</v>
      </c>
      <c r="L532" t="s">
        <v>91</v>
      </c>
      <c r="M532" t="s">
        <v>92</v>
      </c>
      <c r="N532" t="s">
        <v>540</v>
      </c>
      <c r="O532" t="s">
        <v>82</v>
      </c>
      <c r="P532" t="str">
        <f>"4170042232                    "</f>
        <v xml:space="preserve">4170042232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83.54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8</v>
      </c>
      <c r="BJ532">
        <v>4.5999999999999996</v>
      </c>
      <c r="BK532">
        <v>8</v>
      </c>
      <c r="BL532">
        <v>277.82</v>
      </c>
      <c r="BM532">
        <v>41.67</v>
      </c>
      <c r="BN532">
        <v>319.49</v>
      </c>
      <c r="BO532">
        <v>319.49</v>
      </c>
      <c r="BQ532" t="s">
        <v>541</v>
      </c>
      <c r="BR532" t="s">
        <v>84</v>
      </c>
      <c r="BS532" s="3">
        <v>45813</v>
      </c>
      <c r="BT532" s="4">
        <v>0.4152777777777778</v>
      </c>
      <c r="BU532" t="s">
        <v>1106</v>
      </c>
      <c r="BV532" t="s">
        <v>86</v>
      </c>
      <c r="BY532">
        <v>23040</v>
      </c>
      <c r="BZ532" t="s">
        <v>87</v>
      </c>
      <c r="CA532" t="s">
        <v>291</v>
      </c>
      <c r="CC532" t="s">
        <v>92</v>
      </c>
      <c r="CD532">
        <v>7441</v>
      </c>
      <c r="CE532" t="s">
        <v>166</v>
      </c>
      <c r="CF532" s="3">
        <v>45814</v>
      </c>
      <c r="CI532">
        <v>1</v>
      </c>
      <c r="CJ532">
        <v>1</v>
      </c>
      <c r="CK532">
        <v>21</v>
      </c>
      <c r="CL532" t="s">
        <v>90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"080065790966"</f>
        <v>080065790966</v>
      </c>
      <c r="F533" s="3">
        <v>45813</v>
      </c>
      <c r="G533">
        <v>202603</v>
      </c>
      <c r="H533" t="s">
        <v>75</v>
      </c>
      <c r="I533" t="s">
        <v>76</v>
      </c>
      <c r="J533" t="s">
        <v>77</v>
      </c>
      <c r="K533" t="s">
        <v>78</v>
      </c>
      <c r="L533" t="s">
        <v>100</v>
      </c>
      <c r="M533" t="s">
        <v>101</v>
      </c>
      <c r="N533" t="s">
        <v>492</v>
      </c>
      <c r="O533" t="s">
        <v>82</v>
      </c>
      <c r="P533" t="str">
        <f>"4170042297                    "</f>
        <v xml:space="preserve">4170042297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62.66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6</v>
      </c>
      <c r="BJ533">
        <v>3</v>
      </c>
      <c r="BK533">
        <v>6</v>
      </c>
      <c r="BL533">
        <v>208.38</v>
      </c>
      <c r="BM533">
        <v>31.26</v>
      </c>
      <c r="BN533">
        <v>239.64</v>
      </c>
      <c r="BO533">
        <v>239.64</v>
      </c>
      <c r="BQ533" t="s">
        <v>493</v>
      </c>
      <c r="BR533" t="s">
        <v>84</v>
      </c>
      <c r="BS533" s="3">
        <v>45814</v>
      </c>
      <c r="BT533" s="4">
        <v>0.42986111111111114</v>
      </c>
      <c r="BU533" t="s">
        <v>1213</v>
      </c>
      <c r="BV533" t="s">
        <v>86</v>
      </c>
      <c r="BY533">
        <v>15120</v>
      </c>
      <c r="BZ533" t="s">
        <v>87</v>
      </c>
      <c r="CA533" t="s">
        <v>394</v>
      </c>
      <c r="CC533" t="s">
        <v>101</v>
      </c>
      <c r="CD533">
        <v>6001</v>
      </c>
      <c r="CE533" t="s">
        <v>166</v>
      </c>
      <c r="CF533" s="3">
        <v>45814</v>
      </c>
      <c r="CI533">
        <v>1</v>
      </c>
      <c r="CJ533">
        <v>1</v>
      </c>
      <c r="CK533">
        <v>21</v>
      </c>
      <c r="CL533" t="s">
        <v>90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"080011534797"</f>
        <v>080011534797</v>
      </c>
      <c r="F534" s="3">
        <v>45813</v>
      </c>
      <c r="G534">
        <v>202603</v>
      </c>
      <c r="H534" t="s">
        <v>293</v>
      </c>
      <c r="I534" t="s">
        <v>294</v>
      </c>
      <c r="J534" t="s">
        <v>1214</v>
      </c>
      <c r="K534" t="s">
        <v>78</v>
      </c>
      <c r="L534" t="s">
        <v>75</v>
      </c>
      <c r="M534" t="s">
        <v>76</v>
      </c>
      <c r="N534" t="s">
        <v>188</v>
      </c>
      <c r="O534" t="s">
        <v>82</v>
      </c>
      <c r="P534" t="str">
        <f>"Incorrect delivery            "</f>
        <v xml:space="preserve">Incorrect delivery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58.77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3</v>
      </c>
      <c r="BJ534">
        <v>2.4</v>
      </c>
      <c r="BK534">
        <v>3</v>
      </c>
      <c r="BL534">
        <v>195.45</v>
      </c>
      <c r="BM534">
        <v>29.32</v>
      </c>
      <c r="BN534">
        <v>224.77</v>
      </c>
      <c r="BO534">
        <v>224.77</v>
      </c>
      <c r="BP534" t="s">
        <v>189</v>
      </c>
      <c r="BQ534" t="s">
        <v>190</v>
      </c>
      <c r="BR534" t="s">
        <v>1215</v>
      </c>
      <c r="BS534" s="3">
        <v>45814</v>
      </c>
      <c r="BT534" s="4">
        <v>0.41875000000000001</v>
      </c>
      <c r="BU534" t="s">
        <v>1032</v>
      </c>
      <c r="BV534" t="s">
        <v>86</v>
      </c>
      <c r="BY534">
        <v>12000</v>
      </c>
      <c r="BZ534" t="s">
        <v>87</v>
      </c>
      <c r="CA534" t="s">
        <v>193</v>
      </c>
      <c r="CC534" t="s">
        <v>76</v>
      </c>
      <c r="CD534">
        <v>1619</v>
      </c>
      <c r="CE534" t="s">
        <v>194</v>
      </c>
      <c r="CF534" s="3">
        <v>45814</v>
      </c>
      <c r="CI534">
        <v>1</v>
      </c>
      <c r="CJ534">
        <v>1</v>
      </c>
      <c r="CK534">
        <v>23</v>
      </c>
      <c r="CL534" t="s">
        <v>90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"080011534898"</f>
        <v>080011534898</v>
      </c>
      <c r="F535" s="3">
        <v>45813</v>
      </c>
      <c r="G535">
        <v>202603</v>
      </c>
      <c r="H535" t="s">
        <v>79</v>
      </c>
      <c r="I535" t="s">
        <v>80</v>
      </c>
      <c r="J535" t="s">
        <v>1216</v>
      </c>
      <c r="K535" t="s">
        <v>78</v>
      </c>
      <c r="L535" t="s">
        <v>91</v>
      </c>
      <c r="M535" t="s">
        <v>92</v>
      </c>
      <c r="N535" t="s">
        <v>1216</v>
      </c>
      <c r="O535" t="s">
        <v>82</v>
      </c>
      <c r="P535" t="str">
        <f>"Incorrectly del               "</f>
        <v xml:space="preserve">Incorrectly del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95.34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5</v>
      </c>
      <c r="BJ535">
        <v>3.6</v>
      </c>
      <c r="BK535">
        <v>5</v>
      </c>
      <c r="BL535">
        <v>317.06</v>
      </c>
      <c r="BM535">
        <v>47.56</v>
      </c>
      <c r="BN535">
        <v>364.62</v>
      </c>
      <c r="BO535">
        <v>364.62</v>
      </c>
      <c r="BP535" t="s">
        <v>189</v>
      </c>
      <c r="BQ535" t="s">
        <v>1217</v>
      </c>
      <c r="BR535" t="s">
        <v>1218</v>
      </c>
      <c r="BS535" s="3">
        <v>45814</v>
      </c>
      <c r="BT535" s="4">
        <v>0.40416666666666667</v>
      </c>
      <c r="BU535" t="s">
        <v>1219</v>
      </c>
      <c r="BV535" t="s">
        <v>86</v>
      </c>
      <c r="BY535">
        <v>18000</v>
      </c>
      <c r="BZ535" t="s">
        <v>87</v>
      </c>
      <c r="CA535" t="s">
        <v>613</v>
      </c>
      <c r="CC535" t="s">
        <v>92</v>
      </c>
      <c r="CD535">
        <v>7441</v>
      </c>
      <c r="CE535" t="s">
        <v>194</v>
      </c>
      <c r="CF535" s="3">
        <v>45817</v>
      </c>
      <c r="CI535">
        <v>1</v>
      </c>
      <c r="CJ535">
        <v>1</v>
      </c>
      <c r="CK535">
        <v>23</v>
      </c>
      <c r="CL535" t="s">
        <v>90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"R080065669561"</f>
        <v>R080065669561</v>
      </c>
      <c r="F536" s="3">
        <v>45813</v>
      </c>
      <c r="G536">
        <v>202603</v>
      </c>
      <c r="H536" t="s">
        <v>331</v>
      </c>
      <c r="I536" t="s">
        <v>332</v>
      </c>
      <c r="J536" t="s">
        <v>480</v>
      </c>
      <c r="K536" t="s">
        <v>78</v>
      </c>
      <c r="L536" t="s">
        <v>331</v>
      </c>
      <c r="M536" t="s">
        <v>332</v>
      </c>
      <c r="N536" t="s">
        <v>480</v>
      </c>
      <c r="O536" t="s">
        <v>94</v>
      </c>
      <c r="P536" t="str">
        <f>"4170041633                    "</f>
        <v xml:space="preserve">4170041633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31.18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1</v>
      </c>
      <c r="BJ536">
        <v>0.2</v>
      </c>
      <c r="BK536">
        <v>1</v>
      </c>
      <c r="BL536">
        <v>109.27</v>
      </c>
      <c r="BM536">
        <v>16.39</v>
      </c>
      <c r="BN536">
        <v>125.66</v>
      </c>
      <c r="BO536">
        <v>125.66</v>
      </c>
      <c r="BQ536" t="s">
        <v>1220</v>
      </c>
      <c r="BR536" t="s">
        <v>1221</v>
      </c>
      <c r="BS536" s="3">
        <v>45814</v>
      </c>
      <c r="BT536" s="4">
        <v>0.66736111111111107</v>
      </c>
      <c r="BU536" t="s">
        <v>1222</v>
      </c>
      <c r="BV536" t="s">
        <v>86</v>
      </c>
      <c r="BY536">
        <v>1200</v>
      </c>
      <c r="BZ536" t="s">
        <v>97</v>
      </c>
      <c r="CA536" t="s">
        <v>1223</v>
      </c>
      <c r="CC536" t="s">
        <v>332</v>
      </c>
      <c r="CD536">
        <v>4001</v>
      </c>
      <c r="CE536" t="s">
        <v>89</v>
      </c>
      <c r="CF536" s="3">
        <v>45817</v>
      </c>
      <c r="CI536">
        <v>1</v>
      </c>
      <c r="CJ536">
        <v>1</v>
      </c>
      <c r="CK536">
        <v>42</v>
      </c>
      <c r="CL536" t="s">
        <v>90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"R080065666774"</f>
        <v>R080065666774</v>
      </c>
      <c r="F537" s="3">
        <v>45813</v>
      </c>
      <c r="G537">
        <v>202603</v>
      </c>
      <c r="H537" t="s">
        <v>413</v>
      </c>
      <c r="I537" t="s">
        <v>414</v>
      </c>
      <c r="J537" t="s">
        <v>236</v>
      </c>
      <c r="K537" t="s">
        <v>78</v>
      </c>
      <c r="L537" t="s">
        <v>413</v>
      </c>
      <c r="M537" t="s">
        <v>414</v>
      </c>
      <c r="N537" t="s">
        <v>236</v>
      </c>
      <c r="O537" t="s">
        <v>94</v>
      </c>
      <c r="P537" t="str">
        <f>"4170041645                    "</f>
        <v xml:space="preserve">4170041645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31.18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1</v>
      </c>
      <c r="BJ537">
        <v>0.2</v>
      </c>
      <c r="BK537">
        <v>1</v>
      </c>
      <c r="BL537">
        <v>109.27</v>
      </c>
      <c r="BM537">
        <v>16.39</v>
      </c>
      <c r="BN537">
        <v>125.66</v>
      </c>
      <c r="BO537">
        <v>125.66</v>
      </c>
      <c r="BQ537" t="s">
        <v>1220</v>
      </c>
      <c r="BR537" t="s">
        <v>237</v>
      </c>
      <c r="BS537" s="3">
        <v>45814</v>
      </c>
      <c r="BT537" s="4">
        <v>0.53333333333333333</v>
      </c>
      <c r="BU537" t="s">
        <v>415</v>
      </c>
      <c r="BV537" t="s">
        <v>86</v>
      </c>
      <c r="BY537">
        <v>1200</v>
      </c>
      <c r="BZ537" t="s">
        <v>97</v>
      </c>
      <c r="CA537" t="s">
        <v>418</v>
      </c>
      <c r="CC537" t="s">
        <v>414</v>
      </c>
      <c r="CD537">
        <v>4113</v>
      </c>
      <c r="CE537" t="s">
        <v>89</v>
      </c>
      <c r="CF537" s="3">
        <v>45817</v>
      </c>
      <c r="CI537">
        <v>1</v>
      </c>
      <c r="CJ537">
        <v>1</v>
      </c>
      <c r="CK537">
        <v>42</v>
      </c>
      <c r="CL537" t="s">
        <v>90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"080065778270"</f>
        <v>080065778270</v>
      </c>
      <c r="F538" s="3">
        <v>45813</v>
      </c>
      <c r="G538">
        <v>202603</v>
      </c>
      <c r="H538" t="s">
        <v>75</v>
      </c>
      <c r="I538" t="s">
        <v>76</v>
      </c>
      <c r="J538" t="s">
        <v>77</v>
      </c>
      <c r="K538" t="s">
        <v>78</v>
      </c>
      <c r="L538" t="s">
        <v>91</v>
      </c>
      <c r="M538" t="s">
        <v>92</v>
      </c>
      <c r="N538" t="s">
        <v>841</v>
      </c>
      <c r="O538" t="s">
        <v>82</v>
      </c>
      <c r="P538" t="str">
        <f>"4170042156                    "</f>
        <v xml:space="preserve">4170042156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31.34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1</v>
      </c>
      <c r="BJ538">
        <v>2.7</v>
      </c>
      <c r="BK538">
        <v>3</v>
      </c>
      <c r="BL538">
        <v>104.22</v>
      </c>
      <c r="BM538">
        <v>15.63</v>
      </c>
      <c r="BN538">
        <v>119.85</v>
      </c>
      <c r="BO538">
        <v>119.85</v>
      </c>
      <c r="BQ538" t="s">
        <v>842</v>
      </c>
      <c r="BR538" t="s">
        <v>84</v>
      </c>
      <c r="BS538" s="3">
        <v>45814</v>
      </c>
      <c r="BT538" s="4">
        <v>0.43402777777777779</v>
      </c>
      <c r="BU538" t="s">
        <v>1224</v>
      </c>
      <c r="BV538" t="s">
        <v>86</v>
      </c>
      <c r="BY538">
        <v>13720</v>
      </c>
      <c r="BZ538" t="s">
        <v>87</v>
      </c>
      <c r="CA538" t="s">
        <v>844</v>
      </c>
      <c r="CC538" t="s">
        <v>92</v>
      </c>
      <c r="CD538">
        <v>7535</v>
      </c>
      <c r="CE538" t="s">
        <v>166</v>
      </c>
      <c r="CF538" s="3">
        <v>45817</v>
      </c>
      <c r="CI538">
        <v>1</v>
      </c>
      <c r="CJ538">
        <v>1</v>
      </c>
      <c r="CK538">
        <v>21</v>
      </c>
      <c r="CL538" t="s">
        <v>90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"080065779514"</f>
        <v>080065779514</v>
      </c>
      <c r="F539" s="3">
        <v>45813</v>
      </c>
      <c r="G539">
        <v>202603</v>
      </c>
      <c r="H539" t="s">
        <v>75</v>
      </c>
      <c r="I539" t="s">
        <v>76</v>
      </c>
      <c r="J539" t="s">
        <v>77</v>
      </c>
      <c r="K539" t="s">
        <v>78</v>
      </c>
      <c r="L539" t="s">
        <v>461</v>
      </c>
      <c r="M539" t="s">
        <v>462</v>
      </c>
      <c r="N539" t="s">
        <v>1175</v>
      </c>
      <c r="O539" t="s">
        <v>94</v>
      </c>
      <c r="P539" t="str">
        <f>"4170042267                    "</f>
        <v xml:space="preserve">4170042267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139.66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134</v>
      </c>
      <c r="BJ539">
        <v>77.3</v>
      </c>
      <c r="BK539">
        <v>134</v>
      </c>
      <c r="BL539">
        <v>470.03</v>
      </c>
      <c r="BM539">
        <v>70.5</v>
      </c>
      <c r="BN539">
        <v>540.53</v>
      </c>
      <c r="BO539">
        <v>540.53</v>
      </c>
      <c r="BQ539" t="s">
        <v>1176</v>
      </c>
      <c r="BR539" t="s">
        <v>84</v>
      </c>
      <c r="BS539" s="3">
        <v>45814</v>
      </c>
      <c r="BT539" s="4">
        <v>0.41666666666666669</v>
      </c>
      <c r="BU539" t="s">
        <v>1177</v>
      </c>
      <c r="BV539" t="s">
        <v>86</v>
      </c>
      <c r="BY539">
        <v>386384</v>
      </c>
      <c r="BZ539" t="s">
        <v>97</v>
      </c>
      <c r="CC539" t="s">
        <v>462</v>
      </c>
      <c r="CD539">
        <v>1684</v>
      </c>
      <c r="CE539" t="s">
        <v>648</v>
      </c>
      <c r="CF539" s="3">
        <v>45815</v>
      </c>
      <c r="CI539">
        <v>1</v>
      </c>
      <c r="CJ539">
        <v>1</v>
      </c>
      <c r="CK539">
        <v>42</v>
      </c>
      <c r="CL539" t="s">
        <v>90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"080065780436"</f>
        <v>080065780436</v>
      </c>
      <c r="F540" s="3">
        <v>45813</v>
      </c>
      <c r="G540">
        <v>202603</v>
      </c>
      <c r="H540" t="s">
        <v>75</v>
      </c>
      <c r="I540" t="s">
        <v>76</v>
      </c>
      <c r="J540" t="s">
        <v>77</v>
      </c>
      <c r="K540" t="s">
        <v>78</v>
      </c>
      <c r="L540" t="s">
        <v>302</v>
      </c>
      <c r="M540" t="s">
        <v>303</v>
      </c>
      <c r="N540" t="s">
        <v>304</v>
      </c>
      <c r="O540" t="s">
        <v>82</v>
      </c>
      <c r="P540" t="str">
        <f>"4170042475                    "</f>
        <v xml:space="preserve">4170042475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77.06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4</v>
      </c>
      <c r="BJ540">
        <v>3.4</v>
      </c>
      <c r="BK540">
        <v>4</v>
      </c>
      <c r="BL540">
        <v>256.26</v>
      </c>
      <c r="BM540">
        <v>38.44</v>
      </c>
      <c r="BN540">
        <v>294.7</v>
      </c>
      <c r="BO540">
        <v>294.7</v>
      </c>
      <c r="BQ540" t="s">
        <v>305</v>
      </c>
      <c r="BR540" t="s">
        <v>84</v>
      </c>
      <c r="BS540" s="3">
        <v>45814</v>
      </c>
      <c r="BT540" s="4">
        <v>0.38124999999999998</v>
      </c>
      <c r="BU540" t="s">
        <v>1225</v>
      </c>
      <c r="BV540" t="s">
        <v>86</v>
      </c>
      <c r="BY540">
        <v>16965</v>
      </c>
      <c r="BZ540" t="s">
        <v>87</v>
      </c>
      <c r="CA540" t="s">
        <v>929</v>
      </c>
      <c r="CC540" t="s">
        <v>303</v>
      </c>
      <c r="CD540">
        <v>299</v>
      </c>
      <c r="CE540" t="s">
        <v>99</v>
      </c>
      <c r="CF540" s="3">
        <v>45817</v>
      </c>
      <c r="CI540">
        <v>1</v>
      </c>
      <c r="CJ540">
        <v>1</v>
      </c>
      <c r="CK540">
        <v>23</v>
      </c>
      <c r="CL540" t="s">
        <v>90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"080065780482"</f>
        <v>080065780482</v>
      </c>
      <c r="F541" s="3">
        <v>45813</v>
      </c>
      <c r="G541">
        <v>202603</v>
      </c>
      <c r="H541" t="s">
        <v>75</v>
      </c>
      <c r="I541" t="s">
        <v>76</v>
      </c>
      <c r="J541" t="s">
        <v>77</v>
      </c>
      <c r="K541" t="s">
        <v>78</v>
      </c>
      <c r="L541" t="s">
        <v>284</v>
      </c>
      <c r="M541" t="s">
        <v>285</v>
      </c>
      <c r="N541" t="s">
        <v>1226</v>
      </c>
      <c r="O541" t="s">
        <v>82</v>
      </c>
      <c r="P541" t="str">
        <f>"4170042412                    "</f>
        <v xml:space="preserve">4170042412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16.32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2</v>
      </c>
      <c r="BJ541">
        <v>1.1000000000000001</v>
      </c>
      <c r="BK541">
        <v>2</v>
      </c>
      <c r="BL541">
        <v>54.28</v>
      </c>
      <c r="BM541">
        <v>8.14</v>
      </c>
      <c r="BN541">
        <v>62.42</v>
      </c>
      <c r="BO541">
        <v>62.42</v>
      </c>
      <c r="BQ541" t="s">
        <v>1227</v>
      </c>
      <c r="BR541" t="s">
        <v>84</v>
      </c>
      <c r="BS541" s="3">
        <v>45814</v>
      </c>
      <c r="BT541" s="4">
        <v>0.36805555555555558</v>
      </c>
      <c r="BU541" t="s">
        <v>1228</v>
      </c>
      <c r="BV541" t="s">
        <v>86</v>
      </c>
      <c r="BY541">
        <v>5320</v>
      </c>
      <c r="BZ541" t="s">
        <v>87</v>
      </c>
      <c r="CA541" t="s">
        <v>971</v>
      </c>
      <c r="CC541" t="s">
        <v>285</v>
      </c>
      <c r="CD541">
        <v>1559</v>
      </c>
      <c r="CE541" t="s">
        <v>292</v>
      </c>
      <c r="CF541" s="3">
        <v>45815</v>
      </c>
      <c r="CI541">
        <v>1</v>
      </c>
      <c r="CJ541">
        <v>1</v>
      </c>
      <c r="CK541">
        <v>22</v>
      </c>
      <c r="CL541" t="s">
        <v>90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"080065780519"</f>
        <v>080065780519</v>
      </c>
      <c r="F542" s="3">
        <v>45813</v>
      </c>
      <c r="G542">
        <v>202603</v>
      </c>
      <c r="H542" t="s">
        <v>75</v>
      </c>
      <c r="I542" t="s">
        <v>76</v>
      </c>
      <c r="J542" t="s">
        <v>77</v>
      </c>
      <c r="K542" t="s">
        <v>78</v>
      </c>
      <c r="L542" t="s">
        <v>75</v>
      </c>
      <c r="M542" t="s">
        <v>76</v>
      </c>
      <c r="N542" t="s">
        <v>656</v>
      </c>
      <c r="O542" t="s">
        <v>276</v>
      </c>
      <c r="P542" t="str">
        <f>"4170042477                    "</f>
        <v xml:space="preserve">4170042477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25.49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7</v>
      </c>
      <c r="BJ542">
        <v>12.1</v>
      </c>
      <c r="BK542">
        <v>13</v>
      </c>
      <c r="BL542">
        <v>84.76</v>
      </c>
      <c r="BM542">
        <v>12.71</v>
      </c>
      <c r="BN542">
        <v>97.47</v>
      </c>
      <c r="BO542">
        <v>97.47</v>
      </c>
      <c r="BQ542" t="s">
        <v>657</v>
      </c>
      <c r="BR542" t="s">
        <v>84</v>
      </c>
      <c r="BS542" s="3">
        <v>45814</v>
      </c>
      <c r="BT542" s="4">
        <v>0.40347222222222223</v>
      </c>
      <c r="BU542" t="s">
        <v>770</v>
      </c>
      <c r="BV542" t="s">
        <v>86</v>
      </c>
      <c r="BY542">
        <v>60648</v>
      </c>
      <c r="BZ542" t="s">
        <v>97</v>
      </c>
      <c r="CA542" t="s">
        <v>1087</v>
      </c>
      <c r="CC542" t="s">
        <v>76</v>
      </c>
      <c r="CD542">
        <v>1619</v>
      </c>
      <c r="CE542" t="s">
        <v>166</v>
      </c>
      <c r="CF542" s="3">
        <v>45814</v>
      </c>
      <c r="CI542">
        <v>1</v>
      </c>
      <c r="CJ542">
        <v>1</v>
      </c>
      <c r="CK542">
        <v>32</v>
      </c>
      <c r="CL542" t="s">
        <v>90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"080065780558"</f>
        <v>080065780558</v>
      </c>
      <c r="F543" s="3">
        <v>45813</v>
      </c>
      <c r="G543">
        <v>202603</v>
      </c>
      <c r="H543" t="s">
        <v>75</v>
      </c>
      <c r="I543" t="s">
        <v>76</v>
      </c>
      <c r="J543" t="s">
        <v>77</v>
      </c>
      <c r="K543" t="s">
        <v>78</v>
      </c>
      <c r="L543" t="s">
        <v>91</v>
      </c>
      <c r="M543" t="s">
        <v>92</v>
      </c>
      <c r="N543" t="s">
        <v>763</v>
      </c>
      <c r="O543" t="s">
        <v>82</v>
      </c>
      <c r="P543" t="str">
        <f>"4170042488                    "</f>
        <v xml:space="preserve">4170042488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20.9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1</v>
      </c>
      <c r="BJ543">
        <v>0.2</v>
      </c>
      <c r="BK543">
        <v>1</v>
      </c>
      <c r="BL543">
        <v>69.5</v>
      </c>
      <c r="BM543">
        <v>10.43</v>
      </c>
      <c r="BN543">
        <v>79.930000000000007</v>
      </c>
      <c r="BO543">
        <v>79.930000000000007</v>
      </c>
      <c r="BQ543" t="s">
        <v>764</v>
      </c>
      <c r="BR543" t="s">
        <v>84</v>
      </c>
      <c r="BS543" s="3">
        <v>45814</v>
      </c>
      <c r="BT543" s="4">
        <v>0.45</v>
      </c>
      <c r="BU543" t="s">
        <v>765</v>
      </c>
      <c r="BV543" t="s">
        <v>90</v>
      </c>
      <c r="BW543" t="s">
        <v>144</v>
      </c>
      <c r="BX543" t="s">
        <v>344</v>
      </c>
      <c r="BY543">
        <v>1200</v>
      </c>
      <c r="BZ543" t="s">
        <v>87</v>
      </c>
      <c r="CA543" t="s">
        <v>767</v>
      </c>
      <c r="CC543" t="s">
        <v>92</v>
      </c>
      <c r="CD543">
        <v>7550</v>
      </c>
      <c r="CE543" t="s">
        <v>215</v>
      </c>
      <c r="CF543" s="3">
        <v>45817</v>
      </c>
      <c r="CI543">
        <v>1</v>
      </c>
      <c r="CJ543">
        <v>1</v>
      </c>
      <c r="CK543">
        <v>21</v>
      </c>
      <c r="CL543" t="s">
        <v>90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"080065780582"</f>
        <v>080065780582</v>
      </c>
      <c r="F544" s="3">
        <v>45813</v>
      </c>
      <c r="G544">
        <v>202603</v>
      </c>
      <c r="H544" t="s">
        <v>75</v>
      </c>
      <c r="I544" t="s">
        <v>76</v>
      </c>
      <c r="J544" t="s">
        <v>77</v>
      </c>
      <c r="K544" t="s">
        <v>78</v>
      </c>
      <c r="L544" t="s">
        <v>100</v>
      </c>
      <c r="M544" t="s">
        <v>101</v>
      </c>
      <c r="N544" t="s">
        <v>492</v>
      </c>
      <c r="O544" t="s">
        <v>82</v>
      </c>
      <c r="P544" t="str">
        <f>"4170042425                    "</f>
        <v xml:space="preserve">4170042425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20.9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1</v>
      </c>
      <c r="BJ544">
        <v>0.2</v>
      </c>
      <c r="BK544">
        <v>1</v>
      </c>
      <c r="BL544">
        <v>69.5</v>
      </c>
      <c r="BM544">
        <v>10.43</v>
      </c>
      <c r="BN544">
        <v>79.930000000000007</v>
      </c>
      <c r="BO544">
        <v>79.930000000000007</v>
      </c>
      <c r="BQ544" t="s">
        <v>493</v>
      </c>
      <c r="BR544" t="s">
        <v>84</v>
      </c>
      <c r="BS544" s="3">
        <v>45814</v>
      </c>
      <c r="BT544" s="4">
        <v>0.42986111111111114</v>
      </c>
      <c r="BU544" t="s">
        <v>1213</v>
      </c>
      <c r="BV544" t="s">
        <v>86</v>
      </c>
      <c r="BY544">
        <v>1200</v>
      </c>
      <c r="BZ544" t="s">
        <v>87</v>
      </c>
      <c r="CA544" t="s">
        <v>394</v>
      </c>
      <c r="CC544" t="s">
        <v>101</v>
      </c>
      <c r="CD544">
        <v>6001</v>
      </c>
      <c r="CE544" t="s">
        <v>215</v>
      </c>
      <c r="CF544" s="3">
        <v>45814</v>
      </c>
      <c r="CI544">
        <v>1</v>
      </c>
      <c r="CJ544">
        <v>1</v>
      </c>
      <c r="CK544">
        <v>21</v>
      </c>
      <c r="CL544" t="s">
        <v>90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"080065780600"</f>
        <v>080065780600</v>
      </c>
      <c r="F545" s="3">
        <v>45813</v>
      </c>
      <c r="G545">
        <v>202603</v>
      </c>
      <c r="H545" t="s">
        <v>75</v>
      </c>
      <c r="I545" t="s">
        <v>76</v>
      </c>
      <c r="J545" t="s">
        <v>77</v>
      </c>
      <c r="K545" t="s">
        <v>78</v>
      </c>
      <c r="L545" t="s">
        <v>91</v>
      </c>
      <c r="M545" t="s">
        <v>92</v>
      </c>
      <c r="N545" t="s">
        <v>540</v>
      </c>
      <c r="O545" t="s">
        <v>82</v>
      </c>
      <c r="P545" t="str">
        <f>"4170042426                    "</f>
        <v xml:space="preserve">4170042426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20.9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1</v>
      </c>
      <c r="BJ545">
        <v>0.2</v>
      </c>
      <c r="BK545">
        <v>1</v>
      </c>
      <c r="BL545">
        <v>69.5</v>
      </c>
      <c r="BM545">
        <v>10.43</v>
      </c>
      <c r="BN545">
        <v>79.930000000000007</v>
      </c>
      <c r="BO545">
        <v>79.930000000000007</v>
      </c>
      <c r="BQ545" t="s">
        <v>541</v>
      </c>
      <c r="BR545" t="s">
        <v>84</v>
      </c>
      <c r="BS545" s="3">
        <v>45814</v>
      </c>
      <c r="BT545" s="4">
        <v>0.40625</v>
      </c>
      <c r="BU545" t="s">
        <v>1106</v>
      </c>
      <c r="BV545" t="s">
        <v>86</v>
      </c>
      <c r="BY545">
        <v>1200</v>
      </c>
      <c r="BZ545" t="s">
        <v>87</v>
      </c>
      <c r="CA545" t="s">
        <v>291</v>
      </c>
      <c r="CC545" t="s">
        <v>92</v>
      </c>
      <c r="CD545">
        <v>7441</v>
      </c>
      <c r="CE545" t="s">
        <v>89</v>
      </c>
      <c r="CF545" s="3">
        <v>45817</v>
      </c>
      <c r="CI545">
        <v>1</v>
      </c>
      <c r="CJ545">
        <v>1</v>
      </c>
      <c r="CK545">
        <v>21</v>
      </c>
      <c r="CL545" t="s">
        <v>90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"080065780803"</f>
        <v>080065780803</v>
      </c>
      <c r="F546" s="3">
        <v>45813</v>
      </c>
      <c r="G546">
        <v>202603</v>
      </c>
      <c r="H546" t="s">
        <v>75</v>
      </c>
      <c r="I546" t="s">
        <v>76</v>
      </c>
      <c r="J546" t="s">
        <v>77</v>
      </c>
      <c r="K546" t="s">
        <v>78</v>
      </c>
      <c r="L546" t="s">
        <v>75</v>
      </c>
      <c r="M546" t="s">
        <v>76</v>
      </c>
      <c r="N546" t="s">
        <v>112</v>
      </c>
      <c r="O546" t="s">
        <v>82</v>
      </c>
      <c r="P546" t="str">
        <f>"4170042482                    "</f>
        <v xml:space="preserve">4170042482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16.32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1</v>
      </c>
      <c r="BJ546">
        <v>2.4</v>
      </c>
      <c r="BK546">
        <v>3</v>
      </c>
      <c r="BL546">
        <v>54.28</v>
      </c>
      <c r="BM546">
        <v>8.14</v>
      </c>
      <c r="BN546">
        <v>62.42</v>
      </c>
      <c r="BO546">
        <v>62.42</v>
      </c>
      <c r="BQ546" t="s">
        <v>113</v>
      </c>
      <c r="BR546" t="s">
        <v>84</v>
      </c>
      <c r="BS546" s="3">
        <v>45814</v>
      </c>
      <c r="BT546" s="4">
        <v>0.34722222222222221</v>
      </c>
      <c r="BU546" t="s">
        <v>1229</v>
      </c>
      <c r="BV546" t="s">
        <v>86</v>
      </c>
      <c r="BY546">
        <v>12240</v>
      </c>
      <c r="BZ546" t="s">
        <v>87</v>
      </c>
      <c r="CA546" t="s">
        <v>115</v>
      </c>
      <c r="CC546" t="s">
        <v>76</v>
      </c>
      <c r="CD546">
        <v>1600</v>
      </c>
      <c r="CE546" t="s">
        <v>166</v>
      </c>
      <c r="CF546" s="3">
        <v>45814</v>
      </c>
      <c r="CI546">
        <v>1</v>
      </c>
      <c r="CJ546">
        <v>1</v>
      </c>
      <c r="CK546">
        <v>22</v>
      </c>
      <c r="CL546" t="s">
        <v>90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"080065780833"</f>
        <v>080065780833</v>
      </c>
      <c r="F547" s="3">
        <v>45813</v>
      </c>
      <c r="G547">
        <v>202603</v>
      </c>
      <c r="H547" t="s">
        <v>75</v>
      </c>
      <c r="I547" t="s">
        <v>76</v>
      </c>
      <c r="J547" t="s">
        <v>77</v>
      </c>
      <c r="K547" t="s">
        <v>78</v>
      </c>
      <c r="L547" t="s">
        <v>91</v>
      </c>
      <c r="M547" t="s">
        <v>92</v>
      </c>
      <c r="N547" t="s">
        <v>93</v>
      </c>
      <c r="O547" t="s">
        <v>82</v>
      </c>
      <c r="P547" t="str">
        <f>"4170042269                    "</f>
        <v xml:space="preserve">4170042269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78.319999999999993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4</v>
      </c>
      <c r="BJ547">
        <v>7.1</v>
      </c>
      <c r="BK547">
        <v>7.5</v>
      </c>
      <c r="BL547">
        <v>260.45999999999998</v>
      </c>
      <c r="BM547">
        <v>39.07</v>
      </c>
      <c r="BN547">
        <v>299.52999999999997</v>
      </c>
      <c r="BO547">
        <v>299.52999999999997</v>
      </c>
      <c r="BQ547" t="s">
        <v>95</v>
      </c>
      <c r="BR547" t="s">
        <v>84</v>
      </c>
      <c r="BS547" s="3">
        <v>45814</v>
      </c>
      <c r="BT547" s="4">
        <v>0.35416666666666669</v>
      </c>
      <c r="BU547" t="s">
        <v>290</v>
      </c>
      <c r="BV547" t="s">
        <v>86</v>
      </c>
      <c r="BY547">
        <v>35420</v>
      </c>
      <c r="BZ547" t="s">
        <v>87</v>
      </c>
      <c r="CA547" t="s">
        <v>291</v>
      </c>
      <c r="CC547" t="s">
        <v>92</v>
      </c>
      <c r="CD547">
        <v>7441</v>
      </c>
      <c r="CE547" t="s">
        <v>99</v>
      </c>
      <c r="CF547" s="3">
        <v>45817</v>
      </c>
      <c r="CI547">
        <v>1</v>
      </c>
      <c r="CJ547">
        <v>1</v>
      </c>
      <c r="CK547">
        <v>21</v>
      </c>
      <c r="CL547" t="s">
        <v>90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"080065780865"</f>
        <v>080065780865</v>
      </c>
      <c r="F548" s="3">
        <v>45813</v>
      </c>
      <c r="G548">
        <v>202603</v>
      </c>
      <c r="H548" t="s">
        <v>75</v>
      </c>
      <c r="I548" t="s">
        <v>76</v>
      </c>
      <c r="J548" t="s">
        <v>77</v>
      </c>
      <c r="K548" t="s">
        <v>78</v>
      </c>
      <c r="L548" t="s">
        <v>1230</v>
      </c>
      <c r="M548" t="s">
        <v>1231</v>
      </c>
      <c r="N548" t="s">
        <v>1232</v>
      </c>
      <c r="O548" t="s">
        <v>82</v>
      </c>
      <c r="P548" t="str">
        <f>"4170042271                    "</f>
        <v xml:space="preserve">4170042271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67.91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2</v>
      </c>
      <c r="BJ548">
        <v>3.1</v>
      </c>
      <c r="BK548">
        <v>3.5</v>
      </c>
      <c r="BL548">
        <v>225.85</v>
      </c>
      <c r="BM548">
        <v>33.880000000000003</v>
      </c>
      <c r="BN548">
        <v>259.73</v>
      </c>
      <c r="BO548">
        <v>259.73</v>
      </c>
      <c r="BQ548" t="s">
        <v>1233</v>
      </c>
      <c r="BR548" t="s">
        <v>84</v>
      </c>
      <c r="BS548" s="3">
        <v>45814</v>
      </c>
      <c r="BT548" s="4">
        <v>0.67777777777777781</v>
      </c>
      <c r="BU548" t="s">
        <v>1234</v>
      </c>
      <c r="BV548" t="s">
        <v>86</v>
      </c>
      <c r="BY548">
        <v>15360</v>
      </c>
      <c r="BZ548" t="s">
        <v>87</v>
      </c>
      <c r="CA548" t="s">
        <v>1235</v>
      </c>
      <c r="CC548" t="s">
        <v>1231</v>
      </c>
      <c r="CD548">
        <v>9880</v>
      </c>
      <c r="CE548" t="s">
        <v>99</v>
      </c>
      <c r="CF548" s="3">
        <v>45814</v>
      </c>
      <c r="CI548">
        <v>1</v>
      </c>
      <c r="CJ548">
        <v>1</v>
      </c>
      <c r="CK548">
        <v>23</v>
      </c>
      <c r="CL548" t="s">
        <v>90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"080065780890"</f>
        <v>080065780890</v>
      </c>
      <c r="F549" s="3">
        <v>45813</v>
      </c>
      <c r="G549">
        <v>202603</v>
      </c>
      <c r="H549" t="s">
        <v>75</v>
      </c>
      <c r="I549" t="s">
        <v>76</v>
      </c>
      <c r="J549" t="s">
        <v>77</v>
      </c>
      <c r="K549" t="s">
        <v>78</v>
      </c>
      <c r="L549" t="s">
        <v>106</v>
      </c>
      <c r="M549" t="s">
        <v>107</v>
      </c>
      <c r="N549" t="s">
        <v>495</v>
      </c>
      <c r="O549" t="s">
        <v>94</v>
      </c>
      <c r="P549" t="str">
        <f>"4170042294                    "</f>
        <v xml:space="preserve">4170042294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40.409999999999997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2</v>
      </c>
      <c r="BJ549">
        <v>5.7</v>
      </c>
      <c r="BK549">
        <v>6</v>
      </c>
      <c r="BL549">
        <v>139.96</v>
      </c>
      <c r="BM549">
        <v>20.99</v>
      </c>
      <c r="BN549">
        <v>160.94999999999999</v>
      </c>
      <c r="BO549">
        <v>160.94999999999999</v>
      </c>
      <c r="BQ549" t="s">
        <v>496</v>
      </c>
      <c r="BR549" t="s">
        <v>84</v>
      </c>
      <c r="BS549" s="3">
        <v>45814</v>
      </c>
      <c r="BT549" s="4">
        <v>0.3034722222222222</v>
      </c>
      <c r="BU549" t="s">
        <v>1236</v>
      </c>
      <c r="BV549" t="s">
        <v>86</v>
      </c>
      <c r="BY549">
        <v>28275</v>
      </c>
      <c r="BZ549" t="s">
        <v>97</v>
      </c>
      <c r="CA549" t="s">
        <v>1237</v>
      </c>
      <c r="CC549" t="s">
        <v>107</v>
      </c>
      <c r="CD549">
        <v>2</v>
      </c>
      <c r="CE549" t="s">
        <v>99</v>
      </c>
      <c r="CF549" s="3">
        <v>45814</v>
      </c>
      <c r="CI549">
        <v>1</v>
      </c>
      <c r="CJ549">
        <v>1</v>
      </c>
      <c r="CK549">
        <v>41</v>
      </c>
      <c r="CL549" t="s">
        <v>90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"080065781156"</f>
        <v>080065781156</v>
      </c>
      <c r="F550" s="3">
        <v>45813</v>
      </c>
      <c r="G550">
        <v>202603</v>
      </c>
      <c r="H550" t="s">
        <v>75</v>
      </c>
      <c r="I550" t="s">
        <v>76</v>
      </c>
      <c r="J550" t="s">
        <v>77</v>
      </c>
      <c r="K550" t="s">
        <v>78</v>
      </c>
      <c r="L550" t="s">
        <v>100</v>
      </c>
      <c r="M550" t="s">
        <v>101</v>
      </c>
      <c r="N550" t="s">
        <v>123</v>
      </c>
      <c r="O550" t="s">
        <v>82</v>
      </c>
      <c r="P550" t="str">
        <f>"4170042364                    "</f>
        <v xml:space="preserve">4170042364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20.9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1</v>
      </c>
      <c r="BJ550">
        <v>0.2</v>
      </c>
      <c r="BK550">
        <v>1</v>
      </c>
      <c r="BL550">
        <v>69.5</v>
      </c>
      <c r="BM550">
        <v>10.43</v>
      </c>
      <c r="BN550">
        <v>79.930000000000007</v>
      </c>
      <c r="BO550">
        <v>79.930000000000007</v>
      </c>
      <c r="BQ550" t="s">
        <v>124</v>
      </c>
      <c r="BR550" t="s">
        <v>84</v>
      </c>
      <c r="BS550" s="3">
        <v>45814</v>
      </c>
      <c r="BT550" s="4">
        <v>0.39513888888888887</v>
      </c>
      <c r="BU550" t="s">
        <v>234</v>
      </c>
      <c r="BV550" t="s">
        <v>86</v>
      </c>
      <c r="BY550">
        <v>1200</v>
      </c>
      <c r="BZ550" t="s">
        <v>87</v>
      </c>
      <c r="CA550" t="s">
        <v>235</v>
      </c>
      <c r="CC550" t="s">
        <v>101</v>
      </c>
      <c r="CD550">
        <v>6001</v>
      </c>
      <c r="CE550" t="s">
        <v>89</v>
      </c>
      <c r="CF550" s="3">
        <v>45814</v>
      </c>
      <c r="CI550">
        <v>1</v>
      </c>
      <c r="CJ550">
        <v>1</v>
      </c>
      <c r="CK550">
        <v>21</v>
      </c>
      <c r="CL550" t="s">
        <v>90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"080065781179"</f>
        <v>080065781179</v>
      </c>
      <c r="F551" s="3">
        <v>45813</v>
      </c>
      <c r="G551">
        <v>202603</v>
      </c>
      <c r="H551" t="s">
        <v>75</v>
      </c>
      <c r="I551" t="s">
        <v>76</v>
      </c>
      <c r="J551" t="s">
        <v>77</v>
      </c>
      <c r="K551" t="s">
        <v>78</v>
      </c>
      <c r="L551" t="s">
        <v>130</v>
      </c>
      <c r="M551" t="s">
        <v>131</v>
      </c>
      <c r="N551" t="s">
        <v>1238</v>
      </c>
      <c r="O551" t="s">
        <v>82</v>
      </c>
      <c r="P551" t="str">
        <f>"4170042253                    "</f>
        <v xml:space="preserve">4170042253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16.32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3</v>
      </c>
      <c r="BJ551">
        <v>3.1</v>
      </c>
      <c r="BK551">
        <v>4</v>
      </c>
      <c r="BL551">
        <v>54.28</v>
      </c>
      <c r="BM551">
        <v>8.14</v>
      </c>
      <c r="BN551">
        <v>62.42</v>
      </c>
      <c r="BO551">
        <v>62.42</v>
      </c>
      <c r="BQ551" t="s">
        <v>1239</v>
      </c>
      <c r="BR551" t="s">
        <v>84</v>
      </c>
      <c r="BS551" s="3">
        <v>45814</v>
      </c>
      <c r="BT551" s="4">
        <v>0.40555555555555556</v>
      </c>
      <c r="BU551" t="s">
        <v>1240</v>
      </c>
      <c r="BV551" t="s">
        <v>86</v>
      </c>
      <c r="BY551">
        <v>15360</v>
      </c>
      <c r="BZ551" t="s">
        <v>87</v>
      </c>
      <c r="CA551" t="s">
        <v>425</v>
      </c>
      <c r="CC551" t="s">
        <v>131</v>
      </c>
      <c r="CD551">
        <v>1459</v>
      </c>
      <c r="CE551" t="s">
        <v>99</v>
      </c>
      <c r="CF551" s="3">
        <v>45814</v>
      </c>
      <c r="CI551">
        <v>1</v>
      </c>
      <c r="CJ551">
        <v>1</v>
      </c>
      <c r="CK551">
        <v>22</v>
      </c>
      <c r="CL551" t="s">
        <v>90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"080065781227"</f>
        <v>080065781227</v>
      </c>
      <c r="F552" s="3">
        <v>45813</v>
      </c>
      <c r="G552">
        <v>202603</v>
      </c>
      <c r="H552" t="s">
        <v>75</v>
      </c>
      <c r="I552" t="s">
        <v>76</v>
      </c>
      <c r="J552" t="s">
        <v>77</v>
      </c>
      <c r="K552" t="s">
        <v>78</v>
      </c>
      <c r="L552" t="s">
        <v>75</v>
      </c>
      <c r="M552" t="s">
        <v>76</v>
      </c>
      <c r="N552" t="s">
        <v>112</v>
      </c>
      <c r="O552" t="s">
        <v>94</v>
      </c>
      <c r="P552" t="str">
        <f>"4170042485                    "</f>
        <v xml:space="preserve">4170042485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36.65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2</v>
      </c>
      <c r="BI552">
        <v>21</v>
      </c>
      <c r="BJ552">
        <v>18.7</v>
      </c>
      <c r="BK552">
        <v>21</v>
      </c>
      <c r="BL552">
        <v>127.46</v>
      </c>
      <c r="BM552">
        <v>19.12</v>
      </c>
      <c r="BN552">
        <v>146.58000000000001</v>
      </c>
      <c r="BO552">
        <v>146.58000000000001</v>
      </c>
      <c r="BQ552" t="s">
        <v>113</v>
      </c>
      <c r="BR552" t="s">
        <v>84</v>
      </c>
      <c r="BS552" s="3">
        <v>45814</v>
      </c>
      <c r="BT552" s="4">
        <v>0.34722222222222221</v>
      </c>
      <c r="BU552" t="s">
        <v>1229</v>
      </c>
      <c r="BV552" t="s">
        <v>86</v>
      </c>
      <c r="BY552">
        <v>93375</v>
      </c>
      <c r="BZ552" t="s">
        <v>97</v>
      </c>
      <c r="CA552" t="s">
        <v>115</v>
      </c>
      <c r="CC552" t="s">
        <v>76</v>
      </c>
      <c r="CD552">
        <v>1600</v>
      </c>
      <c r="CE552" t="s">
        <v>166</v>
      </c>
      <c r="CF552" s="3">
        <v>45814</v>
      </c>
      <c r="CI552">
        <v>1</v>
      </c>
      <c r="CJ552">
        <v>1</v>
      </c>
      <c r="CK552">
        <v>42</v>
      </c>
      <c r="CL552" t="s">
        <v>90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"080065781229"</f>
        <v>080065781229</v>
      </c>
      <c r="F553" s="3">
        <v>45813</v>
      </c>
      <c r="G553">
        <v>202603</v>
      </c>
      <c r="H553" t="s">
        <v>75</v>
      </c>
      <c r="I553" t="s">
        <v>76</v>
      </c>
      <c r="J553" t="s">
        <v>77</v>
      </c>
      <c r="K553" t="s">
        <v>78</v>
      </c>
      <c r="L553" t="s">
        <v>266</v>
      </c>
      <c r="M553" t="s">
        <v>267</v>
      </c>
      <c r="N553" t="s">
        <v>946</v>
      </c>
      <c r="O553" t="s">
        <v>82</v>
      </c>
      <c r="P553" t="str">
        <f>"4170042264                    "</f>
        <v xml:space="preserve">4170042264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20.9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1</v>
      </c>
      <c r="BJ553">
        <v>0.2</v>
      </c>
      <c r="BK553">
        <v>1</v>
      </c>
      <c r="BL553">
        <v>69.5</v>
      </c>
      <c r="BM553">
        <v>10.43</v>
      </c>
      <c r="BN553">
        <v>79.930000000000007</v>
      </c>
      <c r="BO553">
        <v>79.930000000000007</v>
      </c>
      <c r="BQ553" t="s">
        <v>947</v>
      </c>
      <c r="BR553" t="s">
        <v>84</v>
      </c>
      <c r="BS553" s="3">
        <v>45814</v>
      </c>
      <c r="BT553" s="4">
        <v>0.38819444444444445</v>
      </c>
      <c r="BU553" t="s">
        <v>790</v>
      </c>
      <c r="BV553" t="s">
        <v>86</v>
      </c>
      <c r="BY553">
        <v>1200</v>
      </c>
      <c r="BZ553" t="s">
        <v>87</v>
      </c>
      <c r="CA553" t="s">
        <v>271</v>
      </c>
      <c r="CC553" t="s">
        <v>267</v>
      </c>
      <c r="CD553">
        <v>6229</v>
      </c>
      <c r="CE553" t="s">
        <v>89</v>
      </c>
      <c r="CF553" s="3">
        <v>45814</v>
      </c>
      <c r="CI553">
        <v>1</v>
      </c>
      <c r="CJ553">
        <v>1</v>
      </c>
      <c r="CK553">
        <v>21</v>
      </c>
      <c r="CL553" t="s">
        <v>90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"080065781261"</f>
        <v>080065781261</v>
      </c>
      <c r="F554" s="3">
        <v>45813</v>
      </c>
      <c r="G554">
        <v>202603</v>
      </c>
      <c r="H554" t="s">
        <v>75</v>
      </c>
      <c r="I554" t="s">
        <v>76</v>
      </c>
      <c r="J554" t="s">
        <v>77</v>
      </c>
      <c r="K554" t="s">
        <v>78</v>
      </c>
      <c r="L554" t="s">
        <v>251</v>
      </c>
      <c r="M554" t="s">
        <v>252</v>
      </c>
      <c r="N554" t="s">
        <v>567</v>
      </c>
      <c r="O554" t="s">
        <v>82</v>
      </c>
      <c r="P554" t="str">
        <f>"4170042399                    "</f>
        <v xml:space="preserve">4170042399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20.9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1</v>
      </c>
      <c r="BJ554">
        <v>0.2</v>
      </c>
      <c r="BK554">
        <v>1</v>
      </c>
      <c r="BL554">
        <v>69.5</v>
      </c>
      <c r="BM554">
        <v>10.43</v>
      </c>
      <c r="BN554">
        <v>79.930000000000007</v>
      </c>
      <c r="BO554">
        <v>79.930000000000007</v>
      </c>
      <c r="BQ554" t="s">
        <v>568</v>
      </c>
      <c r="BR554" t="s">
        <v>84</v>
      </c>
      <c r="BS554" s="3">
        <v>45814</v>
      </c>
      <c r="BT554" s="4">
        <v>0.3888888888888889</v>
      </c>
      <c r="BU554" t="s">
        <v>569</v>
      </c>
      <c r="BV554" t="s">
        <v>86</v>
      </c>
      <c r="BY554">
        <v>1200</v>
      </c>
      <c r="BZ554" t="s">
        <v>87</v>
      </c>
      <c r="CA554" t="s">
        <v>570</v>
      </c>
      <c r="CC554" t="s">
        <v>252</v>
      </c>
      <c r="CD554">
        <v>4302</v>
      </c>
      <c r="CE554" t="s">
        <v>89</v>
      </c>
      <c r="CF554" s="3">
        <v>45814</v>
      </c>
      <c r="CI554">
        <v>1</v>
      </c>
      <c r="CJ554">
        <v>1</v>
      </c>
      <c r="CK554">
        <v>21</v>
      </c>
      <c r="CL554" t="s">
        <v>90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"080065781288"</f>
        <v>080065781288</v>
      </c>
      <c r="F555" s="3">
        <v>45813</v>
      </c>
      <c r="G555">
        <v>202603</v>
      </c>
      <c r="H555" t="s">
        <v>75</v>
      </c>
      <c r="I555" t="s">
        <v>76</v>
      </c>
      <c r="J555" t="s">
        <v>77</v>
      </c>
      <c r="K555" t="s">
        <v>78</v>
      </c>
      <c r="L555" t="s">
        <v>302</v>
      </c>
      <c r="M555" t="s">
        <v>303</v>
      </c>
      <c r="N555" t="s">
        <v>304</v>
      </c>
      <c r="O555" t="s">
        <v>82</v>
      </c>
      <c r="P555" t="str">
        <f>"4170042410                    "</f>
        <v xml:space="preserve">4170042410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40.49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1</v>
      </c>
      <c r="BJ555">
        <v>0.2</v>
      </c>
      <c r="BK555">
        <v>1</v>
      </c>
      <c r="BL555">
        <v>134.65</v>
      </c>
      <c r="BM555">
        <v>20.2</v>
      </c>
      <c r="BN555">
        <v>154.85</v>
      </c>
      <c r="BO555">
        <v>154.85</v>
      </c>
      <c r="BQ555" t="s">
        <v>305</v>
      </c>
      <c r="BR555" t="s">
        <v>84</v>
      </c>
      <c r="BS555" s="3">
        <v>45814</v>
      </c>
      <c r="BT555" s="4">
        <v>0.38124999999999998</v>
      </c>
      <c r="BU555" t="s">
        <v>1225</v>
      </c>
      <c r="BV555" t="s">
        <v>86</v>
      </c>
      <c r="BY555">
        <v>1200</v>
      </c>
      <c r="BZ555" t="s">
        <v>87</v>
      </c>
      <c r="CA555" t="s">
        <v>929</v>
      </c>
      <c r="CC555" t="s">
        <v>303</v>
      </c>
      <c r="CD555">
        <v>299</v>
      </c>
      <c r="CE555" t="s">
        <v>89</v>
      </c>
      <c r="CF555" s="3">
        <v>45817</v>
      </c>
      <c r="CI555">
        <v>1</v>
      </c>
      <c r="CJ555">
        <v>1</v>
      </c>
      <c r="CK555">
        <v>23</v>
      </c>
      <c r="CL555" t="s">
        <v>90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"080065781287"</f>
        <v>080065781287</v>
      </c>
      <c r="F556" s="3">
        <v>45813</v>
      </c>
      <c r="G556">
        <v>202603</v>
      </c>
      <c r="H556" t="s">
        <v>75</v>
      </c>
      <c r="I556" t="s">
        <v>76</v>
      </c>
      <c r="J556" t="s">
        <v>77</v>
      </c>
      <c r="K556" t="s">
        <v>78</v>
      </c>
      <c r="L556" t="s">
        <v>461</v>
      </c>
      <c r="M556" t="s">
        <v>462</v>
      </c>
      <c r="N556" t="s">
        <v>1241</v>
      </c>
      <c r="O556" t="s">
        <v>94</v>
      </c>
      <c r="P556" t="str">
        <f>"4170042250                    "</f>
        <v xml:space="preserve">4170042250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36.65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11</v>
      </c>
      <c r="BJ556">
        <v>20.2</v>
      </c>
      <c r="BK556">
        <v>21</v>
      </c>
      <c r="BL556">
        <v>127.46</v>
      </c>
      <c r="BM556">
        <v>19.12</v>
      </c>
      <c r="BN556">
        <v>146.58000000000001</v>
      </c>
      <c r="BO556">
        <v>146.58000000000001</v>
      </c>
      <c r="BQ556" t="s">
        <v>1242</v>
      </c>
      <c r="BR556" t="s">
        <v>84</v>
      </c>
      <c r="BS556" s="3">
        <v>45814</v>
      </c>
      <c r="BT556" s="4">
        <v>0.4152777777777778</v>
      </c>
      <c r="BU556" t="s">
        <v>1243</v>
      </c>
      <c r="BV556" t="s">
        <v>86</v>
      </c>
      <c r="BY556">
        <v>100800</v>
      </c>
      <c r="BZ556" t="s">
        <v>97</v>
      </c>
      <c r="CA556" t="s">
        <v>1244</v>
      </c>
      <c r="CC556" t="s">
        <v>462</v>
      </c>
      <c r="CD556">
        <v>1682</v>
      </c>
      <c r="CE556" t="s">
        <v>99</v>
      </c>
      <c r="CF556" s="3">
        <v>45815</v>
      </c>
      <c r="CI556">
        <v>1</v>
      </c>
      <c r="CJ556">
        <v>1</v>
      </c>
      <c r="CK556">
        <v>42</v>
      </c>
      <c r="CL556" t="s">
        <v>90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"080065781498"</f>
        <v>080065781498</v>
      </c>
      <c r="F557" s="3">
        <v>45813</v>
      </c>
      <c r="G557">
        <v>202603</v>
      </c>
      <c r="H557" t="s">
        <v>75</v>
      </c>
      <c r="I557" t="s">
        <v>76</v>
      </c>
      <c r="J557" t="s">
        <v>77</v>
      </c>
      <c r="K557" t="s">
        <v>78</v>
      </c>
      <c r="L557" t="s">
        <v>75</v>
      </c>
      <c r="M557" t="s">
        <v>76</v>
      </c>
      <c r="N557" t="s">
        <v>112</v>
      </c>
      <c r="O557" t="s">
        <v>82</v>
      </c>
      <c r="P557" t="str">
        <f>"4170042493                    "</f>
        <v xml:space="preserve">4170042493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16.32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1</v>
      </c>
      <c r="BJ557">
        <v>0.2</v>
      </c>
      <c r="BK557">
        <v>1</v>
      </c>
      <c r="BL557">
        <v>54.28</v>
      </c>
      <c r="BM557">
        <v>8.14</v>
      </c>
      <c r="BN557">
        <v>62.42</v>
      </c>
      <c r="BO557">
        <v>62.42</v>
      </c>
      <c r="BQ557" t="s">
        <v>113</v>
      </c>
      <c r="BR557" t="s">
        <v>84</v>
      </c>
      <c r="BS557" s="3">
        <v>45814</v>
      </c>
      <c r="BT557" s="4">
        <v>0.34791666666666665</v>
      </c>
      <c r="BU557" t="s">
        <v>1229</v>
      </c>
      <c r="BV557" t="s">
        <v>86</v>
      </c>
      <c r="BY557">
        <v>1200</v>
      </c>
      <c r="BZ557" t="s">
        <v>87</v>
      </c>
      <c r="CA557" t="s">
        <v>115</v>
      </c>
      <c r="CC557" t="s">
        <v>76</v>
      </c>
      <c r="CD557">
        <v>1600</v>
      </c>
      <c r="CE557" t="s">
        <v>89</v>
      </c>
      <c r="CF557" s="3">
        <v>45814</v>
      </c>
      <c r="CI557">
        <v>1</v>
      </c>
      <c r="CJ557">
        <v>1</v>
      </c>
      <c r="CK557">
        <v>22</v>
      </c>
      <c r="CL557" t="s">
        <v>90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"080065781503"</f>
        <v>080065781503</v>
      </c>
      <c r="F558" s="3">
        <v>45813</v>
      </c>
      <c r="G558">
        <v>202603</v>
      </c>
      <c r="H558" t="s">
        <v>75</v>
      </c>
      <c r="I558" t="s">
        <v>76</v>
      </c>
      <c r="J558" t="s">
        <v>77</v>
      </c>
      <c r="K558" t="s">
        <v>78</v>
      </c>
      <c r="L558" t="s">
        <v>91</v>
      </c>
      <c r="M558" t="s">
        <v>92</v>
      </c>
      <c r="N558" t="s">
        <v>1245</v>
      </c>
      <c r="O558" t="s">
        <v>82</v>
      </c>
      <c r="P558" t="str">
        <f>"4170042483                    "</f>
        <v xml:space="preserve">4170042483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47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3</v>
      </c>
      <c r="BJ558">
        <v>4.0999999999999996</v>
      </c>
      <c r="BK558">
        <v>4.5</v>
      </c>
      <c r="BL558">
        <v>156.30000000000001</v>
      </c>
      <c r="BM558">
        <v>23.45</v>
      </c>
      <c r="BN558">
        <v>179.75</v>
      </c>
      <c r="BO558">
        <v>179.75</v>
      </c>
      <c r="BQ558" t="s">
        <v>1246</v>
      </c>
      <c r="BR558" t="s">
        <v>84</v>
      </c>
      <c r="BS558" s="3">
        <v>45814</v>
      </c>
      <c r="BT558" s="4">
        <v>0.36249999999999999</v>
      </c>
      <c r="BU558" t="s">
        <v>1247</v>
      </c>
      <c r="BV558" t="s">
        <v>86</v>
      </c>
      <c r="BY558">
        <v>20358</v>
      </c>
      <c r="BZ558" t="s">
        <v>87</v>
      </c>
      <c r="CA558" t="s">
        <v>955</v>
      </c>
      <c r="CC558" t="s">
        <v>92</v>
      </c>
      <c r="CD558">
        <v>7945</v>
      </c>
      <c r="CE558" t="s">
        <v>99</v>
      </c>
      <c r="CF558" s="3">
        <v>45817</v>
      </c>
      <c r="CI558">
        <v>1</v>
      </c>
      <c r="CJ558">
        <v>1</v>
      </c>
      <c r="CK558">
        <v>21</v>
      </c>
      <c r="CL558" t="s">
        <v>90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"080065781528"</f>
        <v>080065781528</v>
      </c>
      <c r="F559" s="3">
        <v>45813</v>
      </c>
      <c r="G559">
        <v>202603</v>
      </c>
      <c r="H559" t="s">
        <v>75</v>
      </c>
      <c r="I559" t="s">
        <v>76</v>
      </c>
      <c r="J559" t="s">
        <v>77</v>
      </c>
      <c r="K559" t="s">
        <v>78</v>
      </c>
      <c r="L559" t="s">
        <v>159</v>
      </c>
      <c r="M559" t="s">
        <v>160</v>
      </c>
      <c r="N559" t="s">
        <v>1248</v>
      </c>
      <c r="O559" t="s">
        <v>82</v>
      </c>
      <c r="P559" t="str">
        <f>"4170042348                    "</f>
        <v xml:space="preserve">4170042348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16.32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1</v>
      </c>
      <c r="BJ559">
        <v>0.2</v>
      </c>
      <c r="BK559">
        <v>1</v>
      </c>
      <c r="BL559">
        <v>54.28</v>
      </c>
      <c r="BM559">
        <v>8.14</v>
      </c>
      <c r="BN559">
        <v>62.42</v>
      </c>
      <c r="BO559">
        <v>62.42</v>
      </c>
      <c r="BQ559" t="s">
        <v>1249</v>
      </c>
      <c r="BR559" t="s">
        <v>84</v>
      </c>
      <c r="BS559" s="3">
        <v>45814</v>
      </c>
      <c r="BT559" s="4">
        <v>0.39097222222222222</v>
      </c>
      <c r="BU559" t="s">
        <v>1250</v>
      </c>
      <c r="BV559" t="s">
        <v>86</v>
      </c>
      <c r="BY559">
        <v>1200</v>
      </c>
      <c r="BZ559" t="s">
        <v>87</v>
      </c>
      <c r="CA559" t="s">
        <v>1251</v>
      </c>
      <c r="CC559" t="s">
        <v>160</v>
      </c>
      <c r="CD559">
        <v>2022</v>
      </c>
      <c r="CE559" t="s">
        <v>89</v>
      </c>
      <c r="CF559" s="3">
        <v>45814</v>
      </c>
      <c r="CI559">
        <v>1</v>
      </c>
      <c r="CJ559">
        <v>1</v>
      </c>
      <c r="CK559">
        <v>22</v>
      </c>
      <c r="CL559" t="s">
        <v>90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"080065781541"</f>
        <v>080065781541</v>
      </c>
      <c r="F560" s="3">
        <v>45813</v>
      </c>
      <c r="G560">
        <v>202603</v>
      </c>
      <c r="H560" t="s">
        <v>75</v>
      </c>
      <c r="I560" t="s">
        <v>76</v>
      </c>
      <c r="J560" t="s">
        <v>77</v>
      </c>
      <c r="K560" t="s">
        <v>78</v>
      </c>
      <c r="L560" t="s">
        <v>91</v>
      </c>
      <c r="M560" t="s">
        <v>92</v>
      </c>
      <c r="N560" t="s">
        <v>307</v>
      </c>
      <c r="O560" t="s">
        <v>82</v>
      </c>
      <c r="P560" t="str">
        <f>"4170042340                    "</f>
        <v xml:space="preserve">4170042340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20.9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1</v>
      </c>
      <c r="BJ560">
        <v>1.9</v>
      </c>
      <c r="BK560">
        <v>2</v>
      </c>
      <c r="BL560">
        <v>69.5</v>
      </c>
      <c r="BM560">
        <v>10.43</v>
      </c>
      <c r="BN560">
        <v>79.930000000000007</v>
      </c>
      <c r="BO560">
        <v>79.930000000000007</v>
      </c>
      <c r="BQ560" t="s">
        <v>308</v>
      </c>
      <c r="BR560" t="s">
        <v>84</v>
      </c>
      <c r="BS560" s="3">
        <v>45814</v>
      </c>
      <c r="BT560" s="4">
        <v>0.40902777777777777</v>
      </c>
      <c r="BU560" t="s">
        <v>309</v>
      </c>
      <c r="BV560" t="s">
        <v>86</v>
      </c>
      <c r="BY560">
        <v>9600</v>
      </c>
      <c r="BZ560" t="s">
        <v>87</v>
      </c>
      <c r="CA560" t="s">
        <v>310</v>
      </c>
      <c r="CC560" t="s">
        <v>92</v>
      </c>
      <c r="CD560">
        <v>7480</v>
      </c>
      <c r="CE560" t="s">
        <v>99</v>
      </c>
      <c r="CF560" s="3">
        <v>45817</v>
      </c>
      <c r="CI560">
        <v>1</v>
      </c>
      <c r="CJ560">
        <v>1</v>
      </c>
      <c r="CK560">
        <v>21</v>
      </c>
      <c r="CL560" t="s">
        <v>90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"080065781560"</f>
        <v>080065781560</v>
      </c>
      <c r="F561" s="3">
        <v>45813</v>
      </c>
      <c r="G561">
        <v>202603</v>
      </c>
      <c r="H561" t="s">
        <v>75</v>
      </c>
      <c r="I561" t="s">
        <v>76</v>
      </c>
      <c r="J561" t="s">
        <v>77</v>
      </c>
      <c r="K561" t="s">
        <v>78</v>
      </c>
      <c r="L561" t="s">
        <v>91</v>
      </c>
      <c r="M561" t="s">
        <v>92</v>
      </c>
      <c r="N561" t="s">
        <v>1252</v>
      </c>
      <c r="O561" t="s">
        <v>82</v>
      </c>
      <c r="P561" t="str">
        <f>"4170042479                    "</f>
        <v xml:space="preserve">4170042479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20.9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1</v>
      </c>
      <c r="BJ561">
        <v>0.2</v>
      </c>
      <c r="BK561">
        <v>1</v>
      </c>
      <c r="BL561">
        <v>69.5</v>
      </c>
      <c r="BM561">
        <v>10.43</v>
      </c>
      <c r="BN561">
        <v>79.930000000000007</v>
      </c>
      <c r="BO561">
        <v>79.930000000000007</v>
      </c>
      <c r="BQ561" t="s">
        <v>1253</v>
      </c>
      <c r="BR561" t="s">
        <v>84</v>
      </c>
      <c r="BS561" s="3">
        <v>45814</v>
      </c>
      <c r="BT561" s="4">
        <v>0.40972222222222221</v>
      </c>
      <c r="BU561" t="s">
        <v>1254</v>
      </c>
      <c r="BV561" t="s">
        <v>86</v>
      </c>
      <c r="BY561">
        <v>1200</v>
      </c>
      <c r="BZ561" t="s">
        <v>87</v>
      </c>
      <c r="CA561" t="s">
        <v>1255</v>
      </c>
      <c r="CC561" t="s">
        <v>92</v>
      </c>
      <c r="CD561">
        <v>7800</v>
      </c>
      <c r="CE561" t="s">
        <v>89</v>
      </c>
      <c r="CF561" s="3">
        <v>45817</v>
      </c>
      <c r="CI561">
        <v>1</v>
      </c>
      <c r="CJ561">
        <v>1</v>
      </c>
      <c r="CK561">
        <v>21</v>
      </c>
      <c r="CL561" t="s">
        <v>90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"080065781586"</f>
        <v>080065781586</v>
      </c>
      <c r="F562" s="3">
        <v>45813</v>
      </c>
      <c r="G562">
        <v>202603</v>
      </c>
      <c r="H562" t="s">
        <v>75</v>
      </c>
      <c r="I562" t="s">
        <v>76</v>
      </c>
      <c r="J562" t="s">
        <v>77</v>
      </c>
      <c r="K562" t="s">
        <v>78</v>
      </c>
      <c r="L562" t="s">
        <v>106</v>
      </c>
      <c r="M562" t="s">
        <v>107</v>
      </c>
      <c r="N562" t="s">
        <v>1137</v>
      </c>
      <c r="O562" t="s">
        <v>94</v>
      </c>
      <c r="P562" t="str">
        <f>"4170042257                    "</f>
        <v xml:space="preserve">4170042257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40.409999999999997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2</v>
      </c>
      <c r="BI562">
        <v>6</v>
      </c>
      <c r="BJ562">
        <v>6.1</v>
      </c>
      <c r="BK562">
        <v>7</v>
      </c>
      <c r="BL562">
        <v>139.96</v>
      </c>
      <c r="BM562">
        <v>20.99</v>
      </c>
      <c r="BN562">
        <v>160.94999999999999</v>
      </c>
      <c r="BO562">
        <v>160.94999999999999</v>
      </c>
      <c r="BQ562" t="s">
        <v>1138</v>
      </c>
      <c r="BR562" t="s">
        <v>84</v>
      </c>
      <c r="BS562" s="3">
        <v>45814</v>
      </c>
      <c r="BT562" s="4">
        <v>0.39513888888888887</v>
      </c>
      <c r="BU562" t="s">
        <v>1256</v>
      </c>
      <c r="BV562" t="s">
        <v>86</v>
      </c>
      <c r="BY562">
        <v>30720</v>
      </c>
      <c r="BZ562" t="s">
        <v>97</v>
      </c>
      <c r="CA562" t="s">
        <v>1140</v>
      </c>
      <c r="CC562" t="s">
        <v>107</v>
      </c>
      <c r="CD562">
        <v>83</v>
      </c>
      <c r="CE562" t="s">
        <v>99</v>
      </c>
      <c r="CF562" s="3">
        <v>45814</v>
      </c>
      <c r="CI562">
        <v>1</v>
      </c>
      <c r="CJ562">
        <v>1</v>
      </c>
      <c r="CK562">
        <v>41</v>
      </c>
      <c r="CL562" t="s">
        <v>90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"080065781590"</f>
        <v>080065781590</v>
      </c>
      <c r="F563" s="3">
        <v>45813</v>
      </c>
      <c r="G563">
        <v>202603</v>
      </c>
      <c r="H563" t="s">
        <v>75</v>
      </c>
      <c r="I563" t="s">
        <v>76</v>
      </c>
      <c r="J563" t="s">
        <v>77</v>
      </c>
      <c r="K563" t="s">
        <v>78</v>
      </c>
      <c r="L563" t="s">
        <v>106</v>
      </c>
      <c r="M563" t="s">
        <v>107</v>
      </c>
      <c r="N563" t="s">
        <v>1257</v>
      </c>
      <c r="O563" t="s">
        <v>82</v>
      </c>
      <c r="P563" t="str">
        <f>"4170042423                    "</f>
        <v xml:space="preserve">4170042423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20.9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</v>
      </c>
      <c r="BJ563">
        <v>0.2</v>
      </c>
      <c r="BK563">
        <v>1</v>
      </c>
      <c r="BL563">
        <v>69.5</v>
      </c>
      <c r="BM563">
        <v>10.43</v>
      </c>
      <c r="BN563">
        <v>79.930000000000007</v>
      </c>
      <c r="BO563">
        <v>79.930000000000007</v>
      </c>
      <c r="BQ563" t="s">
        <v>1258</v>
      </c>
      <c r="BR563" t="s">
        <v>84</v>
      </c>
      <c r="BS563" s="3">
        <v>45814</v>
      </c>
      <c r="BT563" s="4">
        <v>0.37222222222222223</v>
      </c>
      <c r="BU563" t="s">
        <v>1259</v>
      </c>
      <c r="BV563" t="s">
        <v>86</v>
      </c>
      <c r="BY563">
        <v>1200</v>
      </c>
      <c r="BZ563" t="s">
        <v>87</v>
      </c>
      <c r="CA563" t="s">
        <v>111</v>
      </c>
      <c r="CC563" t="s">
        <v>107</v>
      </c>
      <c r="CD563">
        <v>200</v>
      </c>
      <c r="CE563" t="s">
        <v>89</v>
      </c>
      <c r="CF563" s="3">
        <v>45814</v>
      </c>
      <c r="CI563">
        <v>1</v>
      </c>
      <c r="CJ563">
        <v>1</v>
      </c>
      <c r="CK563">
        <v>21</v>
      </c>
      <c r="CL563" t="s">
        <v>90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"080065781620"</f>
        <v>080065781620</v>
      </c>
      <c r="F564" s="3">
        <v>45813</v>
      </c>
      <c r="G564">
        <v>202603</v>
      </c>
      <c r="H564" t="s">
        <v>75</v>
      </c>
      <c r="I564" t="s">
        <v>76</v>
      </c>
      <c r="J564" t="s">
        <v>77</v>
      </c>
      <c r="K564" t="s">
        <v>78</v>
      </c>
      <c r="L564" t="s">
        <v>239</v>
      </c>
      <c r="M564" t="s">
        <v>240</v>
      </c>
      <c r="N564" t="s">
        <v>241</v>
      </c>
      <c r="O564" t="s">
        <v>82</v>
      </c>
      <c r="P564" t="str">
        <f>"4170042484                    "</f>
        <v xml:space="preserve">4170042484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40.49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1</v>
      </c>
      <c r="BJ564">
        <v>0.2</v>
      </c>
      <c r="BK564">
        <v>1</v>
      </c>
      <c r="BL564">
        <v>134.65</v>
      </c>
      <c r="BM564">
        <v>20.2</v>
      </c>
      <c r="BN564">
        <v>154.85</v>
      </c>
      <c r="BO564">
        <v>154.85</v>
      </c>
      <c r="BQ564" t="s">
        <v>242</v>
      </c>
      <c r="BR564" t="s">
        <v>84</v>
      </c>
      <c r="BS564" s="3">
        <v>45814</v>
      </c>
      <c r="BT564" s="4">
        <v>0.40902777777777777</v>
      </c>
      <c r="BU564" t="s">
        <v>1260</v>
      </c>
      <c r="BV564" t="s">
        <v>86</v>
      </c>
      <c r="BY564">
        <v>1200</v>
      </c>
      <c r="BZ564" t="s">
        <v>87</v>
      </c>
      <c r="CA564" t="s">
        <v>1261</v>
      </c>
      <c r="CC564" t="s">
        <v>240</v>
      </c>
      <c r="CD564">
        <v>2531</v>
      </c>
      <c r="CE564" t="s">
        <v>89</v>
      </c>
      <c r="CF564" s="3">
        <v>45817</v>
      </c>
      <c r="CI564">
        <v>1</v>
      </c>
      <c r="CJ564">
        <v>1</v>
      </c>
      <c r="CK564">
        <v>23</v>
      </c>
      <c r="CL564" t="s">
        <v>90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"080065781628"</f>
        <v>080065781628</v>
      </c>
      <c r="F565" s="3">
        <v>45813</v>
      </c>
      <c r="G565">
        <v>202603</v>
      </c>
      <c r="H565" t="s">
        <v>75</v>
      </c>
      <c r="I565" t="s">
        <v>76</v>
      </c>
      <c r="J565" t="s">
        <v>77</v>
      </c>
      <c r="K565" t="s">
        <v>78</v>
      </c>
      <c r="L565" t="s">
        <v>130</v>
      </c>
      <c r="M565" t="s">
        <v>131</v>
      </c>
      <c r="N565" t="s">
        <v>1152</v>
      </c>
      <c r="O565" t="s">
        <v>82</v>
      </c>
      <c r="P565" t="str">
        <f>"4170042407                    "</f>
        <v xml:space="preserve">4170042407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16.32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1</v>
      </c>
      <c r="BJ565">
        <v>1.1000000000000001</v>
      </c>
      <c r="BK565">
        <v>2</v>
      </c>
      <c r="BL565">
        <v>54.28</v>
      </c>
      <c r="BM565">
        <v>8.14</v>
      </c>
      <c r="BN565">
        <v>62.42</v>
      </c>
      <c r="BO565">
        <v>62.42</v>
      </c>
      <c r="BQ565" t="s">
        <v>1153</v>
      </c>
      <c r="BR565" t="s">
        <v>84</v>
      </c>
      <c r="BS565" s="3">
        <v>45814</v>
      </c>
      <c r="BT565" s="4">
        <v>0.42083333333333334</v>
      </c>
      <c r="BU565" t="s">
        <v>1262</v>
      </c>
      <c r="BV565" t="s">
        <v>86</v>
      </c>
      <c r="BY565">
        <v>5320</v>
      </c>
      <c r="BZ565" t="s">
        <v>87</v>
      </c>
      <c r="CA565" t="s">
        <v>425</v>
      </c>
      <c r="CC565" t="s">
        <v>131</v>
      </c>
      <c r="CD565">
        <v>1459</v>
      </c>
      <c r="CE565" t="s">
        <v>99</v>
      </c>
      <c r="CF565" s="3">
        <v>45814</v>
      </c>
      <c r="CI565">
        <v>1</v>
      </c>
      <c r="CJ565">
        <v>1</v>
      </c>
      <c r="CK565">
        <v>22</v>
      </c>
      <c r="CL565" t="s">
        <v>90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"080065781643"</f>
        <v>080065781643</v>
      </c>
      <c r="F566" s="3">
        <v>45813</v>
      </c>
      <c r="G566">
        <v>202603</v>
      </c>
      <c r="H566" t="s">
        <v>75</v>
      </c>
      <c r="I566" t="s">
        <v>76</v>
      </c>
      <c r="J566" t="s">
        <v>77</v>
      </c>
      <c r="K566" t="s">
        <v>78</v>
      </c>
      <c r="L566" t="s">
        <v>136</v>
      </c>
      <c r="M566" t="s">
        <v>137</v>
      </c>
      <c r="N566" t="s">
        <v>1263</v>
      </c>
      <c r="O566" t="s">
        <v>82</v>
      </c>
      <c r="P566" t="str">
        <f>"4170042416                    "</f>
        <v xml:space="preserve">4170042416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20.9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</v>
      </c>
      <c r="BJ566">
        <v>0.2</v>
      </c>
      <c r="BK566">
        <v>1</v>
      </c>
      <c r="BL566">
        <v>69.5</v>
      </c>
      <c r="BM566">
        <v>10.43</v>
      </c>
      <c r="BN566">
        <v>79.930000000000007</v>
      </c>
      <c r="BO566">
        <v>79.930000000000007</v>
      </c>
      <c r="BQ566" t="s">
        <v>1264</v>
      </c>
      <c r="BR566" t="s">
        <v>84</v>
      </c>
      <c r="BS566" s="3">
        <v>45817</v>
      </c>
      <c r="BT566" s="4">
        <v>0.45833333333333331</v>
      </c>
      <c r="BU566" t="s">
        <v>1265</v>
      </c>
      <c r="BV566" t="s">
        <v>90</v>
      </c>
      <c r="BY566">
        <v>1200</v>
      </c>
      <c r="BZ566" t="s">
        <v>87</v>
      </c>
      <c r="CC566" t="s">
        <v>137</v>
      </c>
      <c r="CD566">
        <v>5201</v>
      </c>
      <c r="CE566" t="s">
        <v>89</v>
      </c>
      <c r="CF566" s="3">
        <v>45818</v>
      </c>
      <c r="CI566">
        <v>1</v>
      </c>
      <c r="CJ566">
        <v>2</v>
      </c>
      <c r="CK566">
        <v>21</v>
      </c>
      <c r="CL566" t="s">
        <v>90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"080065781662"</f>
        <v>080065781662</v>
      </c>
      <c r="F567" s="3">
        <v>45813</v>
      </c>
      <c r="G567">
        <v>202603</v>
      </c>
      <c r="H567" t="s">
        <v>75</v>
      </c>
      <c r="I567" t="s">
        <v>76</v>
      </c>
      <c r="J567" t="s">
        <v>77</v>
      </c>
      <c r="K567" t="s">
        <v>78</v>
      </c>
      <c r="L567" t="s">
        <v>1230</v>
      </c>
      <c r="M567" t="s">
        <v>1231</v>
      </c>
      <c r="N567" t="s">
        <v>1232</v>
      </c>
      <c r="O567" t="s">
        <v>82</v>
      </c>
      <c r="P567" t="str">
        <f>"4170042261                    "</f>
        <v xml:space="preserve">4170042261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86.2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2</v>
      </c>
      <c r="BJ567">
        <v>4.3</v>
      </c>
      <c r="BK567">
        <v>4.5</v>
      </c>
      <c r="BL567">
        <v>286.66000000000003</v>
      </c>
      <c r="BM567">
        <v>43</v>
      </c>
      <c r="BN567">
        <v>329.66</v>
      </c>
      <c r="BO567">
        <v>329.66</v>
      </c>
      <c r="BQ567" t="s">
        <v>1233</v>
      </c>
      <c r="BR567" t="s">
        <v>84</v>
      </c>
      <c r="BS567" s="3">
        <v>45814</v>
      </c>
      <c r="BT567" s="4">
        <v>0.67777777777777781</v>
      </c>
      <c r="BU567" t="s">
        <v>1234</v>
      </c>
      <c r="BV567" t="s">
        <v>86</v>
      </c>
      <c r="BY567">
        <v>21632</v>
      </c>
      <c r="BZ567" t="s">
        <v>87</v>
      </c>
      <c r="CA567" t="s">
        <v>1235</v>
      </c>
      <c r="CC567" t="s">
        <v>1231</v>
      </c>
      <c r="CD567">
        <v>9880</v>
      </c>
      <c r="CE567" t="s">
        <v>166</v>
      </c>
      <c r="CF567" s="3">
        <v>45814</v>
      </c>
      <c r="CI567">
        <v>1</v>
      </c>
      <c r="CJ567">
        <v>1</v>
      </c>
      <c r="CK567">
        <v>23</v>
      </c>
      <c r="CL567" t="s">
        <v>90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"080065781843"</f>
        <v>080065781843</v>
      </c>
      <c r="F568" s="3">
        <v>45813</v>
      </c>
      <c r="G568">
        <v>202603</v>
      </c>
      <c r="H568" t="s">
        <v>75</v>
      </c>
      <c r="I568" t="s">
        <v>76</v>
      </c>
      <c r="J568" t="s">
        <v>77</v>
      </c>
      <c r="K568" t="s">
        <v>78</v>
      </c>
      <c r="L568" t="s">
        <v>154</v>
      </c>
      <c r="M568" t="s">
        <v>154</v>
      </c>
      <c r="N568" t="s">
        <v>530</v>
      </c>
      <c r="O568" t="s">
        <v>82</v>
      </c>
      <c r="P568" t="str">
        <f>"4170042286                    "</f>
        <v xml:space="preserve">4170042286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40.49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1</v>
      </c>
      <c r="BJ568">
        <v>1.7</v>
      </c>
      <c r="BK568">
        <v>2</v>
      </c>
      <c r="BL568">
        <v>134.65</v>
      </c>
      <c r="BM568">
        <v>20.2</v>
      </c>
      <c r="BN568">
        <v>154.85</v>
      </c>
      <c r="BO568">
        <v>154.85</v>
      </c>
      <c r="BQ568" t="s">
        <v>531</v>
      </c>
      <c r="BR568" t="s">
        <v>84</v>
      </c>
      <c r="BS568" s="3">
        <v>45814</v>
      </c>
      <c r="BT568" s="4">
        <v>0.4861111111111111</v>
      </c>
      <c r="BU568" t="s">
        <v>532</v>
      </c>
      <c r="BV568" t="s">
        <v>86</v>
      </c>
      <c r="BY568">
        <v>8512</v>
      </c>
      <c r="BZ568" t="s">
        <v>87</v>
      </c>
      <c r="CA568" t="s">
        <v>158</v>
      </c>
      <c r="CC568" t="s">
        <v>154</v>
      </c>
      <c r="CD568">
        <v>7646</v>
      </c>
      <c r="CE568" t="s">
        <v>180</v>
      </c>
      <c r="CF568" s="3">
        <v>45817</v>
      </c>
      <c r="CI568">
        <v>1</v>
      </c>
      <c r="CJ568">
        <v>1</v>
      </c>
      <c r="CK568">
        <v>23</v>
      </c>
      <c r="CL568" t="s">
        <v>90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"080065781847"</f>
        <v>080065781847</v>
      </c>
      <c r="F569" s="3">
        <v>45813</v>
      </c>
      <c r="G569">
        <v>202603</v>
      </c>
      <c r="H569" t="s">
        <v>75</v>
      </c>
      <c r="I569" t="s">
        <v>76</v>
      </c>
      <c r="J569" t="s">
        <v>77</v>
      </c>
      <c r="K569" t="s">
        <v>78</v>
      </c>
      <c r="L569" t="s">
        <v>331</v>
      </c>
      <c r="M569" t="s">
        <v>332</v>
      </c>
      <c r="N569" t="s">
        <v>1084</v>
      </c>
      <c r="O569" t="s">
        <v>82</v>
      </c>
      <c r="P569" t="str">
        <f>"4170042314                    "</f>
        <v xml:space="preserve">4170042314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20.9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1</v>
      </c>
      <c r="BJ569">
        <v>0.2</v>
      </c>
      <c r="BK569">
        <v>1</v>
      </c>
      <c r="BL569">
        <v>69.5</v>
      </c>
      <c r="BM569">
        <v>10.43</v>
      </c>
      <c r="BN569">
        <v>79.930000000000007</v>
      </c>
      <c r="BO569">
        <v>79.930000000000007</v>
      </c>
      <c r="BQ569" t="s">
        <v>1085</v>
      </c>
      <c r="BR569" t="s">
        <v>84</v>
      </c>
      <c r="BS569" s="3">
        <v>45814</v>
      </c>
      <c r="BT569" s="4">
        <v>0.3923611111111111</v>
      </c>
      <c r="BU569" t="s">
        <v>415</v>
      </c>
      <c r="BV569" t="s">
        <v>86</v>
      </c>
      <c r="BY569">
        <v>1200</v>
      </c>
      <c r="BZ569" t="s">
        <v>87</v>
      </c>
      <c r="CC569" t="s">
        <v>332</v>
      </c>
      <c r="CD569">
        <v>4000</v>
      </c>
      <c r="CE569" t="s">
        <v>89</v>
      </c>
      <c r="CF569" s="3">
        <v>45814</v>
      </c>
      <c r="CI569">
        <v>1</v>
      </c>
      <c r="CJ569">
        <v>1</v>
      </c>
      <c r="CK569">
        <v>21</v>
      </c>
      <c r="CL569" t="s">
        <v>90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"080065781862"</f>
        <v>080065781862</v>
      </c>
      <c r="F570" s="3">
        <v>45813</v>
      </c>
      <c r="G570">
        <v>202603</v>
      </c>
      <c r="H570" t="s">
        <v>75</v>
      </c>
      <c r="I570" t="s">
        <v>76</v>
      </c>
      <c r="J570" t="s">
        <v>77</v>
      </c>
      <c r="K570" t="s">
        <v>78</v>
      </c>
      <c r="L570" t="s">
        <v>91</v>
      </c>
      <c r="M570" t="s">
        <v>92</v>
      </c>
      <c r="N570" t="s">
        <v>763</v>
      </c>
      <c r="O570" t="s">
        <v>82</v>
      </c>
      <c r="P570" t="str">
        <f>"4170042487                    "</f>
        <v xml:space="preserve">4170042487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20.9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1</v>
      </c>
      <c r="BJ570">
        <v>0.2</v>
      </c>
      <c r="BK570">
        <v>1</v>
      </c>
      <c r="BL570">
        <v>69.5</v>
      </c>
      <c r="BM570">
        <v>10.43</v>
      </c>
      <c r="BN570">
        <v>79.930000000000007</v>
      </c>
      <c r="BO570">
        <v>79.930000000000007</v>
      </c>
      <c r="BQ570" t="s">
        <v>764</v>
      </c>
      <c r="BR570" t="s">
        <v>84</v>
      </c>
      <c r="BS570" s="3">
        <v>45814</v>
      </c>
      <c r="BT570" s="4">
        <v>0.45</v>
      </c>
      <c r="BU570" t="s">
        <v>765</v>
      </c>
      <c r="BV570" t="s">
        <v>90</v>
      </c>
      <c r="BW570" t="s">
        <v>144</v>
      </c>
      <c r="BX570" t="s">
        <v>344</v>
      </c>
      <c r="BY570">
        <v>1200</v>
      </c>
      <c r="BZ570" t="s">
        <v>87</v>
      </c>
      <c r="CA570" t="s">
        <v>767</v>
      </c>
      <c r="CC570" t="s">
        <v>92</v>
      </c>
      <c r="CD570">
        <v>7550</v>
      </c>
      <c r="CE570" t="s">
        <v>89</v>
      </c>
      <c r="CF570" s="3">
        <v>45817</v>
      </c>
      <c r="CI570">
        <v>1</v>
      </c>
      <c r="CJ570">
        <v>1</v>
      </c>
      <c r="CK570">
        <v>21</v>
      </c>
      <c r="CL570" t="s">
        <v>90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"080065781871"</f>
        <v>080065781871</v>
      </c>
      <c r="F571" s="3">
        <v>45813</v>
      </c>
      <c r="G571">
        <v>202603</v>
      </c>
      <c r="H571" t="s">
        <v>75</v>
      </c>
      <c r="I571" t="s">
        <v>76</v>
      </c>
      <c r="J571" t="s">
        <v>77</v>
      </c>
      <c r="K571" t="s">
        <v>78</v>
      </c>
      <c r="L571" t="s">
        <v>302</v>
      </c>
      <c r="M571" t="s">
        <v>303</v>
      </c>
      <c r="N571" t="s">
        <v>304</v>
      </c>
      <c r="O571" t="s">
        <v>82</v>
      </c>
      <c r="P571" t="str">
        <f>"4170042280                    "</f>
        <v xml:space="preserve">4170042280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58.77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3</v>
      </c>
      <c r="BJ571">
        <v>3</v>
      </c>
      <c r="BK571">
        <v>3</v>
      </c>
      <c r="BL571">
        <v>195.45</v>
      </c>
      <c r="BM571">
        <v>29.32</v>
      </c>
      <c r="BN571">
        <v>224.77</v>
      </c>
      <c r="BO571">
        <v>224.77</v>
      </c>
      <c r="BQ571" t="s">
        <v>305</v>
      </c>
      <c r="BR571" t="s">
        <v>84</v>
      </c>
      <c r="BS571" s="3">
        <v>45814</v>
      </c>
      <c r="BT571" s="4">
        <v>0.38124999999999998</v>
      </c>
      <c r="BU571" t="s">
        <v>1225</v>
      </c>
      <c r="BV571" t="s">
        <v>86</v>
      </c>
      <c r="BY571">
        <v>14848</v>
      </c>
      <c r="BZ571" t="s">
        <v>87</v>
      </c>
      <c r="CA571" t="s">
        <v>929</v>
      </c>
      <c r="CC571" t="s">
        <v>303</v>
      </c>
      <c r="CD571">
        <v>299</v>
      </c>
      <c r="CE571" t="s">
        <v>166</v>
      </c>
      <c r="CF571" s="3">
        <v>45817</v>
      </c>
      <c r="CI571">
        <v>1</v>
      </c>
      <c r="CJ571">
        <v>1</v>
      </c>
      <c r="CK571">
        <v>23</v>
      </c>
      <c r="CL571" t="s">
        <v>90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"080065781893"</f>
        <v>080065781893</v>
      </c>
      <c r="F572" s="3">
        <v>45813</v>
      </c>
      <c r="G572">
        <v>202603</v>
      </c>
      <c r="H572" t="s">
        <v>75</v>
      </c>
      <c r="I572" t="s">
        <v>76</v>
      </c>
      <c r="J572" t="s">
        <v>77</v>
      </c>
      <c r="K572" t="s">
        <v>78</v>
      </c>
      <c r="L572" t="s">
        <v>174</v>
      </c>
      <c r="M572" t="s">
        <v>175</v>
      </c>
      <c r="N572" t="s">
        <v>592</v>
      </c>
      <c r="O572" t="s">
        <v>82</v>
      </c>
      <c r="P572" t="str">
        <f>"4170042313                    "</f>
        <v xml:space="preserve">4170042313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20.9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0.2</v>
      </c>
      <c r="BK572">
        <v>1</v>
      </c>
      <c r="BL572">
        <v>69.5</v>
      </c>
      <c r="BM572">
        <v>10.43</v>
      </c>
      <c r="BN572">
        <v>79.930000000000007</v>
      </c>
      <c r="BO572">
        <v>79.930000000000007</v>
      </c>
      <c r="BQ572" t="s">
        <v>593</v>
      </c>
      <c r="BR572" t="s">
        <v>84</v>
      </c>
      <c r="BS572" s="3">
        <v>45818</v>
      </c>
      <c r="BT572" s="4">
        <v>0.40694444444444444</v>
      </c>
      <c r="BU572" t="s">
        <v>1266</v>
      </c>
      <c r="BV572" t="s">
        <v>90</v>
      </c>
      <c r="BW572" t="s">
        <v>212</v>
      </c>
      <c r="BX572" t="s">
        <v>213</v>
      </c>
      <c r="BY572">
        <v>1200</v>
      </c>
      <c r="BZ572" t="s">
        <v>87</v>
      </c>
      <c r="CC572" t="s">
        <v>175</v>
      </c>
      <c r="CD572">
        <v>3610</v>
      </c>
      <c r="CE572" t="s">
        <v>215</v>
      </c>
      <c r="CF572" s="3">
        <v>45819</v>
      </c>
      <c r="CI572">
        <v>1</v>
      </c>
      <c r="CJ572">
        <v>3</v>
      </c>
      <c r="CK572">
        <v>21</v>
      </c>
      <c r="CL572" t="s">
        <v>90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"080065781912"</f>
        <v>080065781912</v>
      </c>
      <c r="F573" s="3">
        <v>45813</v>
      </c>
      <c r="G573">
        <v>202603</v>
      </c>
      <c r="H573" t="s">
        <v>75</v>
      </c>
      <c r="I573" t="s">
        <v>76</v>
      </c>
      <c r="J573" t="s">
        <v>77</v>
      </c>
      <c r="K573" t="s">
        <v>78</v>
      </c>
      <c r="L573" t="s">
        <v>174</v>
      </c>
      <c r="M573" t="s">
        <v>175</v>
      </c>
      <c r="N573" t="s">
        <v>337</v>
      </c>
      <c r="O573" t="s">
        <v>82</v>
      </c>
      <c r="P573" t="str">
        <f>"4170042245                    "</f>
        <v xml:space="preserve">4170042245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52.22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5</v>
      </c>
      <c r="BJ573">
        <v>3.2</v>
      </c>
      <c r="BK573">
        <v>5</v>
      </c>
      <c r="BL573">
        <v>173.66</v>
      </c>
      <c r="BM573">
        <v>26.05</v>
      </c>
      <c r="BN573">
        <v>199.71</v>
      </c>
      <c r="BO573">
        <v>199.71</v>
      </c>
      <c r="BQ573" t="s">
        <v>338</v>
      </c>
      <c r="BR573" t="s">
        <v>84</v>
      </c>
      <c r="BS573" s="3">
        <v>45814</v>
      </c>
      <c r="BT573" s="4">
        <v>0.46458333333333335</v>
      </c>
      <c r="BU573" t="s">
        <v>961</v>
      </c>
      <c r="BV573" t="s">
        <v>90</v>
      </c>
      <c r="BW573" t="s">
        <v>416</v>
      </c>
      <c r="BX573" t="s">
        <v>595</v>
      </c>
      <c r="BY573">
        <v>16240</v>
      </c>
      <c r="BZ573" t="s">
        <v>87</v>
      </c>
      <c r="CA573" t="s">
        <v>1223</v>
      </c>
      <c r="CC573" t="s">
        <v>175</v>
      </c>
      <c r="CD573">
        <v>3608</v>
      </c>
      <c r="CE573" t="s">
        <v>166</v>
      </c>
      <c r="CF573" s="3">
        <v>45814</v>
      </c>
      <c r="CI573">
        <v>1</v>
      </c>
      <c r="CJ573">
        <v>1</v>
      </c>
      <c r="CK573">
        <v>21</v>
      </c>
      <c r="CL573" t="s">
        <v>90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"080065781920"</f>
        <v>080065781920</v>
      </c>
      <c r="F574" s="3">
        <v>45813</v>
      </c>
      <c r="G574">
        <v>202603</v>
      </c>
      <c r="H574" t="s">
        <v>75</v>
      </c>
      <c r="I574" t="s">
        <v>76</v>
      </c>
      <c r="J574" t="s">
        <v>77</v>
      </c>
      <c r="K574" t="s">
        <v>78</v>
      </c>
      <c r="L574" t="s">
        <v>266</v>
      </c>
      <c r="M574" t="s">
        <v>267</v>
      </c>
      <c r="N574" t="s">
        <v>1267</v>
      </c>
      <c r="O574" t="s">
        <v>82</v>
      </c>
      <c r="P574" t="str">
        <f>"4170042277                    "</f>
        <v xml:space="preserve">4170042277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20.9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1</v>
      </c>
      <c r="BJ574">
        <v>0.2</v>
      </c>
      <c r="BK574">
        <v>1</v>
      </c>
      <c r="BL574">
        <v>69.5</v>
      </c>
      <c r="BM574">
        <v>10.43</v>
      </c>
      <c r="BN574">
        <v>79.930000000000007</v>
      </c>
      <c r="BO574">
        <v>79.930000000000007</v>
      </c>
      <c r="BQ574" t="s">
        <v>1268</v>
      </c>
      <c r="BR574" t="s">
        <v>84</v>
      </c>
      <c r="BS574" s="3">
        <v>45814</v>
      </c>
      <c r="BT574" s="4">
        <v>0.38333333333333336</v>
      </c>
      <c r="BU574" t="s">
        <v>1269</v>
      </c>
      <c r="BV574" t="s">
        <v>86</v>
      </c>
      <c r="BY574">
        <v>1200</v>
      </c>
      <c r="BZ574" t="s">
        <v>87</v>
      </c>
      <c r="CA574" t="s">
        <v>271</v>
      </c>
      <c r="CC574" t="s">
        <v>267</v>
      </c>
      <c r="CD574">
        <v>6230</v>
      </c>
      <c r="CE574" t="s">
        <v>89</v>
      </c>
      <c r="CF574" s="3">
        <v>45814</v>
      </c>
      <c r="CI574">
        <v>1</v>
      </c>
      <c r="CJ574">
        <v>1</v>
      </c>
      <c r="CK574">
        <v>21</v>
      </c>
      <c r="CL574" t="s">
        <v>90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"080065781945"</f>
        <v>080065781945</v>
      </c>
      <c r="F575" s="3">
        <v>45813</v>
      </c>
      <c r="G575">
        <v>202603</v>
      </c>
      <c r="H575" t="s">
        <v>75</v>
      </c>
      <c r="I575" t="s">
        <v>76</v>
      </c>
      <c r="J575" t="s">
        <v>77</v>
      </c>
      <c r="K575" t="s">
        <v>78</v>
      </c>
      <c r="L575" t="s">
        <v>91</v>
      </c>
      <c r="M575" t="s">
        <v>92</v>
      </c>
      <c r="N575" t="s">
        <v>763</v>
      </c>
      <c r="O575" t="s">
        <v>82</v>
      </c>
      <c r="P575" t="str">
        <f>"4170042311                    "</f>
        <v xml:space="preserve">4170042311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20.9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1</v>
      </c>
      <c r="BJ575">
        <v>1.7</v>
      </c>
      <c r="BK575">
        <v>2</v>
      </c>
      <c r="BL575">
        <v>69.5</v>
      </c>
      <c r="BM575">
        <v>10.43</v>
      </c>
      <c r="BN575">
        <v>79.930000000000007</v>
      </c>
      <c r="BO575">
        <v>79.930000000000007</v>
      </c>
      <c r="BQ575" t="s">
        <v>764</v>
      </c>
      <c r="BR575" t="s">
        <v>84</v>
      </c>
      <c r="BS575" s="3">
        <v>45814</v>
      </c>
      <c r="BT575" s="4">
        <v>0.45</v>
      </c>
      <c r="BU575" t="s">
        <v>765</v>
      </c>
      <c r="BV575" t="s">
        <v>90</v>
      </c>
      <c r="BW575" t="s">
        <v>144</v>
      </c>
      <c r="BX575" t="s">
        <v>344</v>
      </c>
      <c r="BY575">
        <v>8512</v>
      </c>
      <c r="BZ575" t="s">
        <v>87</v>
      </c>
      <c r="CA575" t="s">
        <v>767</v>
      </c>
      <c r="CC575" t="s">
        <v>92</v>
      </c>
      <c r="CD575">
        <v>7550</v>
      </c>
      <c r="CE575" t="s">
        <v>180</v>
      </c>
      <c r="CF575" s="3">
        <v>45817</v>
      </c>
      <c r="CI575">
        <v>1</v>
      </c>
      <c r="CJ575">
        <v>1</v>
      </c>
      <c r="CK575">
        <v>21</v>
      </c>
      <c r="CL575" t="s">
        <v>90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"080065781949"</f>
        <v>080065781949</v>
      </c>
      <c r="F576" s="3">
        <v>45813</v>
      </c>
      <c r="G576">
        <v>202603</v>
      </c>
      <c r="H576" t="s">
        <v>75</v>
      </c>
      <c r="I576" t="s">
        <v>76</v>
      </c>
      <c r="J576" t="s">
        <v>77</v>
      </c>
      <c r="K576" t="s">
        <v>78</v>
      </c>
      <c r="L576" t="s">
        <v>628</v>
      </c>
      <c r="M576" t="s">
        <v>629</v>
      </c>
      <c r="N576" t="s">
        <v>1270</v>
      </c>
      <c r="O576" t="s">
        <v>82</v>
      </c>
      <c r="P576" t="str">
        <f>"4170042279                    "</f>
        <v xml:space="preserve">4170042279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20.9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1</v>
      </c>
      <c r="BJ576">
        <v>0.2</v>
      </c>
      <c r="BK576">
        <v>1</v>
      </c>
      <c r="BL576">
        <v>69.5</v>
      </c>
      <c r="BM576">
        <v>10.43</v>
      </c>
      <c r="BN576">
        <v>79.930000000000007</v>
      </c>
      <c r="BO576">
        <v>79.930000000000007</v>
      </c>
      <c r="BQ576" t="s">
        <v>1271</v>
      </c>
      <c r="BR576" t="s">
        <v>84</v>
      </c>
      <c r="BS576" s="3">
        <v>45814</v>
      </c>
      <c r="BT576" s="4">
        <v>0.42083333333333334</v>
      </c>
      <c r="BU576" t="s">
        <v>1272</v>
      </c>
      <c r="BV576" t="s">
        <v>86</v>
      </c>
      <c r="BY576">
        <v>1200</v>
      </c>
      <c r="BZ576" t="s">
        <v>87</v>
      </c>
      <c r="CA576" t="s">
        <v>223</v>
      </c>
      <c r="CC576" t="s">
        <v>629</v>
      </c>
      <c r="CD576">
        <v>6220</v>
      </c>
      <c r="CE576" t="s">
        <v>89</v>
      </c>
      <c r="CF576" s="3">
        <v>45814</v>
      </c>
      <c r="CI576">
        <v>1</v>
      </c>
      <c r="CJ576">
        <v>1</v>
      </c>
      <c r="CK576">
        <v>21</v>
      </c>
      <c r="CL576" t="s">
        <v>90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"080065781994"</f>
        <v>080065781994</v>
      </c>
      <c r="F577" s="3">
        <v>45813</v>
      </c>
      <c r="G577">
        <v>202603</v>
      </c>
      <c r="H577" t="s">
        <v>75</v>
      </c>
      <c r="I577" t="s">
        <v>76</v>
      </c>
      <c r="J577" t="s">
        <v>77</v>
      </c>
      <c r="K577" t="s">
        <v>78</v>
      </c>
      <c r="L577" t="s">
        <v>575</v>
      </c>
      <c r="M577" t="s">
        <v>576</v>
      </c>
      <c r="N577" t="s">
        <v>577</v>
      </c>
      <c r="O577" t="s">
        <v>82</v>
      </c>
      <c r="P577" t="str">
        <f>"4170042382                    "</f>
        <v xml:space="preserve">4170042382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40.49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0.2</v>
      </c>
      <c r="BK577">
        <v>1</v>
      </c>
      <c r="BL577">
        <v>134.65</v>
      </c>
      <c r="BM577">
        <v>20.2</v>
      </c>
      <c r="BN577">
        <v>154.85</v>
      </c>
      <c r="BO577">
        <v>154.85</v>
      </c>
      <c r="BQ577" t="s">
        <v>578</v>
      </c>
      <c r="BR577" t="s">
        <v>84</v>
      </c>
      <c r="BS577" s="3">
        <v>45814</v>
      </c>
      <c r="BT577" s="4">
        <v>0.43055555555555558</v>
      </c>
      <c r="BU577" t="s">
        <v>1273</v>
      </c>
      <c r="BV577" t="s">
        <v>86</v>
      </c>
      <c r="BY577">
        <v>1200</v>
      </c>
      <c r="BZ577" t="s">
        <v>87</v>
      </c>
      <c r="CC577" t="s">
        <v>576</v>
      </c>
      <c r="CD577">
        <v>1871</v>
      </c>
      <c r="CE577" t="s">
        <v>89</v>
      </c>
      <c r="CF577" s="3">
        <v>45817</v>
      </c>
      <c r="CI577">
        <v>1</v>
      </c>
      <c r="CJ577">
        <v>1</v>
      </c>
      <c r="CK577">
        <v>23</v>
      </c>
      <c r="CL577" t="s">
        <v>90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"080065782128"</f>
        <v>080065782128</v>
      </c>
      <c r="F578" s="3">
        <v>45813</v>
      </c>
      <c r="G578">
        <v>202603</v>
      </c>
      <c r="H578" t="s">
        <v>75</v>
      </c>
      <c r="I578" t="s">
        <v>76</v>
      </c>
      <c r="J578" t="s">
        <v>77</v>
      </c>
      <c r="K578" t="s">
        <v>78</v>
      </c>
      <c r="L578" t="s">
        <v>996</v>
      </c>
      <c r="M578" t="s">
        <v>997</v>
      </c>
      <c r="N578" t="s">
        <v>998</v>
      </c>
      <c r="O578" t="s">
        <v>82</v>
      </c>
      <c r="P578" t="str">
        <f>"4170042276                    "</f>
        <v xml:space="preserve">4170042276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40.49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2</v>
      </c>
      <c r="BJ578">
        <v>1.7</v>
      </c>
      <c r="BK578">
        <v>2</v>
      </c>
      <c r="BL578">
        <v>134.65</v>
      </c>
      <c r="BM578">
        <v>20.2</v>
      </c>
      <c r="BN578">
        <v>154.85</v>
      </c>
      <c r="BO578">
        <v>154.85</v>
      </c>
      <c r="BQ578" t="s">
        <v>999</v>
      </c>
      <c r="BR578" t="s">
        <v>84</v>
      </c>
      <c r="BS578" s="3">
        <v>45814</v>
      </c>
      <c r="BT578" s="4">
        <v>0.41666666666666669</v>
      </c>
      <c r="BU578" t="s">
        <v>1144</v>
      </c>
      <c r="BV578" t="s">
        <v>86</v>
      </c>
      <c r="BY578">
        <v>8550</v>
      </c>
      <c r="BZ578" t="s">
        <v>87</v>
      </c>
      <c r="CA578" t="s">
        <v>1145</v>
      </c>
      <c r="CC578" t="s">
        <v>997</v>
      </c>
      <c r="CD578">
        <v>3310</v>
      </c>
      <c r="CE578" t="s">
        <v>180</v>
      </c>
      <c r="CF578" s="3">
        <v>45815</v>
      </c>
      <c r="CI578">
        <v>1</v>
      </c>
      <c r="CJ578">
        <v>1</v>
      </c>
      <c r="CK578">
        <v>23</v>
      </c>
      <c r="CL578" t="s">
        <v>90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"080065782168"</f>
        <v>080065782168</v>
      </c>
      <c r="F579" s="3">
        <v>45813</v>
      </c>
      <c r="G579">
        <v>202603</v>
      </c>
      <c r="H579" t="s">
        <v>75</v>
      </c>
      <c r="I579" t="s">
        <v>76</v>
      </c>
      <c r="J579" t="s">
        <v>77</v>
      </c>
      <c r="K579" t="s">
        <v>78</v>
      </c>
      <c r="L579" t="s">
        <v>266</v>
      </c>
      <c r="M579" t="s">
        <v>267</v>
      </c>
      <c r="N579" t="s">
        <v>268</v>
      </c>
      <c r="O579" t="s">
        <v>82</v>
      </c>
      <c r="P579" t="str">
        <f>"4170042428                    "</f>
        <v xml:space="preserve">4170042428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114.86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11</v>
      </c>
      <c r="BJ579">
        <v>5.3</v>
      </c>
      <c r="BK579">
        <v>11</v>
      </c>
      <c r="BL579">
        <v>381.98</v>
      </c>
      <c r="BM579">
        <v>57.3</v>
      </c>
      <c r="BN579">
        <v>439.28</v>
      </c>
      <c r="BO579">
        <v>439.28</v>
      </c>
      <c r="BQ579" t="s">
        <v>269</v>
      </c>
      <c r="BR579" t="s">
        <v>84</v>
      </c>
      <c r="BS579" s="3">
        <v>45814</v>
      </c>
      <c r="BT579" s="4">
        <v>0.46875</v>
      </c>
      <c r="BU579" t="s">
        <v>1274</v>
      </c>
      <c r="BV579" t="s">
        <v>90</v>
      </c>
      <c r="BW579" t="s">
        <v>1209</v>
      </c>
      <c r="BX579" t="s">
        <v>1275</v>
      </c>
      <c r="BY579">
        <v>26400</v>
      </c>
      <c r="BZ579" t="s">
        <v>87</v>
      </c>
      <c r="CC579" t="s">
        <v>267</v>
      </c>
      <c r="CD579">
        <v>6229</v>
      </c>
      <c r="CE579" t="s">
        <v>166</v>
      </c>
      <c r="CF579" s="3">
        <v>45817</v>
      </c>
      <c r="CI579">
        <v>1</v>
      </c>
      <c r="CJ579">
        <v>1</v>
      </c>
      <c r="CK579">
        <v>21</v>
      </c>
      <c r="CL579" t="s">
        <v>90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"080065782204"</f>
        <v>080065782204</v>
      </c>
      <c r="F580" s="3">
        <v>45813</v>
      </c>
      <c r="G580">
        <v>202603</v>
      </c>
      <c r="H580" t="s">
        <v>75</v>
      </c>
      <c r="I580" t="s">
        <v>76</v>
      </c>
      <c r="J580" t="s">
        <v>77</v>
      </c>
      <c r="K580" t="s">
        <v>78</v>
      </c>
      <c r="L580" t="s">
        <v>91</v>
      </c>
      <c r="M580" t="s">
        <v>92</v>
      </c>
      <c r="N580" t="s">
        <v>763</v>
      </c>
      <c r="O580" t="s">
        <v>82</v>
      </c>
      <c r="P580" t="str">
        <f>"4170042396                    "</f>
        <v xml:space="preserve">4170042396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20.9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1</v>
      </c>
      <c r="BJ580">
        <v>0.2</v>
      </c>
      <c r="BK580">
        <v>1</v>
      </c>
      <c r="BL580">
        <v>69.5</v>
      </c>
      <c r="BM580">
        <v>10.43</v>
      </c>
      <c r="BN580">
        <v>79.930000000000007</v>
      </c>
      <c r="BO580">
        <v>79.930000000000007</v>
      </c>
      <c r="BQ580" t="s">
        <v>764</v>
      </c>
      <c r="BR580" t="s">
        <v>84</v>
      </c>
      <c r="BS580" s="3">
        <v>45814</v>
      </c>
      <c r="BT580" s="4">
        <v>0.45</v>
      </c>
      <c r="BU580" t="s">
        <v>765</v>
      </c>
      <c r="BV580" t="s">
        <v>90</v>
      </c>
      <c r="BW580" t="s">
        <v>144</v>
      </c>
      <c r="BX580" t="s">
        <v>344</v>
      </c>
      <c r="BY580">
        <v>1200</v>
      </c>
      <c r="BZ580" t="s">
        <v>87</v>
      </c>
      <c r="CA580" t="s">
        <v>767</v>
      </c>
      <c r="CC580" t="s">
        <v>92</v>
      </c>
      <c r="CD580">
        <v>7550</v>
      </c>
      <c r="CE580" t="s">
        <v>89</v>
      </c>
      <c r="CF580" s="3">
        <v>45817</v>
      </c>
      <c r="CI580">
        <v>1</v>
      </c>
      <c r="CJ580">
        <v>1</v>
      </c>
      <c r="CK580">
        <v>21</v>
      </c>
      <c r="CL580" t="s">
        <v>90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"080065782246"</f>
        <v>080065782246</v>
      </c>
      <c r="F581" s="3">
        <v>45813</v>
      </c>
      <c r="G581">
        <v>202603</v>
      </c>
      <c r="H581" t="s">
        <v>75</v>
      </c>
      <c r="I581" t="s">
        <v>76</v>
      </c>
      <c r="J581" t="s">
        <v>77</v>
      </c>
      <c r="K581" t="s">
        <v>78</v>
      </c>
      <c r="L581" t="s">
        <v>350</v>
      </c>
      <c r="M581" t="s">
        <v>351</v>
      </c>
      <c r="N581" t="s">
        <v>352</v>
      </c>
      <c r="O581" t="s">
        <v>82</v>
      </c>
      <c r="P581" t="str">
        <f>"4170042356                    "</f>
        <v xml:space="preserve">4170042356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20.9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1</v>
      </c>
      <c r="BJ581">
        <v>0.2</v>
      </c>
      <c r="BK581">
        <v>1</v>
      </c>
      <c r="BL581">
        <v>69.5</v>
      </c>
      <c r="BM581">
        <v>10.43</v>
      </c>
      <c r="BN581">
        <v>79.930000000000007</v>
      </c>
      <c r="BO581">
        <v>79.930000000000007</v>
      </c>
      <c r="BQ581" t="s">
        <v>353</v>
      </c>
      <c r="BR581" t="s">
        <v>84</v>
      </c>
      <c r="BS581" s="3">
        <v>45814</v>
      </c>
      <c r="BT581" s="4">
        <v>0.32291666666666669</v>
      </c>
      <c r="BU581" t="s">
        <v>1155</v>
      </c>
      <c r="BV581" t="s">
        <v>86</v>
      </c>
      <c r="BY581">
        <v>1200</v>
      </c>
      <c r="BZ581" t="s">
        <v>87</v>
      </c>
      <c r="CA581" t="s">
        <v>1276</v>
      </c>
      <c r="CC581" t="s">
        <v>351</v>
      </c>
      <c r="CD581">
        <v>157</v>
      </c>
      <c r="CE581" t="s">
        <v>89</v>
      </c>
      <c r="CF581" s="3">
        <v>45814</v>
      </c>
      <c r="CI581">
        <v>1</v>
      </c>
      <c r="CJ581">
        <v>1</v>
      </c>
      <c r="CK581">
        <v>21</v>
      </c>
      <c r="CL581" t="s">
        <v>90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"080065782279"</f>
        <v>080065782279</v>
      </c>
      <c r="F582" s="3">
        <v>45813</v>
      </c>
      <c r="G582">
        <v>202603</v>
      </c>
      <c r="H582" t="s">
        <v>75</v>
      </c>
      <c r="I582" t="s">
        <v>76</v>
      </c>
      <c r="J582" t="s">
        <v>77</v>
      </c>
      <c r="K582" t="s">
        <v>78</v>
      </c>
      <c r="L582" t="s">
        <v>663</v>
      </c>
      <c r="M582" t="s">
        <v>664</v>
      </c>
      <c r="N582" t="s">
        <v>723</v>
      </c>
      <c r="O582" t="s">
        <v>82</v>
      </c>
      <c r="P582" t="str">
        <f>"4170042393                    "</f>
        <v xml:space="preserve">4170042393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40.49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1</v>
      </c>
      <c r="BJ582">
        <v>0.2</v>
      </c>
      <c r="BK582">
        <v>1</v>
      </c>
      <c r="BL582">
        <v>134.65</v>
      </c>
      <c r="BM582">
        <v>20.2</v>
      </c>
      <c r="BN582">
        <v>154.85</v>
      </c>
      <c r="BO582">
        <v>154.85</v>
      </c>
      <c r="BQ582" t="s">
        <v>724</v>
      </c>
      <c r="BR582" t="s">
        <v>84</v>
      </c>
      <c r="BS582" s="3">
        <v>45814</v>
      </c>
      <c r="BT582" s="4">
        <v>0.41666666666666669</v>
      </c>
      <c r="BU582" t="s">
        <v>725</v>
      </c>
      <c r="BV582" t="s">
        <v>86</v>
      </c>
      <c r="BY582">
        <v>1200</v>
      </c>
      <c r="BZ582" t="s">
        <v>87</v>
      </c>
      <c r="CC582" t="s">
        <v>664</v>
      </c>
      <c r="CD582">
        <v>1947</v>
      </c>
      <c r="CE582" t="s">
        <v>89</v>
      </c>
      <c r="CF582" s="3">
        <v>45814</v>
      </c>
      <c r="CI582">
        <v>1</v>
      </c>
      <c r="CJ582">
        <v>1</v>
      </c>
      <c r="CK582">
        <v>23</v>
      </c>
      <c r="CL582" t="s">
        <v>90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"080065782430"</f>
        <v>080065782430</v>
      </c>
      <c r="F583" s="3">
        <v>45813</v>
      </c>
      <c r="G583">
        <v>202603</v>
      </c>
      <c r="H583" t="s">
        <v>75</v>
      </c>
      <c r="I583" t="s">
        <v>76</v>
      </c>
      <c r="J583" t="s">
        <v>77</v>
      </c>
      <c r="K583" t="s">
        <v>78</v>
      </c>
      <c r="L583" t="s">
        <v>615</v>
      </c>
      <c r="M583" t="s">
        <v>616</v>
      </c>
      <c r="N583" t="s">
        <v>863</v>
      </c>
      <c r="O583" t="s">
        <v>82</v>
      </c>
      <c r="P583" t="str">
        <f>"4170042247                    "</f>
        <v xml:space="preserve">4170042247         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141.05000000000001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6</v>
      </c>
      <c r="BJ583">
        <v>7.2</v>
      </c>
      <c r="BK583">
        <v>7.5</v>
      </c>
      <c r="BL583">
        <v>469.07</v>
      </c>
      <c r="BM583">
        <v>70.36</v>
      </c>
      <c r="BN583">
        <v>539.42999999999995</v>
      </c>
      <c r="BO583">
        <v>539.42999999999995</v>
      </c>
      <c r="BQ583" t="s">
        <v>864</v>
      </c>
      <c r="BR583" t="s">
        <v>84</v>
      </c>
      <c r="BS583" s="3">
        <v>45814</v>
      </c>
      <c r="BT583" s="4">
        <v>0.51180555555555551</v>
      </c>
      <c r="BU583" t="s">
        <v>1161</v>
      </c>
      <c r="BV583" t="s">
        <v>86</v>
      </c>
      <c r="BY583">
        <v>35816</v>
      </c>
      <c r="BZ583" t="s">
        <v>87</v>
      </c>
      <c r="CA583" t="s">
        <v>866</v>
      </c>
      <c r="CC583" t="s">
        <v>616</v>
      </c>
      <c r="CD583">
        <v>6850</v>
      </c>
      <c r="CE583" t="s">
        <v>166</v>
      </c>
      <c r="CF583" s="3">
        <v>45817</v>
      </c>
      <c r="CI583">
        <v>2</v>
      </c>
      <c r="CJ583">
        <v>1</v>
      </c>
      <c r="CK583">
        <v>23</v>
      </c>
      <c r="CL583" t="s">
        <v>90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"080065782533"</f>
        <v>080065782533</v>
      </c>
      <c r="F584" s="3">
        <v>45813</v>
      </c>
      <c r="G584">
        <v>202603</v>
      </c>
      <c r="H584" t="s">
        <v>75</v>
      </c>
      <c r="I584" t="s">
        <v>76</v>
      </c>
      <c r="J584" t="s">
        <v>77</v>
      </c>
      <c r="K584" t="s">
        <v>78</v>
      </c>
      <c r="L584" t="s">
        <v>159</v>
      </c>
      <c r="M584" t="s">
        <v>160</v>
      </c>
      <c r="N584" t="s">
        <v>409</v>
      </c>
      <c r="O584" t="s">
        <v>82</v>
      </c>
      <c r="P584" t="str">
        <f>"4170042415                    "</f>
        <v xml:space="preserve">4170042415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16.32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1</v>
      </c>
      <c r="BJ584">
        <v>0.2</v>
      </c>
      <c r="BK584">
        <v>1</v>
      </c>
      <c r="BL584">
        <v>54.28</v>
      </c>
      <c r="BM584">
        <v>8.14</v>
      </c>
      <c r="BN584">
        <v>62.42</v>
      </c>
      <c r="BO584">
        <v>62.42</v>
      </c>
      <c r="BQ584" t="s">
        <v>410</v>
      </c>
      <c r="BR584" t="s">
        <v>84</v>
      </c>
      <c r="BS584" s="3">
        <v>45814</v>
      </c>
      <c r="BT584" s="4">
        <v>0.38263888888888886</v>
      </c>
      <c r="BU584" t="s">
        <v>967</v>
      </c>
      <c r="BV584" t="s">
        <v>86</v>
      </c>
      <c r="BY584">
        <v>1200</v>
      </c>
      <c r="BZ584" t="s">
        <v>87</v>
      </c>
      <c r="CA584" t="s">
        <v>444</v>
      </c>
      <c r="CC584" t="s">
        <v>160</v>
      </c>
      <c r="CD584">
        <v>2091</v>
      </c>
      <c r="CE584" t="s">
        <v>89</v>
      </c>
      <c r="CF584" s="3">
        <v>45815</v>
      </c>
      <c r="CI584">
        <v>1</v>
      </c>
      <c r="CJ584">
        <v>1</v>
      </c>
      <c r="CK584">
        <v>22</v>
      </c>
      <c r="CL584" t="s">
        <v>90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"080065782567"</f>
        <v>080065782567</v>
      </c>
      <c r="F585" s="3">
        <v>45813</v>
      </c>
      <c r="G585">
        <v>202603</v>
      </c>
      <c r="H585" t="s">
        <v>75</v>
      </c>
      <c r="I585" t="s">
        <v>76</v>
      </c>
      <c r="J585" t="s">
        <v>77</v>
      </c>
      <c r="K585" t="s">
        <v>78</v>
      </c>
      <c r="L585" t="s">
        <v>426</v>
      </c>
      <c r="M585" t="s">
        <v>427</v>
      </c>
      <c r="N585" t="s">
        <v>428</v>
      </c>
      <c r="O585" t="s">
        <v>82</v>
      </c>
      <c r="P585" t="str">
        <f>"4170042401                    "</f>
        <v xml:space="preserve">4170042401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29.39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16.739999999999998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</v>
      </c>
      <c r="BJ585">
        <v>0.2</v>
      </c>
      <c r="BK585">
        <v>1</v>
      </c>
      <c r="BL585">
        <v>114.48</v>
      </c>
      <c r="BM585">
        <v>17.170000000000002</v>
      </c>
      <c r="BN585">
        <v>131.65</v>
      </c>
      <c r="BO585">
        <v>131.65</v>
      </c>
      <c r="BQ585" t="s">
        <v>429</v>
      </c>
      <c r="BR585" t="s">
        <v>84</v>
      </c>
      <c r="BS585" s="3">
        <v>45814</v>
      </c>
      <c r="BT585" s="4">
        <v>0.41666666666666669</v>
      </c>
      <c r="BU585" t="s">
        <v>1277</v>
      </c>
      <c r="BV585" t="s">
        <v>86</v>
      </c>
      <c r="BY585">
        <v>1200</v>
      </c>
      <c r="BZ585" t="s">
        <v>431</v>
      </c>
      <c r="CA585" t="s">
        <v>798</v>
      </c>
      <c r="CC585" t="s">
        <v>427</v>
      </c>
      <c r="CD585">
        <v>1759</v>
      </c>
      <c r="CE585" t="s">
        <v>89</v>
      </c>
      <c r="CF585" s="3">
        <v>45814</v>
      </c>
      <c r="CI585">
        <v>1</v>
      </c>
      <c r="CJ585">
        <v>1</v>
      </c>
      <c r="CK585">
        <v>24</v>
      </c>
      <c r="CL585" t="s">
        <v>90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"080065782604"</f>
        <v>080065782604</v>
      </c>
      <c r="F586" s="3">
        <v>45813</v>
      </c>
      <c r="G586">
        <v>202603</v>
      </c>
      <c r="H586" t="s">
        <v>75</v>
      </c>
      <c r="I586" t="s">
        <v>76</v>
      </c>
      <c r="J586" t="s">
        <v>77</v>
      </c>
      <c r="K586" t="s">
        <v>78</v>
      </c>
      <c r="L586" t="s">
        <v>159</v>
      </c>
      <c r="M586" t="s">
        <v>160</v>
      </c>
      <c r="N586" t="s">
        <v>856</v>
      </c>
      <c r="O586" t="s">
        <v>82</v>
      </c>
      <c r="P586" t="str">
        <f>"4170042408                    "</f>
        <v xml:space="preserve">4170042408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16.32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1</v>
      </c>
      <c r="BJ586">
        <v>0.2</v>
      </c>
      <c r="BK586">
        <v>1</v>
      </c>
      <c r="BL586">
        <v>54.28</v>
      </c>
      <c r="BM586">
        <v>8.14</v>
      </c>
      <c r="BN586">
        <v>62.42</v>
      </c>
      <c r="BO586">
        <v>62.42</v>
      </c>
      <c r="BQ586" t="s">
        <v>857</v>
      </c>
      <c r="BR586" t="s">
        <v>84</v>
      </c>
      <c r="BS586" s="3">
        <v>45814</v>
      </c>
      <c r="BT586" s="4">
        <v>0.41666666666666669</v>
      </c>
      <c r="BU586" t="s">
        <v>858</v>
      </c>
      <c r="BV586" t="s">
        <v>86</v>
      </c>
      <c r="BY586">
        <v>1200</v>
      </c>
      <c r="BZ586" t="s">
        <v>87</v>
      </c>
      <c r="CA586" t="s">
        <v>444</v>
      </c>
      <c r="CC586" t="s">
        <v>160</v>
      </c>
      <c r="CD586">
        <v>2013</v>
      </c>
      <c r="CE586" t="s">
        <v>89</v>
      </c>
      <c r="CF586" s="3">
        <v>45815</v>
      </c>
      <c r="CI586">
        <v>1</v>
      </c>
      <c r="CJ586">
        <v>1</v>
      </c>
      <c r="CK586">
        <v>22</v>
      </c>
      <c r="CL586" t="s">
        <v>90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"080065784402"</f>
        <v>080065784402</v>
      </c>
      <c r="F587" s="3">
        <v>45813</v>
      </c>
      <c r="G587">
        <v>202603</v>
      </c>
      <c r="H587" t="s">
        <v>75</v>
      </c>
      <c r="I587" t="s">
        <v>76</v>
      </c>
      <c r="J587" t="s">
        <v>77</v>
      </c>
      <c r="K587" t="s">
        <v>78</v>
      </c>
      <c r="L587" t="s">
        <v>91</v>
      </c>
      <c r="M587" t="s">
        <v>92</v>
      </c>
      <c r="N587" t="s">
        <v>540</v>
      </c>
      <c r="O587" t="s">
        <v>82</v>
      </c>
      <c r="P587" t="str">
        <f>"4170042243                    "</f>
        <v xml:space="preserve">4170042243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41.78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4</v>
      </c>
      <c r="BJ587">
        <v>1.5</v>
      </c>
      <c r="BK587">
        <v>4</v>
      </c>
      <c r="BL587">
        <v>138.94</v>
      </c>
      <c r="BM587">
        <v>20.84</v>
      </c>
      <c r="BN587">
        <v>159.78</v>
      </c>
      <c r="BO587">
        <v>159.78</v>
      </c>
      <c r="BQ587" t="s">
        <v>541</v>
      </c>
      <c r="BR587" t="s">
        <v>84</v>
      </c>
      <c r="BS587" s="3">
        <v>45814</v>
      </c>
      <c r="BT587" s="4">
        <v>0.40625</v>
      </c>
      <c r="BU587" t="s">
        <v>1106</v>
      </c>
      <c r="BV587" t="s">
        <v>86</v>
      </c>
      <c r="BY587">
        <v>7410</v>
      </c>
      <c r="BZ587" t="s">
        <v>87</v>
      </c>
      <c r="CA587" t="s">
        <v>291</v>
      </c>
      <c r="CC587" t="s">
        <v>92</v>
      </c>
      <c r="CD587">
        <v>7441</v>
      </c>
      <c r="CE587" t="s">
        <v>99</v>
      </c>
      <c r="CF587" s="3">
        <v>45817</v>
      </c>
      <c r="CI587">
        <v>1</v>
      </c>
      <c r="CJ587">
        <v>1</v>
      </c>
      <c r="CK587">
        <v>21</v>
      </c>
      <c r="CL587" t="s">
        <v>90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"080065784410"</f>
        <v>080065784410</v>
      </c>
      <c r="F588" s="3">
        <v>45813</v>
      </c>
      <c r="G588">
        <v>202603</v>
      </c>
      <c r="H588" t="s">
        <v>75</v>
      </c>
      <c r="I588" t="s">
        <v>76</v>
      </c>
      <c r="J588" t="s">
        <v>77</v>
      </c>
      <c r="K588" t="s">
        <v>78</v>
      </c>
      <c r="L588" t="s">
        <v>331</v>
      </c>
      <c r="M588" t="s">
        <v>332</v>
      </c>
      <c r="N588" t="s">
        <v>333</v>
      </c>
      <c r="O588" t="s">
        <v>82</v>
      </c>
      <c r="P588" t="str">
        <f>"4170042258                    "</f>
        <v xml:space="preserve">4170042258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20.9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1</v>
      </c>
      <c r="BJ588">
        <v>0.2</v>
      </c>
      <c r="BK588">
        <v>1</v>
      </c>
      <c r="BL588">
        <v>69.5</v>
      </c>
      <c r="BM588">
        <v>10.43</v>
      </c>
      <c r="BN588">
        <v>79.930000000000007</v>
      </c>
      <c r="BO588">
        <v>79.930000000000007</v>
      </c>
      <c r="BQ588" t="s">
        <v>334</v>
      </c>
      <c r="BR588" t="s">
        <v>84</v>
      </c>
      <c r="BS588" s="3">
        <v>45814</v>
      </c>
      <c r="BT588" s="4">
        <v>0.34166666666666667</v>
      </c>
      <c r="BU588" t="s">
        <v>1136</v>
      </c>
      <c r="BV588" t="s">
        <v>86</v>
      </c>
      <c r="BY588">
        <v>1200</v>
      </c>
      <c r="BZ588" t="s">
        <v>87</v>
      </c>
      <c r="CA588" t="s">
        <v>1061</v>
      </c>
      <c r="CC588" t="s">
        <v>332</v>
      </c>
      <c r="CD588">
        <v>4000</v>
      </c>
      <c r="CE588" t="s">
        <v>89</v>
      </c>
      <c r="CF588" s="3">
        <v>45814</v>
      </c>
      <c r="CI588">
        <v>1</v>
      </c>
      <c r="CJ588">
        <v>1</v>
      </c>
      <c r="CK588">
        <v>21</v>
      </c>
      <c r="CL588" t="s">
        <v>90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"080065784436"</f>
        <v>080065784436</v>
      </c>
      <c r="F589" s="3">
        <v>45813</v>
      </c>
      <c r="G589">
        <v>202603</v>
      </c>
      <c r="H589" t="s">
        <v>75</v>
      </c>
      <c r="I589" t="s">
        <v>76</v>
      </c>
      <c r="J589" t="s">
        <v>77</v>
      </c>
      <c r="K589" t="s">
        <v>78</v>
      </c>
      <c r="L589" t="s">
        <v>100</v>
      </c>
      <c r="M589" t="s">
        <v>101</v>
      </c>
      <c r="N589" t="s">
        <v>102</v>
      </c>
      <c r="O589" t="s">
        <v>82</v>
      </c>
      <c r="P589" t="str">
        <f>"4170042185                    "</f>
        <v xml:space="preserve">4170042185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20.9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2</v>
      </c>
      <c r="BJ589">
        <v>1.1000000000000001</v>
      </c>
      <c r="BK589">
        <v>2</v>
      </c>
      <c r="BL589">
        <v>69.5</v>
      </c>
      <c r="BM589">
        <v>10.43</v>
      </c>
      <c r="BN589">
        <v>79.930000000000007</v>
      </c>
      <c r="BO589">
        <v>79.930000000000007</v>
      </c>
      <c r="BQ589" t="s">
        <v>103</v>
      </c>
      <c r="BR589" t="s">
        <v>84</v>
      </c>
      <c r="BS589" s="3">
        <v>45814</v>
      </c>
      <c r="BT589" s="4">
        <v>0.45347222222222222</v>
      </c>
      <c r="BU589" t="s">
        <v>709</v>
      </c>
      <c r="BV589" t="s">
        <v>90</v>
      </c>
      <c r="BW589" t="s">
        <v>416</v>
      </c>
      <c r="BX589" t="s">
        <v>614</v>
      </c>
      <c r="BY589">
        <v>5600</v>
      </c>
      <c r="BZ589" t="s">
        <v>87</v>
      </c>
      <c r="CA589" t="s">
        <v>235</v>
      </c>
      <c r="CC589" t="s">
        <v>101</v>
      </c>
      <c r="CD589">
        <v>6056</v>
      </c>
      <c r="CE589" t="s">
        <v>180</v>
      </c>
      <c r="CF589" s="3">
        <v>45814</v>
      </c>
      <c r="CI589">
        <v>1</v>
      </c>
      <c r="CJ589">
        <v>1</v>
      </c>
      <c r="CK589">
        <v>21</v>
      </c>
      <c r="CL589" t="s">
        <v>90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"080065784456"</f>
        <v>080065784456</v>
      </c>
      <c r="F590" s="3">
        <v>45813</v>
      </c>
      <c r="G590">
        <v>202603</v>
      </c>
      <c r="H590" t="s">
        <v>75</v>
      </c>
      <c r="I590" t="s">
        <v>76</v>
      </c>
      <c r="J590" t="s">
        <v>77</v>
      </c>
      <c r="K590" t="s">
        <v>78</v>
      </c>
      <c r="L590" t="s">
        <v>154</v>
      </c>
      <c r="M590" t="s">
        <v>154</v>
      </c>
      <c r="N590" t="s">
        <v>530</v>
      </c>
      <c r="O590" t="s">
        <v>82</v>
      </c>
      <c r="P590" t="str">
        <f>"4170042260                    "</f>
        <v xml:space="preserve">4170042260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113.62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6</v>
      </c>
      <c r="BJ590">
        <v>3.2</v>
      </c>
      <c r="BK590">
        <v>6</v>
      </c>
      <c r="BL590">
        <v>377.86</v>
      </c>
      <c r="BM590">
        <v>56.68</v>
      </c>
      <c r="BN590">
        <v>434.54</v>
      </c>
      <c r="BO590">
        <v>434.54</v>
      </c>
      <c r="BQ590" t="s">
        <v>531</v>
      </c>
      <c r="BR590" t="s">
        <v>84</v>
      </c>
      <c r="BS590" s="3">
        <v>45814</v>
      </c>
      <c r="BT590" s="4">
        <v>0.4861111111111111</v>
      </c>
      <c r="BU590" t="s">
        <v>532</v>
      </c>
      <c r="BV590" t="s">
        <v>86</v>
      </c>
      <c r="BY590">
        <v>15834</v>
      </c>
      <c r="BZ590" t="s">
        <v>87</v>
      </c>
      <c r="CA590" t="s">
        <v>158</v>
      </c>
      <c r="CC590" t="s">
        <v>154</v>
      </c>
      <c r="CD590">
        <v>7646</v>
      </c>
      <c r="CE590" t="s">
        <v>99</v>
      </c>
      <c r="CF590" s="3">
        <v>45817</v>
      </c>
      <c r="CI590">
        <v>1</v>
      </c>
      <c r="CJ590">
        <v>1</v>
      </c>
      <c r="CK590">
        <v>23</v>
      </c>
      <c r="CL590" t="s">
        <v>90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"080065784465"</f>
        <v>080065784465</v>
      </c>
      <c r="F591" s="3">
        <v>45813</v>
      </c>
      <c r="G591">
        <v>202603</v>
      </c>
      <c r="H591" t="s">
        <v>75</v>
      </c>
      <c r="I591" t="s">
        <v>76</v>
      </c>
      <c r="J591" t="s">
        <v>77</v>
      </c>
      <c r="K591" t="s">
        <v>78</v>
      </c>
      <c r="L591" t="s">
        <v>154</v>
      </c>
      <c r="M591" t="s">
        <v>154</v>
      </c>
      <c r="N591" t="s">
        <v>155</v>
      </c>
      <c r="O591" t="s">
        <v>82</v>
      </c>
      <c r="P591" t="str">
        <f>"4170042366                    "</f>
        <v xml:space="preserve">4170042366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40.49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1</v>
      </c>
      <c r="BJ591">
        <v>0.2</v>
      </c>
      <c r="BK591">
        <v>1</v>
      </c>
      <c r="BL591">
        <v>134.65</v>
      </c>
      <c r="BM591">
        <v>20.2</v>
      </c>
      <c r="BN591">
        <v>154.85</v>
      </c>
      <c r="BO591">
        <v>154.85</v>
      </c>
      <c r="BQ591" t="s">
        <v>156</v>
      </c>
      <c r="BR591" t="s">
        <v>84</v>
      </c>
      <c r="BS591" s="3">
        <v>45814</v>
      </c>
      <c r="BT591" s="4">
        <v>0.4861111111111111</v>
      </c>
      <c r="BU591" t="s">
        <v>532</v>
      </c>
      <c r="BV591" t="s">
        <v>86</v>
      </c>
      <c r="BY591">
        <v>1200</v>
      </c>
      <c r="BZ591" t="s">
        <v>87</v>
      </c>
      <c r="CA591" t="s">
        <v>158</v>
      </c>
      <c r="CC591" t="s">
        <v>154</v>
      </c>
      <c r="CD591">
        <v>7646</v>
      </c>
      <c r="CE591" t="s">
        <v>89</v>
      </c>
      <c r="CF591" s="3">
        <v>45817</v>
      </c>
      <c r="CI591">
        <v>1</v>
      </c>
      <c r="CJ591">
        <v>1</v>
      </c>
      <c r="CK591">
        <v>23</v>
      </c>
      <c r="CL591" t="s">
        <v>90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"080065784479"</f>
        <v>080065784479</v>
      </c>
      <c r="F592" s="3">
        <v>45813</v>
      </c>
      <c r="G592">
        <v>202603</v>
      </c>
      <c r="H592" t="s">
        <v>75</v>
      </c>
      <c r="I592" t="s">
        <v>76</v>
      </c>
      <c r="J592" t="s">
        <v>77</v>
      </c>
      <c r="K592" t="s">
        <v>78</v>
      </c>
      <c r="L592" t="s">
        <v>116</v>
      </c>
      <c r="M592" t="s">
        <v>117</v>
      </c>
      <c r="N592" t="s">
        <v>183</v>
      </c>
      <c r="O592" t="s">
        <v>82</v>
      </c>
      <c r="P592" t="str">
        <f>"4170042465                    "</f>
        <v xml:space="preserve">4170042465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41.78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4</v>
      </c>
      <c r="BJ592">
        <v>0.6</v>
      </c>
      <c r="BK592">
        <v>4</v>
      </c>
      <c r="BL592">
        <v>138.94</v>
      </c>
      <c r="BM592">
        <v>20.84</v>
      </c>
      <c r="BN592">
        <v>159.78</v>
      </c>
      <c r="BO592">
        <v>159.78</v>
      </c>
      <c r="BQ592" t="s">
        <v>184</v>
      </c>
      <c r="BR592" t="s">
        <v>84</v>
      </c>
      <c r="BS592" s="3">
        <v>45814</v>
      </c>
      <c r="BT592" s="4">
        <v>0.47916666666666669</v>
      </c>
      <c r="BU592" t="s">
        <v>1278</v>
      </c>
      <c r="BV592" t="s">
        <v>86</v>
      </c>
      <c r="BY592">
        <v>3192</v>
      </c>
      <c r="BZ592" t="s">
        <v>87</v>
      </c>
      <c r="CA592" t="s">
        <v>186</v>
      </c>
      <c r="CC592" t="s">
        <v>117</v>
      </c>
      <c r="CD592">
        <v>3212</v>
      </c>
      <c r="CE592" t="s">
        <v>180</v>
      </c>
      <c r="CF592" s="3">
        <v>45815</v>
      </c>
      <c r="CI592">
        <v>2</v>
      </c>
      <c r="CJ592">
        <v>1</v>
      </c>
      <c r="CK592">
        <v>21</v>
      </c>
      <c r="CL592" t="s">
        <v>90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"080065784489"</f>
        <v>080065784489</v>
      </c>
      <c r="F593" s="3">
        <v>45813</v>
      </c>
      <c r="G593">
        <v>202603</v>
      </c>
      <c r="H593" t="s">
        <v>75</v>
      </c>
      <c r="I593" t="s">
        <v>76</v>
      </c>
      <c r="J593" t="s">
        <v>77</v>
      </c>
      <c r="K593" t="s">
        <v>78</v>
      </c>
      <c r="L593" t="s">
        <v>375</v>
      </c>
      <c r="M593" t="s">
        <v>376</v>
      </c>
      <c r="N593" t="s">
        <v>1279</v>
      </c>
      <c r="O593" t="s">
        <v>82</v>
      </c>
      <c r="P593" t="str">
        <f>"4170042413                    "</f>
        <v xml:space="preserve">4170042413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16.32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1</v>
      </c>
      <c r="BJ593">
        <v>0.2</v>
      </c>
      <c r="BK593">
        <v>1</v>
      </c>
      <c r="BL593">
        <v>54.28</v>
      </c>
      <c r="BM593">
        <v>8.14</v>
      </c>
      <c r="BN593">
        <v>62.42</v>
      </c>
      <c r="BO593">
        <v>62.42</v>
      </c>
      <c r="BQ593" t="s">
        <v>1280</v>
      </c>
      <c r="BR593" t="s">
        <v>84</v>
      </c>
      <c r="BS593" s="3">
        <v>45814</v>
      </c>
      <c r="BT593" s="4">
        <v>0.43402777777777779</v>
      </c>
      <c r="BU593" t="s">
        <v>1281</v>
      </c>
      <c r="BV593" t="s">
        <v>86</v>
      </c>
      <c r="BY593">
        <v>1200</v>
      </c>
      <c r="BZ593" t="s">
        <v>87</v>
      </c>
      <c r="CA593" t="s">
        <v>501</v>
      </c>
      <c r="CC593" t="s">
        <v>376</v>
      </c>
      <c r="CD593">
        <v>1422</v>
      </c>
      <c r="CE593" t="s">
        <v>89</v>
      </c>
      <c r="CF593" s="3">
        <v>45815</v>
      </c>
      <c r="CI593">
        <v>1</v>
      </c>
      <c r="CJ593">
        <v>1</v>
      </c>
      <c r="CK593">
        <v>22</v>
      </c>
      <c r="CL593" t="s">
        <v>90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"080065784506"</f>
        <v>080065784506</v>
      </c>
      <c r="F594" s="3">
        <v>45813</v>
      </c>
      <c r="G594">
        <v>202603</v>
      </c>
      <c r="H594" t="s">
        <v>75</v>
      </c>
      <c r="I594" t="s">
        <v>76</v>
      </c>
      <c r="J594" t="s">
        <v>77</v>
      </c>
      <c r="K594" t="s">
        <v>78</v>
      </c>
      <c r="L594" t="s">
        <v>369</v>
      </c>
      <c r="M594" t="s">
        <v>370</v>
      </c>
      <c r="N594" t="s">
        <v>371</v>
      </c>
      <c r="O594" t="s">
        <v>82</v>
      </c>
      <c r="P594" t="str">
        <f>"4170042470                    "</f>
        <v xml:space="preserve">4170042470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40.49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1</v>
      </c>
      <c r="BJ594">
        <v>1.1000000000000001</v>
      </c>
      <c r="BK594">
        <v>1.5</v>
      </c>
      <c r="BL594">
        <v>134.65</v>
      </c>
      <c r="BM594">
        <v>20.2</v>
      </c>
      <c r="BN594">
        <v>154.85</v>
      </c>
      <c r="BO594">
        <v>154.85</v>
      </c>
      <c r="BQ594" t="s">
        <v>372</v>
      </c>
      <c r="BR594" t="s">
        <v>84</v>
      </c>
      <c r="BS594" s="3">
        <v>45814</v>
      </c>
      <c r="BT594" s="4">
        <v>0.40625</v>
      </c>
      <c r="BU594" t="s">
        <v>1282</v>
      </c>
      <c r="BV594" t="s">
        <v>86</v>
      </c>
      <c r="BY594">
        <v>5320</v>
      </c>
      <c r="BZ594" t="s">
        <v>87</v>
      </c>
      <c r="CA594" t="s">
        <v>374</v>
      </c>
      <c r="CC594" t="s">
        <v>370</v>
      </c>
      <c r="CD594">
        <v>7130</v>
      </c>
      <c r="CE594" t="s">
        <v>1283</v>
      </c>
      <c r="CF594" s="3">
        <v>45817</v>
      </c>
      <c r="CI594">
        <v>1</v>
      </c>
      <c r="CJ594">
        <v>1</v>
      </c>
      <c r="CK594">
        <v>23</v>
      </c>
      <c r="CL594" t="s">
        <v>90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"080065784526"</f>
        <v>080065784526</v>
      </c>
      <c r="F595" s="3">
        <v>45813</v>
      </c>
      <c r="G595">
        <v>202603</v>
      </c>
      <c r="H595" t="s">
        <v>75</v>
      </c>
      <c r="I595" t="s">
        <v>76</v>
      </c>
      <c r="J595" t="s">
        <v>77</v>
      </c>
      <c r="K595" t="s">
        <v>78</v>
      </c>
      <c r="L595" t="s">
        <v>251</v>
      </c>
      <c r="M595" t="s">
        <v>252</v>
      </c>
      <c r="N595" t="s">
        <v>567</v>
      </c>
      <c r="O595" t="s">
        <v>82</v>
      </c>
      <c r="P595" t="str">
        <f>"4170042421                    "</f>
        <v xml:space="preserve">4170042421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20.9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1</v>
      </c>
      <c r="BJ595">
        <v>0.2</v>
      </c>
      <c r="BK595">
        <v>1</v>
      </c>
      <c r="BL595">
        <v>69.5</v>
      </c>
      <c r="BM595">
        <v>10.43</v>
      </c>
      <c r="BN595">
        <v>79.930000000000007</v>
      </c>
      <c r="BO595">
        <v>79.930000000000007</v>
      </c>
      <c r="BQ595" t="s">
        <v>568</v>
      </c>
      <c r="BR595" t="s">
        <v>84</v>
      </c>
      <c r="BS595" s="3">
        <v>45814</v>
      </c>
      <c r="BT595" s="4">
        <v>0.3888888888888889</v>
      </c>
      <c r="BU595" t="s">
        <v>569</v>
      </c>
      <c r="BV595" t="s">
        <v>86</v>
      </c>
      <c r="BY595">
        <v>1200</v>
      </c>
      <c r="BZ595" t="s">
        <v>87</v>
      </c>
      <c r="CA595" t="s">
        <v>570</v>
      </c>
      <c r="CC595" t="s">
        <v>252</v>
      </c>
      <c r="CD595">
        <v>4302</v>
      </c>
      <c r="CE595" t="s">
        <v>89</v>
      </c>
      <c r="CF595" s="3">
        <v>45814</v>
      </c>
      <c r="CI595">
        <v>1</v>
      </c>
      <c r="CJ595">
        <v>1</v>
      </c>
      <c r="CK595">
        <v>21</v>
      </c>
      <c r="CL595" t="s">
        <v>90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"080065784534"</f>
        <v>080065784534</v>
      </c>
      <c r="F596" s="3">
        <v>45813</v>
      </c>
      <c r="G596">
        <v>202603</v>
      </c>
      <c r="H596" t="s">
        <v>75</v>
      </c>
      <c r="I596" t="s">
        <v>76</v>
      </c>
      <c r="J596" t="s">
        <v>77</v>
      </c>
      <c r="K596" t="s">
        <v>78</v>
      </c>
      <c r="L596" t="s">
        <v>369</v>
      </c>
      <c r="M596" t="s">
        <v>370</v>
      </c>
      <c r="N596" t="s">
        <v>371</v>
      </c>
      <c r="O596" t="s">
        <v>82</v>
      </c>
      <c r="P596" t="str">
        <f>"4170042417                    "</f>
        <v xml:space="preserve">4170042417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40.49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1</v>
      </c>
      <c r="BJ596">
        <v>1.1000000000000001</v>
      </c>
      <c r="BK596">
        <v>1.5</v>
      </c>
      <c r="BL596">
        <v>134.65</v>
      </c>
      <c r="BM596">
        <v>20.2</v>
      </c>
      <c r="BN596">
        <v>154.85</v>
      </c>
      <c r="BO596">
        <v>154.85</v>
      </c>
      <c r="BQ596" t="s">
        <v>372</v>
      </c>
      <c r="BR596" t="s">
        <v>84</v>
      </c>
      <c r="BS596" s="3">
        <v>45814</v>
      </c>
      <c r="BT596" s="4">
        <v>0.40625</v>
      </c>
      <c r="BU596" t="s">
        <v>1282</v>
      </c>
      <c r="BV596" t="s">
        <v>86</v>
      </c>
      <c r="BY596">
        <v>5320</v>
      </c>
      <c r="BZ596" t="s">
        <v>87</v>
      </c>
      <c r="CA596" t="s">
        <v>374</v>
      </c>
      <c r="CC596" t="s">
        <v>370</v>
      </c>
      <c r="CD596">
        <v>7130</v>
      </c>
      <c r="CE596" t="s">
        <v>180</v>
      </c>
      <c r="CF596" s="3">
        <v>45817</v>
      </c>
      <c r="CI596">
        <v>1</v>
      </c>
      <c r="CJ596">
        <v>1</v>
      </c>
      <c r="CK596">
        <v>23</v>
      </c>
      <c r="CL596" t="s">
        <v>90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"080065784542"</f>
        <v>080065784542</v>
      </c>
      <c r="F597" s="3">
        <v>45813</v>
      </c>
      <c r="G597">
        <v>202603</v>
      </c>
      <c r="H597" t="s">
        <v>75</v>
      </c>
      <c r="I597" t="s">
        <v>76</v>
      </c>
      <c r="J597" t="s">
        <v>77</v>
      </c>
      <c r="K597" t="s">
        <v>78</v>
      </c>
      <c r="L597" t="s">
        <v>116</v>
      </c>
      <c r="M597" t="s">
        <v>117</v>
      </c>
      <c r="N597" t="s">
        <v>118</v>
      </c>
      <c r="O597" t="s">
        <v>82</v>
      </c>
      <c r="P597" t="str">
        <f>"4170042265                    "</f>
        <v xml:space="preserve">4170042265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20.9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1</v>
      </c>
      <c r="BJ597">
        <v>0.2</v>
      </c>
      <c r="BK597">
        <v>1</v>
      </c>
      <c r="BL597">
        <v>69.5</v>
      </c>
      <c r="BM597">
        <v>10.43</v>
      </c>
      <c r="BN597">
        <v>79.930000000000007</v>
      </c>
      <c r="BO597">
        <v>79.930000000000007</v>
      </c>
      <c r="BQ597" t="s">
        <v>119</v>
      </c>
      <c r="BR597" t="s">
        <v>84</v>
      </c>
      <c r="BS597" s="3">
        <v>45814</v>
      </c>
      <c r="BT597" s="4">
        <v>0.37083333333333335</v>
      </c>
      <c r="BU597" t="s">
        <v>789</v>
      </c>
      <c r="BV597" t="s">
        <v>86</v>
      </c>
      <c r="BY597">
        <v>1200</v>
      </c>
      <c r="BZ597" t="s">
        <v>87</v>
      </c>
      <c r="CA597" t="s">
        <v>121</v>
      </c>
      <c r="CC597" t="s">
        <v>117</v>
      </c>
      <c r="CD597">
        <v>3201</v>
      </c>
      <c r="CE597" t="s">
        <v>89</v>
      </c>
      <c r="CF597" s="3">
        <v>45815</v>
      </c>
      <c r="CI597">
        <v>1</v>
      </c>
      <c r="CJ597">
        <v>1</v>
      </c>
      <c r="CK597">
        <v>21</v>
      </c>
      <c r="CL597" t="s">
        <v>90</v>
      </c>
    </row>
    <row r="598" spans="1:90" x14ac:dyDescent="0.3">
      <c r="A598" t="s">
        <v>72</v>
      </c>
      <c r="B598" t="s">
        <v>73</v>
      </c>
      <c r="C598" t="s">
        <v>74</v>
      </c>
      <c r="E598" t="str">
        <f>"080065784549"</f>
        <v>080065784549</v>
      </c>
      <c r="F598" s="3">
        <v>45813</v>
      </c>
      <c r="G598">
        <v>202603</v>
      </c>
      <c r="H598" t="s">
        <v>75</v>
      </c>
      <c r="I598" t="s">
        <v>76</v>
      </c>
      <c r="J598" t="s">
        <v>77</v>
      </c>
      <c r="K598" t="s">
        <v>78</v>
      </c>
      <c r="L598" t="s">
        <v>130</v>
      </c>
      <c r="M598" t="s">
        <v>131</v>
      </c>
      <c r="N598" t="s">
        <v>1152</v>
      </c>
      <c r="O598" t="s">
        <v>82</v>
      </c>
      <c r="P598" t="str">
        <f>"4170042414                    "</f>
        <v xml:space="preserve">4170042414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16.32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1</v>
      </c>
      <c r="BJ598">
        <v>1.4</v>
      </c>
      <c r="BK598">
        <v>2</v>
      </c>
      <c r="BL598">
        <v>54.28</v>
      </c>
      <c r="BM598">
        <v>8.14</v>
      </c>
      <c r="BN598">
        <v>62.42</v>
      </c>
      <c r="BO598">
        <v>62.42</v>
      </c>
      <c r="BQ598" t="s">
        <v>1153</v>
      </c>
      <c r="BR598" t="s">
        <v>84</v>
      </c>
      <c r="BS598" s="3">
        <v>45814</v>
      </c>
      <c r="BT598" s="4">
        <v>0.4201388888888889</v>
      </c>
      <c r="BU598" t="s">
        <v>1262</v>
      </c>
      <c r="BV598" t="s">
        <v>86</v>
      </c>
      <c r="BY598">
        <v>7000</v>
      </c>
      <c r="BZ598" t="s">
        <v>87</v>
      </c>
      <c r="CA598" t="s">
        <v>425</v>
      </c>
      <c r="CC598" t="s">
        <v>131</v>
      </c>
      <c r="CD598">
        <v>1459</v>
      </c>
      <c r="CE598" t="s">
        <v>99</v>
      </c>
      <c r="CF598" s="3">
        <v>45814</v>
      </c>
      <c r="CI598">
        <v>1</v>
      </c>
      <c r="CJ598">
        <v>1</v>
      </c>
      <c r="CK598">
        <v>22</v>
      </c>
      <c r="CL598" t="s">
        <v>90</v>
      </c>
    </row>
    <row r="599" spans="1:90" x14ac:dyDescent="0.3">
      <c r="A599" t="s">
        <v>72</v>
      </c>
      <c r="B599" t="s">
        <v>73</v>
      </c>
      <c r="C599" t="s">
        <v>74</v>
      </c>
      <c r="E599" t="str">
        <f>"080065784559"</f>
        <v>080065784559</v>
      </c>
      <c r="F599" s="3">
        <v>45813</v>
      </c>
      <c r="G599">
        <v>202603</v>
      </c>
      <c r="H599" t="s">
        <v>75</v>
      </c>
      <c r="I599" t="s">
        <v>76</v>
      </c>
      <c r="J599" t="s">
        <v>77</v>
      </c>
      <c r="K599" t="s">
        <v>78</v>
      </c>
      <c r="L599" t="s">
        <v>251</v>
      </c>
      <c r="M599" t="s">
        <v>252</v>
      </c>
      <c r="N599" t="s">
        <v>567</v>
      </c>
      <c r="O599" t="s">
        <v>82</v>
      </c>
      <c r="P599" t="str">
        <f>"4170042455                    "</f>
        <v xml:space="preserve">4170042455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20.9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1</v>
      </c>
      <c r="BJ599">
        <v>0.2</v>
      </c>
      <c r="BK599">
        <v>1</v>
      </c>
      <c r="BL599">
        <v>69.5</v>
      </c>
      <c r="BM599">
        <v>10.43</v>
      </c>
      <c r="BN599">
        <v>79.930000000000007</v>
      </c>
      <c r="BO599">
        <v>79.930000000000007</v>
      </c>
      <c r="BQ599" t="s">
        <v>568</v>
      </c>
      <c r="BR599" t="s">
        <v>84</v>
      </c>
      <c r="BS599" s="3">
        <v>45814</v>
      </c>
      <c r="BT599" s="4">
        <v>0.3888888888888889</v>
      </c>
      <c r="BU599" t="s">
        <v>569</v>
      </c>
      <c r="BV599" t="s">
        <v>86</v>
      </c>
      <c r="BY599">
        <v>1200</v>
      </c>
      <c r="BZ599" t="s">
        <v>87</v>
      </c>
      <c r="CA599" t="s">
        <v>570</v>
      </c>
      <c r="CC599" t="s">
        <v>252</v>
      </c>
      <c r="CD599">
        <v>4302</v>
      </c>
      <c r="CE599" t="s">
        <v>89</v>
      </c>
      <c r="CF599" s="3">
        <v>45814</v>
      </c>
      <c r="CI599">
        <v>1</v>
      </c>
      <c r="CJ599">
        <v>1</v>
      </c>
      <c r="CK599">
        <v>21</v>
      </c>
      <c r="CL599" t="s">
        <v>90</v>
      </c>
    </row>
    <row r="600" spans="1:90" x14ac:dyDescent="0.3">
      <c r="A600" t="s">
        <v>72</v>
      </c>
      <c r="B600" t="s">
        <v>73</v>
      </c>
      <c r="C600" t="s">
        <v>74</v>
      </c>
      <c r="E600" t="str">
        <f>"080065784575"</f>
        <v>080065784575</v>
      </c>
      <c r="F600" s="3">
        <v>45813</v>
      </c>
      <c r="G600">
        <v>202603</v>
      </c>
      <c r="H600" t="s">
        <v>75</v>
      </c>
      <c r="I600" t="s">
        <v>76</v>
      </c>
      <c r="J600" t="s">
        <v>77</v>
      </c>
      <c r="K600" t="s">
        <v>78</v>
      </c>
      <c r="L600" t="s">
        <v>154</v>
      </c>
      <c r="M600" t="s">
        <v>154</v>
      </c>
      <c r="N600" t="s">
        <v>949</v>
      </c>
      <c r="O600" t="s">
        <v>82</v>
      </c>
      <c r="P600" t="str">
        <f>"4170042433                    "</f>
        <v xml:space="preserve">4170042433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40.49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1</v>
      </c>
      <c r="BJ600">
        <v>0.2</v>
      </c>
      <c r="BK600">
        <v>1</v>
      </c>
      <c r="BL600">
        <v>134.65</v>
      </c>
      <c r="BM600">
        <v>20.2</v>
      </c>
      <c r="BN600">
        <v>154.85</v>
      </c>
      <c r="BO600">
        <v>154.85</v>
      </c>
      <c r="BQ600" t="s">
        <v>950</v>
      </c>
      <c r="BR600" t="s">
        <v>84</v>
      </c>
      <c r="BS600" s="3">
        <v>45814</v>
      </c>
      <c r="BT600" s="4">
        <v>0.47430555555555554</v>
      </c>
      <c r="BU600" t="s">
        <v>1284</v>
      </c>
      <c r="BV600" t="s">
        <v>86</v>
      </c>
      <c r="BY600">
        <v>1200</v>
      </c>
      <c r="BZ600" t="s">
        <v>87</v>
      </c>
      <c r="CA600" t="s">
        <v>1285</v>
      </c>
      <c r="CC600" t="s">
        <v>154</v>
      </c>
      <c r="CD600">
        <v>7646</v>
      </c>
      <c r="CE600" t="s">
        <v>89</v>
      </c>
      <c r="CF600" s="3">
        <v>45817</v>
      </c>
      <c r="CI600">
        <v>1</v>
      </c>
      <c r="CJ600">
        <v>1</v>
      </c>
      <c r="CK600">
        <v>23</v>
      </c>
      <c r="CL600" t="s">
        <v>90</v>
      </c>
    </row>
    <row r="601" spans="1:90" x14ac:dyDescent="0.3">
      <c r="A601" t="s">
        <v>72</v>
      </c>
      <c r="B601" t="s">
        <v>73</v>
      </c>
      <c r="C601" t="s">
        <v>74</v>
      </c>
      <c r="E601" t="str">
        <f>"080065784576"</f>
        <v>080065784576</v>
      </c>
      <c r="F601" s="3">
        <v>45813</v>
      </c>
      <c r="G601">
        <v>202603</v>
      </c>
      <c r="H601" t="s">
        <v>75</v>
      </c>
      <c r="I601" t="s">
        <v>76</v>
      </c>
      <c r="J601" t="s">
        <v>77</v>
      </c>
      <c r="K601" t="s">
        <v>78</v>
      </c>
      <c r="L601" t="s">
        <v>284</v>
      </c>
      <c r="M601" t="s">
        <v>285</v>
      </c>
      <c r="N601" t="s">
        <v>286</v>
      </c>
      <c r="O601" t="s">
        <v>82</v>
      </c>
      <c r="P601" t="str">
        <f>"4170042458                    "</f>
        <v xml:space="preserve">4170042458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16.32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1</v>
      </c>
      <c r="BJ601">
        <v>1.1000000000000001</v>
      </c>
      <c r="BK601">
        <v>2</v>
      </c>
      <c r="BL601">
        <v>54.28</v>
      </c>
      <c r="BM601">
        <v>8.14</v>
      </c>
      <c r="BN601">
        <v>62.42</v>
      </c>
      <c r="BO601">
        <v>62.42</v>
      </c>
      <c r="BQ601" t="s">
        <v>287</v>
      </c>
      <c r="BR601" t="s">
        <v>84</v>
      </c>
      <c r="BS601" s="3">
        <v>45814</v>
      </c>
      <c r="BT601" s="4">
        <v>0.41666666666666669</v>
      </c>
      <c r="BU601" t="s">
        <v>1286</v>
      </c>
      <c r="BV601" t="s">
        <v>86</v>
      </c>
      <c r="BY601">
        <v>5320</v>
      </c>
      <c r="BZ601" t="s">
        <v>87</v>
      </c>
      <c r="CA601" t="s">
        <v>971</v>
      </c>
      <c r="CC601" t="s">
        <v>285</v>
      </c>
      <c r="CD601">
        <v>1559</v>
      </c>
      <c r="CE601" t="s">
        <v>99</v>
      </c>
      <c r="CF601" s="3">
        <v>45815</v>
      </c>
      <c r="CI601">
        <v>1</v>
      </c>
      <c r="CJ601">
        <v>1</v>
      </c>
      <c r="CK601">
        <v>22</v>
      </c>
      <c r="CL601" t="s">
        <v>90</v>
      </c>
    </row>
    <row r="602" spans="1:90" x14ac:dyDescent="0.3">
      <c r="A602" t="s">
        <v>72</v>
      </c>
      <c r="B602" t="s">
        <v>73</v>
      </c>
      <c r="C602" t="s">
        <v>74</v>
      </c>
      <c r="E602" t="str">
        <f>"080065784587"</f>
        <v>080065784587</v>
      </c>
      <c r="F602" s="3">
        <v>45813</v>
      </c>
      <c r="G602">
        <v>202603</v>
      </c>
      <c r="H602" t="s">
        <v>75</v>
      </c>
      <c r="I602" t="s">
        <v>76</v>
      </c>
      <c r="J602" t="s">
        <v>77</v>
      </c>
      <c r="K602" t="s">
        <v>78</v>
      </c>
      <c r="L602" t="s">
        <v>91</v>
      </c>
      <c r="M602" t="s">
        <v>92</v>
      </c>
      <c r="N602" t="s">
        <v>763</v>
      </c>
      <c r="O602" t="s">
        <v>82</v>
      </c>
      <c r="P602" t="str">
        <f>"4170042394                    "</f>
        <v xml:space="preserve">4170042394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20.9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</v>
      </c>
      <c r="BJ602">
        <v>0.2</v>
      </c>
      <c r="BK602">
        <v>1</v>
      </c>
      <c r="BL602">
        <v>69.5</v>
      </c>
      <c r="BM602">
        <v>10.43</v>
      </c>
      <c r="BN602">
        <v>79.930000000000007</v>
      </c>
      <c r="BO602">
        <v>79.930000000000007</v>
      </c>
      <c r="BQ602" t="s">
        <v>764</v>
      </c>
      <c r="BR602" t="s">
        <v>84</v>
      </c>
      <c r="BS602" s="3">
        <v>45814</v>
      </c>
      <c r="BT602" s="4">
        <v>0.45</v>
      </c>
      <c r="BU602" t="s">
        <v>765</v>
      </c>
      <c r="BV602" t="s">
        <v>90</v>
      </c>
      <c r="BW602" t="s">
        <v>144</v>
      </c>
      <c r="BX602" t="s">
        <v>344</v>
      </c>
      <c r="BY602">
        <v>1200</v>
      </c>
      <c r="BZ602" t="s">
        <v>87</v>
      </c>
      <c r="CA602" t="s">
        <v>767</v>
      </c>
      <c r="CC602" t="s">
        <v>92</v>
      </c>
      <c r="CD602">
        <v>7550</v>
      </c>
      <c r="CE602" t="s">
        <v>89</v>
      </c>
      <c r="CF602" s="3">
        <v>45817</v>
      </c>
      <c r="CI602">
        <v>1</v>
      </c>
      <c r="CJ602">
        <v>1</v>
      </c>
      <c r="CK602">
        <v>21</v>
      </c>
      <c r="CL602" t="s">
        <v>90</v>
      </c>
    </row>
    <row r="603" spans="1:90" x14ac:dyDescent="0.3">
      <c r="A603" t="s">
        <v>72</v>
      </c>
      <c r="B603" t="s">
        <v>73</v>
      </c>
      <c r="C603" t="s">
        <v>74</v>
      </c>
      <c r="E603" t="str">
        <f>"080065784821"</f>
        <v>080065784821</v>
      </c>
      <c r="F603" s="3">
        <v>45813</v>
      </c>
      <c r="G603">
        <v>202603</v>
      </c>
      <c r="H603" t="s">
        <v>75</v>
      </c>
      <c r="I603" t="s">
        <v>76</v>
      </c>
      <c r="J603" t="s">
        <v>77</v>
      </c>
      <c r="K603" t="s">
        <v>78</v>
      </c>
      <c r="L603" t="s">
        <v>710</v>
      </c>
      <c r="M603" t="s">
        <v>711</v>
      </c>
      <c r="N603" t="s">
        <v>712</v>
      </c>
      <c r="O603" t="s">
        <v>82</v>
      </c>
      <c r="P603" t="str">
        <f>"4170042376                    "</f>
        <v xml:space="preserve">4170042376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20.9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1</v>
      </c>
      <c r="BJ603">
        <v>0.2</v>
      </c>
      <c r="BK603">
        <v>1</v>
      </c>
      <c r="BL603">
        <v>69.5</v>
      </c>
      <c r="BM603">
        <v>10.43</v>
      </c>
      <c r="BN603">
        <v>79.930000000000007</v>
      </c>
      <c r="BO603">
        <v>79.930000000000007</v>
      </c>
      <c r="BQ603" t="s">
        <v>713</v>
      </c>
      <c r="BR603" t="s">
        <v>84</v>
      </c>
      <c r="BS603" s="3">
        <v>45817</v>
      </c>
      <c r="BT603" s="4">
        <v>0.38958333333333334</v>
      </c>
      <c r="BU603" t="s">
        <v>1287</v>
      </c>
      <c r="BV603" t="s">
        <v>90</v>
      </c>
      <c r="BW603" t="s">
        <v>875</v>
      </c>
      <c r="BX603" t="s">
        <v>344</v>
      </c>
      <c r="BY603">
        <v>1200</v>
      </c>
      <c r="BZ603" t="s">
        <v>87</v>
      </c>
      <c r="CC603" t="s">
        <v>711</v>
      </c>
      <c r="CD603">
        <v>7600</v>
      </c>
      <c r="CE603" t="s">
        <v>89</v>
      </c>
      <c r="CF603" s="3">
        <v>45818</v>
      </c>
      <c r="CI603">
        <v>1</v>
      </c>
      <c r="CJ603">
        <v>2</v>
      </c>
      <c r="CK603">
        <v>21</v>
      </c>
      <c r="CL603" t="s">
        <v>90</v>
      </c>
    </row>
    <row r="604" spans="1:90" x14ac:dyDescent="0.3">
      <c r="A604" t="s">
        <v>72</v>
      </c>
      <c r="B604" t="s">
        <v>73</v>
      </c>
      <c r="C604" t="s">
        <v>74</v>
      </c>
      <c r="E604" t="str">
        <f>"080065784837"</f>
        <v>080065784837</v>
      </c>
      <c r="F604" s="3">
        <v>45813</v>
      </c>
      <c r="G604">
        <v>202603</v>
      </c>
      <c r="H604" t="s">
        <v>75</v>
      </c>
      <c r="I604" t="s">
        <v>76</v>
      </c>
      <c r="J604" t="s">
        <v>77</v>
      </c>
      <c r="K604" t="s">
        <v>78</v>
      </c>
      <c r="L604" t="s">
        <v>91</v>
      </c>
      <c r="M604" t="s">
        <v>92</v>
      </c>
      <c r="N604" t="s">
        <v>763</v>
      </c>
      <c r="O604" t="s">
        <v>82</v>
      </c>
      <c r="P604" t="str">
        <f>"4170042395                    "</f>
        <v xml:space="preserve">4170042395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20.9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1</v>
      </c>
      <c r="BJ604">
        <v>0.2</v>
      </c>
      <c r="BK604">
        <v>1</v>
      </c>
      <c r="BL604">
        <v>69.5</v>
      </c>
      <c r="BM604">
        <v>10.43</v>
      </c>
      <c r="BN604">
        <v>79.930000000000007</v>
      </c>
      <c r="BO604">
        <v>79.930000000000007</v>
      </c>
      <c r="BQ604" t="s">
        <v>764</v>
      </c>
      <c r="BR604" t="s">
        <v>84</v>
      </c>
      <c r="BS604" s="3">
        <v>45814</v>
      </c>
      <c r="BT604" s="4">
        <v>0.45</v>
      </c>
      <c r="BU604" t="s">
        <v>765</v>
      </c>
      <c r="BV604" t="s">
        <v>90</v>
      </c>
      <c r="BW604" t="s">
        <v>144</v>
      </c>
      <c r="BX604" t="s">
        <v>344</v>
      </c>
      <c r="BY604">
        <v>1200</v>
      </c>
      <c r="BZ604" t="s">
        <v>87</v>
      </c>
      <c r="CA604" t="s">
        <v>767</v>
      </c>
      <c r="CC604" t="s">
        <v>92</v>
      </c>
      <c r="CD604">
        <v>7550</v>
      </c>
      <c r="CE604" t="s">
        <v>89</v>
      </c>
      <c r="CF604" s="3">
        <v>45817</v>
      </c>
      <c r="CI604">
        <v>1</v>
      </c>
      <c r="CJ604">
        <v>1</v>
      </c>
      <c r="CK604">
        <v>21</v>
      </c>
      <c r="CL604" t="s">
        <v>90</v>
      </c>
    </row>
    <row r="605" spans="1:90" x14ac:dyDescent="0.3">
      <c r="A605" t="s">
        <v>72</v>
      </c>
      <c r="B605" t="s">
        <v>73</v>
      </c>
      <c r="C605" t="s">
        <v>74</v>
      </c>
      <c r="E605" t="str">
        <f>"080065784844"</f>
        <v>080065784844</v>
      </c>
      <c r="F605" s="3">
        <v>45813</v>
      </c>
      <c r="G605">
        <v>202603</v>
      </c>
      <c r="H605" t="s">
        <v>75</v>
      </c>
      <c r="I605" t="s">
        <v>76</v>
      </c>
      <c r="J605" t="s">
        <v>77</v>
      </c>
      <c r="K605" t="s">
        <v>78</v>
      </c>
      <c r="L605" t="s">
        <v>91</v>
      </c>
      <c r="M605" t="s">
        <v>92</v>
      </c>
      <c r="N605" t="s">
        <v>540</v>
      </c>
      <c r="O605" t="s">
        <v>82</v>
      </c>
      <c r="P605" t="str">
        <f>"4170042246                    "</f>
        <v xml:space="preserve">4170042246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47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4</v>
      </c>
      <c r="BJ605">
        <v>4.0999999999999996</v>
      </c>
      <c r="BK605">
        <v>4.5</v>
      </c>
      <c r="BL605">
        <v>156.30000000000001</v>
      </c>
      <c r="BM605">
        <v>23.45</v>
      </c>
      <c r="BN605">
        <v>179.75</v>
      </c>
      <c r="BO605">
        <v>179.75</v>
      </c>
      <c r="BQ605" t="s">
        <v>541</v>
      </c>
      <c r="BR605" t="s">
        <v>84</v>
      </c>
      <c r="BS605" s="3">
        <v>45814</v>
      </c>
      <c r="BT605" s="4">
        <v>0.40625</v>
      </c>
      <c r="BU605" t="s">
        <v>1106</v>
      </c>
      <c r="BV605" t="s">
        <v>86</v>
      </c>
      <c r="BY605">
        <v>20384</v>
      </c>
      <c r="BZ605" t="s">
        <v>87</v>
      </c>
      <c r="CA605" t="s">
        <v>291</v>
      </c>
      <c r="CC605" t="s">
        <v>92</v>
      </c>
      <c r="CD605">
        <v>7441</v>
      </c>
      <c r="CE605" t="s">
        <v>166</v>
      </c>
      <c r="CF605" s="3">
        <v>45817</v>
      </c>
      <c r="CI605">
        <v>1</v>
      </c>
      <c r="CJ605">
        <v>1</v>
      </c>
      <c r="CK605">
        <v>21</v>
      </c>
      <c r="CL605" t="s">
        <v>90</v>
      </c>
    </row>
    <row r="606" spans="1:90" x14ac:dyDescent="0.3">
      <c r="A606" t="s">
        <v>72</v>
      </c>
      <c r="B606" t="s">
        <v>73</v>
      </c>
      <c r="C606" t="s">
        <v>74</v>
      </c>
      <c r="E606" t="str">
        <f>"080065784861"</f>
        <v>080065784861</v>
      </c>
      <c r="F606" s="3">
        <v>45813</v>
      </c>
      <c r="G606">
        <v>202603</v>
      </c>
      <c r="H606" t="s">
        <v>75</v>
      </c>
      <c r="I606" t="s">
        <v>76</v>
      </c>
      <c r="J606" t="s">
        <v>77</v>
      </c>
      <c r="K606" t="s">
        <v>78</v>
      </c>
      <c r="L606" t="s">
        <v>174</v>
      </c>
      <c r="M606" t="s">
        <v>175</v>
      </c>
      <c r="N606" t="s">
        <v>1288</v>
      </c>
      <c r="O606" t="s">
        <v>82</v>
      </c>
      <c r="P606" t="str">
        <f>"4170042341                    "</f>
        <v xml:space="preserve">4170042341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20.9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1</v>
      </c>
      <c r="BJ606">
        <v>0.2</v>
      </c>
      <c r="BK606">
        <v>1</v>
      </c>
      <c r="BL606">
        <v>69.5</v>
      </c>
      <c r="BM606">
        <v>10.43</v>
      </c>
      <c r="BN606">
        <v>79.930000000000007</v>
      </c>
      <c r="BO606">
        <v>79.930000000000007</v>
      </c>
      <c r="BQ606" t="s">
        <v>1289</v>
      </c>
      <c r="BR606" t="s">
        <v>84</v>
      </c>
      <c r="BS606" s="3">
        <v>45814</v>
      </c>
      <c r="BT606" s="4">
        <v>0.38055555555555554</v>
      </c>
      <c r="BU606" t="s">
        <v>1290</v>
      </c>
      <c r="BV606" t="s">
        <v>86</v>
      </c>
      <c r="BY606">
        <v>1200</v>
      </c>
      <c r="BZ606" t="s">
        <v>87</v>
      </c>
      <c r="CA606" t="s">
        <v>359</v>
      </c>
      <c r="CC606" t="s">
        <v>175</v>
      </c>
      <c r="CD606">
        <v>3610</v>
      </c>
      <c r="CE606" t="s">
        <v>89</v>
      </c>
      <c r="CF606" s="3">
        <v>45814</v>
      </c>
      <c r="CI606">
        <v>1</v>
      </c>
      <c r="CJ606">
        <v>1</v>
      </c>
      <c r="CK606">
        <v>21</v>
      </c>
      <c r="CL606" t="s">
        <v>90</v>
      </c>
    </row>
    <row r="607" spans="1:90" x14ac:dyDescent="0.3">
      <c r="A607" t="s">
        <v>72</v>
      </c>
      <c r="B607" t="s">
        <v>73</v>
      </c>
      <c r="C607" t="s">
        <v>74</v>
      </c>
      <c r="E607" t="str">
        <f>"080065784871"</f>
        <v>080065784871</v>
      </c>
      <c r="F607" s="3">
        <v>45813</v>
      </c>
      <c r="G607">
        <v>202603</v>
      </c>
      <c r="H607" t="s">
        <v>75</v>
      </c>
      <c r="I607" t="s">
        <v>76</v>
      </c>
      <c r="J607" t="s">
        <v>77</v>
      </c>
      <c r="K607" t="s">
        <v>78</v>
      </c>
      <c r="L607" t="s">
        <v>75</v>
      </c>
      <c r="M607" t="s">
        <v>76</v>
      </c>
      <c r="N607" t="s">
        <v>525</v>
      </c>
      <c r="O607" t="s">
        <v>82</v>
      </c>
      <c r="P607" t="str">
        <f>"4170042467                    "</f>
        <v xml:space="preserve">4170042467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16.32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4</v>
      </c>
      <c r="BJ607">
        <v>1.7</v>
      </c>
      <c r="BK607">
        <v>4</v>
      </c>
      <c r="BL607">
        <v>54.28</v>
      </c>
      <c r="BM607">
        <v>8.14</v>
      </c>
      <c r="BN607">
        <v>62.42</v>
      </c>
      <c r="BO607">
        <v>62.42</v>
      </c>
      <c r="BQ607" t="s">
        <v>526</v>
      </c>
      <c r="BR607" t="s">
        <v>84</v>
      </c>
      <c r="BS607" s="3">
        <v>45814</v>
      </c>
      <c r="BT607" s="4">
        <v>0.36805555555555558</v>
      </c>
      <c r="BU607" t="s">
        <v>1291</v>
      </c>
      <c r="BV607" t="s">
        <v>86</v>
      </c>
      <c r="BY607">
        <v>8512</v>
      </c>
      <c r="BZ607" t="s">
        <v>87</v>
      </c>
      <c r="CA607" t="s">
        <v>1022</v>
      </c>
      <c r="CC607" t="s">
        <v>76</v>
      </c>
      <c r="CD607">
        <v>1645</v>
      </c>
      <c r="CE607" t="s">
        <v>180</v>
      </c>
      <c r="CF607" s="3">
        <v>45814</v>
      </c>
      <c r="CI607">
        <v>1</v>
      </c>
      <c r="CJ607">
        <v>1</v>
      </c>
      <c r="CK607">
        <v>22</v>
      </c>
      <c r="CL607" t="s">
        <v>90</v>
      </c>
    </row>
    <row r="608" spans="1:90" x14ac:dyDescent="0.3">
      <c r="A608" t="s">
        <v>72</v>
      </c>
      <c r="B608" t="s">
        <v>73</v>
      </c>
      <c r="C608" t="s">
        <v>74</v>
      </c>
      <c r="E608" t="str">
        <f>"080065784914"</f>
        <v>080065784914</v>
      </c>
      <c r="F608" s="3">
        <v>45813</v>
      </c>
      <c r="G608">
        <v>202603</v>
      </c>
      <c r="H608" t="s">
        <v>75</v>
      </c>
      <c r="I608" t="s">
        <v>76</v>
      </c>
      <c r="J608" t="s">
        <v>77</v>
      </c>
      <c r="K608" t="s">
        <v>78</v>
      </c>
      <c r="L608" t="s">
        <v>224</v>
      </c>
      <c r="M608" t="s">
        <v>225</v>
      </c>
      <c r="N608" t="s">
        <v>226</v>
      </c>
      <c r="O608" t="s">
        <v>82</v>
      </c>
      <c r="P608" t="str">
        <f>"4170042390                    "</f>
        <v xml:space="preserve">4170042390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77.06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4</v>
      </c>
      <c r="BJ608">
        <v>1.7</v>
      </c>
      <c r="BK608">
        <v>4</v>
      </c>
      <c r="BL608">
        <v>256.26</v>
      </c>
      <c r="BM608">
        <v>38.44</v>
      </c>
      <c r="BN608">
        <v>294.7</v>
      </c>
      <c r="BO608">
        <v>294.7</v>
      </c>
      <c r="BQ608" t="s">
        <v>227</v>
      </c>
      <c r="BR608" t="s">
        <v>84</v>
      </c>
      <c r="BS608" s="3">
        <v>45814</v>
      </c>
      <c r="BT608" s="4">
        <v>0.59861111111111109</v>
      </c>
      <c r="BU608" t="s">
        <v>1292</v>
      </c>
      <c r="BV608" t="s">
        <v>86</v>
      </c>
      <c r="BY608">
        <v>8512</v>
      </c>
      <c r="BZ608" t="s">
        <v>87</v>
      </c>
      <c r="CA608" t="s">
        <v>229</v>
      </c>
      <c r="CC608" t="s">
        <v>225</v>
      </c>
      <c r="CD608">
        <v>6300</v>
      </c>
      <c r="CE608" t="s">
        <v>180</v>
      </c>
      <c r="CF608" s="3">
        <v>45814</v>
      </c>
      <c r="CI608">
        <v>2</v>
      </c>
      <c r="CJ608">
        <v>1</v>
      </c>
      <c r="CK608">
        <v>23</v>
      </c>
      <c r="CL608" t="s">
        <v>90</v>
      </c>
    </row>
    <row r="609" spans="1:90" x14ac:dyDescent="0.3">
      <c r="A609" t="s">
        <v>72</v>
      </c>
      <c r="B609" t="s">
        <v>73</v>
      </c>
      <c r="C609" t="s">
        <v>74</v>
      </c>
      <c r="E609" t="str">
        <f>"080065785012"</f>
        <v>080065785012</v>
      </c>
      <c r="F609" s="3">
        <v>45813</v>
      </c>
      <c r="G609">
        <v>202603</v>
      </c>
      <c r="H609" t="s">
        <v>75</v>
      </c>
      <c r="I609" t="s">
        <v>76</v>
      </c>
      <c r="J609" t="s">
        <v>77</v>
      </c>
      <c r="K609" t="s">
        <v>78</v>
      </c>
      <c r="L609" t="s">
        <v>413</v>
      </c>
      <c r="M609" t="s">
        <v>414</v>
      </c>
      <c r="N609" t="s">
        <v>236</v>
      </c>
      <c r="O609" t="s">
        <v>82</v>
      </c>
      <c r="P609" t="str">
        <f>"4170042434                    "</f>
        <v xml:space="preserve">4170042434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20.9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2</v>
      </c>
      <c r="BJ609">
        <v>1.2</v>
      </c>
      <c r="BK609">
        <v>2</v>
      </c>
      <c r="BL609">
        <v>69.5</v>
      </c>
      <c r="BM609">
        <v>10.43</v>
      </c>
      <c r="BN609">
        <v>79.930000000000007</v>
      </c>
      <c r="BO609">
        <v>79.930000000000007</v>
      </c>
      <c r="BQ609" t="s">
        <v>237</v>
      </c>
      <c r="BR609" t="s">
        <v>84</v>
      </c>
      <c r="BS609" s="3">
        <v>45814</v>
      </c>
      <c r="BT609" s="4">
        <v>0.53333333333333333</v>
      </c>
      <c r="BU609" t="s">
        <v>415</v>
      </c>
      <c r="BV609" t="s">
        <v>90</v>
      </c>
      <c r="BW609" t="s">
        <v>212</v>
      </c>
      <c r="BX609" t="s">
        <v>213</v>
      </c>
      <c r="BY609">
        <v>5760</v>
      </c>
      <c r="BZ609" t="s">
        <v>87</v>
      </c>
      <c r="CA609" t="s">
        <v>418</v>
      </c>
      <c r="CC609" t="s">
        <v>414</v>
      </c>
      <c r="CD609">
        <v>4133</v>
      </c>
      <c r="CE609" t="s">
        <v>166</v>
      </c>
      <c r="CF609" s="3">
        <v>45814</v>
      </c>
      <c r="CI609">
        <v>1</v>
      </c>
      <c r="CJ609">
        <v>1</v>
      </c>
      <c r="CK609">
        <v>21</v>
      </c>
      <c r="CL609" t="s">
        <v>90</v>
      </c>
    </row>
    <row r="610" spans="1:90" x14ac:dyDescent="0.3">
      <c r="A610" t="s">
        <v>72</v>
      </c>
      <c r="B610" t="s">
        <v>73</v>
      </c>
      <c r="C610" t="s">
        <v>74</v>
      </c>
      <c r="E610" t="str">
        <f>"080065785139"</f>
        <v>080065785139</v>
      </c>
      <c r="F610" s="3">
        <v>45813</v>
      </c>
      <c r="G610">
        <v>202603</v>
      </c>
      <c r="H610" t="s">
        <v>75</v>
      </c>
      <c r="I610" t="s">
        <v>76</v>
      </c>
      <c r="J610" t="s">
        <v>77</v>
      </c>
      <c r="K610" t="s">
        <v>78</v>
      </c>
      <c r="L610" t="s">
        <v>100</v>
      </c>
      <c r="M610" t="s">
        <v>101</v>
      </c>
      <c r="N610" t="s">
        <v>1293</v>
      </c>
      <c r="O610" t="s">
        <v>82</v>
      </c>
      <c r="P610" t="str">
        <f>"4170042387                    "</f>
        <v xml:space="preserve">4170042387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36.56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1</v>
      </c>
      <c r="BJ610">
        <v>3.4</v>
      </c>
      <c r="BK610">
        <v>3.5</v>
      </c>
      <c r="BL610">
        <v>121.58</v>
      </c>
      <c r="BM610">
        <v>18.239999999999998</v>
      </c>
      <c r="BN610">
        <v>139.82</v>
      </c>
      <c r="BO610">
        <v>139.82</v>
      </c>
      <c r="BQ610" t="s">
        <v>1294</v>
      </c>
      <c r="BR610" t="s">
        <v>84</v>
      </c>
      <c r="BS610" s="3">
        <v>45814</v>
      </c>
      <c r="BT610" s="4">
        <v>0.34027777777777779</v>
      </c>
      <c r="BU610" t="s">
        <v>1295</v>
      </c>
      <c r="BV610" t="s">
        <v>86</v>
      </c>
      <c r="BY610">
        <v>16965</v>
      </c>
      <c r="BZ610" t="s">
        <v>87</v>
      </c>
      <c r="CA610" t="s">
        <v>394</v>
      </c>
      <c r="CC610" t="s">
        <v>101</v>
      </c>
      <c r="CD610">
        <v>6045</v>
      </c>
      <c r="CE610" t="s">
        <v>99</v>
      </c>
      <c r="CF610" s="3">
        <v>45814</v>
      </c>
      <c r="CI610">
        <v>1</v>
      </c>
      <c r="CJ610">
        <v>1</v>
      </c>
      <c r="CK610">
        <v>21</v>
      </c>
      <c r="CL610" t="s">
        <v>90</v>
      </c>
    </row>
    <row r="611" spans="1:90" x14ac:dyDescent="0.3">
      <c r="A611" t="s">
        <v>72</v>
      </c>
      <c r="B611" t="s">
        <v>73</v>
      </c>
      <c r="C611" t="s">
        <v>74</v>
      </c>
      <c r="E611" t="str">
        <f>"080065785242"</f>
        <v>080065785242</v>
      </c>
      <c r="F611" s="3">
        <v>45813</v>
      </c>
      <c r="G611">
        <v>202603</v>
      </c>
      <c r="H611" t="s">
        <v>75</v>
      </c>
      <c r="I611" t="s">
        <v>76</v>
      </c>
      <c r="J611" t="s">
        <v>77</v>
      </c>
      <c r="K611" t="s">
        <v>78</v>
      </c>
      <c r="L611" t="s">
        <v>504</v>
      </c>
      <c r="M611" t="s">
        <v>505</v>
      </c>
      <c r="N611" t="s">
        <v>506</v>
      </c>
      <c r="O611" t="s">
        <v>82</v>
      </c>
      <c r="P611" t="str">
        <f>"4170042381                    "</f>
        <v xml:space="preserve">4170042381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67.91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2</v>
      </c>
      <c r="BJ611">
        <v>3.4</v>
      </c>
      <c r="BK611">
        <v>3.5</v>
      </c>
      <c r="BL611">
        <v>225.85</v>
      </c>
      <c r="BM611">
        <v>33.880000000000003</v>
      </c>
      <c r="BN611">
        <v>259.73</v>
      </c>
      <c r="BO611">
        <v>259.73</v>
      </c>
      <c r="BQ611" t="s">
        <v>507</v>
      </c>
      <c r="BR611" t="s">
        <v>84</v>
      </c>
      <c r="BS611" s="3">
        <v>45814</v>
      </c>
      <c r="BT611" s="4">
        <v>0.31944444444444442</v>
      </c>
      <c r="BU611" t="s">
        <v>508</v>
      </c>
      <c r="BV611" t="s">
        <v>86</v>
      </c>
      <c r="BY611">
        <v>16965</v>
      </c>
      <c r="BZ611" t="s">
        <v>87</v>
      </c>
      <c r="CC611" t="s">
        <v>505</v>
      </c>
      <c r="CD611">
        <v>2740</v>
      </c>
      <c r="CE611" t="s">
        <v>99</v>
      </c>
      <c r="CF611" s="3">
        <v>45817</v>
      </c>
      <c r="CI611">
        <v>1</v>
      </c>
      <c r="CJ611">
        <v>1</v>
      </c>
      <c r="CK611">
        <v>23</v>
      </c>
      <c r="CL611" t="s">
        <v>90</v>
      </c>
    </row>
    <row r="612" spans="1:90" x14ac:dyDescent="0.3">
      <c r="A612" t="s">
        <v>72</v>
      </c>
      <c r="B612" t="s">
        <v>73</v>
      </c>
      <c r="C612" t="s">
        <v>74</v>
      </c>
      <c r="E612" t="str">
        <f>"080065785711"</f>
        <v>080065785711</v>
      </c>
      <c r="F612" s="3">
        <v>45813</v>
      </c>
      <c r="G612">
        <v>202603</v>
      </c>
      <c r="H612" t="s">
        <v>75</v>
      </c>
      <c r="I612" t="s">
        <v>76</v>
      </c>
      <c r="J612" t="s">
        <v>77</v>
      </c>
      <c r="K612" t="s">
        <v>78</v>
      </c>
      <c r="L612" t="s">
        <v>461</v>
      </c>
      <c r="M612" t="s">
        <v>462</v>
      </c>
      <c r="N612" t="s">
        <v>1296</v>
      </c>
      <c r="O612" t="s">
        <v>82</v>
      </c>
      <c r="P612" t="str">
        <f>"4170042278                    "</f>
        <v xml:space="preserve">4170042278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16.32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2</v>
      </c>
      <c r="BJ612">
        <v>1.1000000000000001</v>
      </c>
      <c r="BK612">
        <v>2</v>
      </c>
      <c r="BL612">
        <v>54.28</v>
      </c>
      <c r="BM612">
        <v>8.14</v>
      </c>
      <c r="BN612">
        <v>62.42</v>
      </c>
      <c r="BO612">
        <v>62.42</v>
      </c>
      <c r="BQ612" t="s">
        <v>1297</v>
      </c>
      <c r="BR612" t="s">
        <v>84</v>
      </c>
      <c r="BS612" s="3">
        <v>45814</v>
      </c>
      <c r="BT612" s="4">
        <v>0.4236111111111111</v>
      </c>
      <c r="BU612" t="s">
        <v>1298</v>
      </c>
      <c r="BV612" t="s">
        <v>86</v>
      </c>
      <c r="BY612">
        <v>5320</v>
      </c>
      <c r="BZ612" t="s">
        <v>87</v>
      </c>
      <c r="CA612" t="s">
        <v>1244</v>
      </c>
      <c r="CC612" t="s">
        <v>462</v>
      </c>
      <c r="CD612">
        <v>1682</v>
      </c>
      <c r="CE612" t="s">
        <v>99</v>
      </c>
      <c r="CF612" s="3">
        <v>45815</v>
      </c>
      <c r="CI612">
        <v>1</v>
      </c>
      <c r="CJ612">
        <v>1</v>
      </c>
      <c r="CK612">
        <v>22</v>
      </c>
      <c r="CL612" t="s">
        <v>90</v>
      </c>
    </row>
    <row r="613" spans="1:90" x14ac:dyDescent="0.3">
      <c r="A613" t="s">
        <v>72</v>
      </c>
      <c r="B613" t="s">
        <v>73</v>
      </c>
      <c r="C613" t="s">
        <v>74</v>
      </c>
      <c r="E613" t="str">
        <f>"080065785776"</f>
        <v>080065785776</v>
      </c>
      <c r="F613" s="3">
        <v>45813</v>
      </c>
      <c r="G613">
        <v>202603</v>
      </c>
      <c r="H613" t="s">
        <v>75</v>
      </c>
      <c r="I613" t="s">
        <v>76</v>
      </c>
      <c r="J613" t="s">
        <v>77</v>
      </c>
      <c r="K613" t="s">
        <v>78</v>
      </c>
      <c r="L613" t="s">
        <v>100</v>
      </c>
      <c r="M613" t="s">
        <v>101</v>
      </c>
      <c r="N613" t="s">
        <v>345</v>
      </c>
      <c r="O613" t="s">
        <v>82</v>
      </c>
      <c r="P613" t="str">
        <f>"4170042420                    "</f>
        <v xml:space="preserve">4170042420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20.9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1</v>
      </c>
      <c r="BJ613">
        <v>0.2</v>
      </c>
      <c r="BK613">
        <v>1</v>
      </c>
      <c r="BL613">
        <v>69.5</v>
      </c>
      <c r="BM613">
        <v>10.43</v>
      </c>
      <c r="BN613">
        <v>79.930000000000007</v>
      </c>
      <c r="BO613">
        <v>79.930000000000007</v>
      </c>
      <c r="BQ613" t="s">
        <v>346</v>
      </c>
      <c r="BR613" t="s">
        <v>84</v>
      </c>
      <c r="BS613" s="3">
        <v>45814</v>
      </c>
      <c r="BT613" s="4">
        <v>0.48055555555555557</v>
      </c>
      <c r="BU613" t="s">
        <v>1299</v>
      </c>
      <c r="BV613" t="s">
        <v>90</v>
      </c>
      <c r="BW613" t="s">
        <v>416</v>
      </c>
      <c r="BX613" t="s">
        <v>614</v>
      </c>
      <c r="BY613">
        <v>1200</v>
      </c>
      <c r="BZ613" t="s">
        <v>87</v>
      </c>
      <c r="CA613" t="s">
        <v>348</v>
      </c>
      <c r="CC613" t="s">
        <v>101</v>
      </c>
      <c r="CD613">
        <v>6000</v>
      </c>
      <c r="CE613" t="s">
        <v>89</v>
      </c>
      <c r="CF613" s="3">
        <v>45814</v>
      </c>
      <c r="CI613">
        <v>1</v>
      </c>
      <c r="CJ613">
        <v>1</v>
      </c>
      <c r="CK613">
        <v>21</v>
      </c>
      <c r="CL613" t="s">
        <v>90</v>
      </c>
    </row>
    <row r="614" spans="1:90" x14ac:dyDescent="0.3">
      <c r="A614" t="s">
        <v>72</v>
      </c>
      <c r="B614" t="s">
        <v>73</v>
      </c>
      <c r="C614" t="s">
        <v>74</v>
      </c>
      <c r="E614" t="str">
        <f>"080065785857"</f>
        <v>080065785857</v>
      </c>
      <c r="F614" s="3">
        <v>45813</v>
      </c>
      <c r="G614">
        <v>202603</v>
      </c>
      <c r="H614" t="s">
        <v>75</v>
      </c>
      <c r="I614" t="s">
        <v>76</v>
      </c>
      <c r="J614" t="s">
        <v>77</v>
      </c>
      <c r="K614" t="s">
        <v>78</v>
      </c>
      <c r="L614" t="s">
        <v>130</v>
      </c>
      <c r="M614" t="s">
        <v>131</v>
      </c>
      <c r="N614" t="s">
        <v>519</v>
      </c>
      <c r="O614" t="s">
        <v>82</v>
      </c>
      <c r="P614" t="str">
        <f>"4170042373                    "</f>
        <v xml:space="preserve">4170042373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16.32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1</v>
      </c>
      <c r="BJ614">
        <v>0.2</v>
      </c>
      <c r="BK614">
        <v>1</v>
      </c>
      <c r="BL614">
        <v>54.28</v>
      </c>
      <c r="BM614">
        <v>8.14</v>
      </c>
      <c r="BN614">
        <v>62.42</v>
      </c>
      <c r="BO614">
        <v>62.42</v>
      </c>
      <c r="BQ614" t="s">
        <v>520</v>
      </c>
      <c r="BR614" t="s">
        <v>84</v>
      </c>
      <c r="BS614" s="3">
        <v>45814</v>
      </c>
      <c r="BT614" s="4">
        <v>0.37291666666666667</v>
      </c>
      <c r="BU614" t="s">
        <v>521</v>
      </c>
      <c r="BV614" t="s">
        <v>86</v>
      </c>
      <c r="BY614">
        <v>1200</v>
      </c>
      <c r="BZ614" t="s">
        <v>87</v>
      </c>
      <c r="CA614" t="s">
        <v>425</v>
      </c>
      <c r="CC614" t="s">
        <v>131</v>
      </c>
      <c r="CD614">
        <v>1459</v>
      </c>
      <c r="CE614" t="s">
        <v>89</v>
      </c>
      <c r="CF614" s="3">
        <v>45814</v>
      </c>
      <c r="CI614">
        <v>1</v>
      </c>
      <c r="CJ614">
        <v>1</v>
      </c>
      <c r="CK614">
        <v>22</v>
      </c>
      <c r="CL614" t="s">
        <v>90</v>
      </c>
    </row>
    <row r="615" spans="1:90" x14ac:dyDescent="0.3">
      <c r="A615" t="s">
        <v>72</v>
      </c>
      <c r="B615" t="s">
        <v>73</v>
      </c>
      <c r="C615" t="s">
        <v>74</v>
      </c>
      <c r="E615" t="str">
        <f>"080065785989"</f>
        <v>080065785989</v>
      </c>
      <c r="F615" s="3">
        <v>45813</v>
      </c>
      <c r="G615">
        <v>202603</v>
      </c>
      <c r="H615" t="s">
        <v>75</v>
      </c>
      <c r="I615" t="s">
        <v>76</v>
      </c>
      <c r="J615" t="s">
        <v>77</v>
      </c>
      <c r="K615" t="s">
        <v>78</v>
      </c>
      <c r="L615" t="s">
        <v>91</v>
      </c>
      <c r="M615" t="s">
        <v>92</v>
      </c>
      <c r="N615" t="s">
        <v>763</v>
      </c>
      <c r="O615" t="s">
        <v>82</v>
      </c>
      <c r="P615" t="str">
        <f>"4170042463                    "</f>
        <v xml:space="preserve">4170042463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20.9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1</v>
      </c>
      <c r="BJ615">
        <v>0.2</v>
      </c>
      <c r="BK615">
        <v>1</v>
      </c>
      <c r="BL615">
        <v>69.5</v>
      </c>
      <c r="BM615">
        <v>10.43</v>
      </c>
      <c r="BN615">
        <v>79.930000000000007</v>
      </c>
      <c r="BO615">
        <v>79.930000000000007</v>
      </c>
      <c r="BQ615" t="s">
        <v>764</v>
      </c>
      <c r="BR615" t="s">
        <v>84</v>
      </c>
      <c r="BS615" s="3">
        <v>45814</v>
      </c>
      <c r="BT615" s="4">
        <v>0.45</v>
      </c>
      <c r="BU615" t="s">
        <v>765</v>
      </c>
      <c r="BV615" t="s">
        <v>90</v>
      </c>
      <c r="BW615" t="s">
        <v>144</v>
      </c>
      <c r="BX615" t="s">
        <v>344</v>
      </c>
      <c r="BY615">
        <v>1200</v>
      </c>
      <c r="BZ615" t="s">
        <v>87</v>
      </c>
      <c r="CA615" t="s">
        <v>767</v>
      </c>
      <c r="CC615" t="s">
        <v>92</v>
      </c>
      <c r="CD615">
        <v>7550</v>
      </c>
      <c r="CE615" t="s">
        <v>89</v>
      </c>
      <c r="CF615" s="3">
        <v>45817</v>
      </c>
      <c r="CI615">
        <v>1</v>
      </c>
      <c r="CJ615">
        <v>1</v>
      </c>
      <c r="CK615">
        <v>21</v>
      </c>
      <c r="CL615" t="s">
        <v>90</v>
      </c>
    </row>
    <row r="616" spans="1:90" x14ac:dyDescent="0.3">
      <c r="A616" t="s">
        <v>72</v>
      </c>
      <c r="B616" t="s">
        <v>73</v>
      </c>
      <c r="C616" t="s">
        <v>74</v>
      </c>
      <c r="E616" t="str">
        <f>"080065786057"</f>
        <v>080065786057</v>
      </c>
      <c r="F616" s="3">
        <v>45813</v>
      </c>
      <c r="G616">
        <v>202603</v>
      </c>
      <c r="H616" t="s">
        <v>75</v>
      </c>
      <c r="I616" t="s">
        <v>76</v>
      </c>
      <c r="J616" t="s">
        <v>77</v>
      </c>
      <c r="K616" t="s">
        <v>78</v>
      </c>
      <c r="L616" t="s">
        <v>130</v>
      </c>
      <c r="M616" t="s">
        <v>131</v>
      </c>
      <c r="N616" t="s">
        <v>1045</v>
      </c>
      <c r="O616" t="s">
        <v>82</v>
      </c>
      <c r="P616" t="str">
        <f>"4170042402                    "</f>
        <v xml:space="preserve">4170042402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16.32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1</v>
      </c>
      <c r="BJ616">
        <v>0.2</v>
      </c>
      <c r="BK616">
        <v>1</v>
      </c>
      <c r="BL616">
        <v>54.28</v>
      </c>
      <c r="BM616">
        <v>8.14</v>
      </c>
      <c r="BN616">
        <v>62.42</v>
      </c>
      <c r="BO616">
        <v>62.42</v>
      </c>
      <c r="BQ616" t="s">
        <v>1046</v>
      </c>
      <c r="BR616" t="s">
        <v>84</v>
      </c>
      <c r="BS616" s="3">
        <v>45814</v>
      </c>
      <c r="BT616" s="4">
        <v>0.39444444444444443</v>
      </c>
      <c r="BU616" t="s">
        <v>1047</v>
      </c>
      <c r="BV616" t="s">
        <v>86</v>
      </c>
      <c r="BY616">
        <v>1200</v>
      </c>
      <c r="BZ616" t="s">
        <v>87</v>
      </c>
      <c r="CA616" t="s">
        <v>425</v>
      </c>
      <c r="CC616" t="s">
        <v>131</v>
      </c>
      <c r="CD616">
        <v>1460</v>
      </c>
      <c r="CE616" t="s">
        <v>89</v>
      </c>
      <c r="CF616" s="3">
        <v>45814</v>
      </c>
      <c r="CI616">
        <v>1</v>
      </c>
      <c r="CJ616">
        <v>1</v>
      </c>
      <c r="CK616">
        <v>22</v>
      </c>
      <c r="CL616" t="s">
        <v>90</v>
      </c>
    </row>
    <row r="617" spans="1:90" x14ac:dyDescent="0.3">
      <c r="A617" t="s">
        <v>72</v>
      </c>
      <c r="B617" t="s">
        <v>73</v>
      </c>
      <c r="C617" t="s">
        <v>74</v>
      </c>
      <c r="E617" t="str">
        <f>"080065786127"</f>
        <v>080065786127</v>
      </c>
      <c r="F617" s="3">
        <v>45813</v>
      </c>
      <c r="G617">
        <v>202603</v>
      </c>
      <c r="H617" t="s">
        <v>75</v>
      </c>
      <c r="I617" t="s">
        <v>76</v>
      </c>
      <c r="J617" t="s">
        <v>77</v>
      </c>
      <c r="K617" t="s">
        <v>78</v>
      </c>
      <c r="L617" t="s">
        <v>116</v>
      </c>
      <c r="M617" t="s">
        <v>117</v>
      </c>
      <c r="N617" t="s">
        <v>183</v>
      </c>
      <c r="O617" t="s">
        <v>82</v>
      </c>
      <c r="P617" t="str">
        <f>"4170042441                    "</f>
        <v xml:space="preserve">4170042441 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20.9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1</v>
      </c>
      <c r="BJ617">
        <v>0.2</v>
      </c>
      <c r="BK617">
        <v>1</v>
      </c>
      <c r="BL617">
        <v>69.5</v>
      </c>
      <c r="BM617">
        <v>10.43</v>
      </c>
      <c r="BN617">
        <v>79.930000000000007</v>
      </c>
      <c r="BO617">
        <v>79.930000000000007</v>
      </c>
      <c r="BQ617" t="s">
        <v>184</v>
      </c>
      <c r="BR617" t="s">
        <v>84</v>
      </c>
      <c r="BS617" s="3">
        <v>45814</v>
      </c>
      <c r="BT617" s="4">
        <v>0.47916666666666669</v>
      </c>
      <c r="BU617" t="s">
        <v>1278</v>
      </c>
      <c r="BV617" t="s">
        <v>86</v>
      </c>
      <c r="BY617">
        <v>1200</v>
      </c>
      <c r="BZ617" t="s">
        <v>87</v>
      </c>
      <c r="CA617" t="s">
        <v>186</v>
      </c>
      <c r="CC617" t="s">
        <v>117</v>
      </c>
      <c r="CD617">
        <v>3212</v>
      </c>
      <c r="CE617" t="s">
        <v>89</v>
      </c>
      <c r="CF617" s="3">
        <v>45815</v>
      </c>
      <c r="CI617">
        <v>2</v>
      </c>
      <c r="CJ617">
        <v>1</v>
      </c>
      <c r="CK617">
        <v>21</v>
      </c>
      <c r="CL617" t="s">
        <v>90</v>
      </c>
    </row>
    <row r="618" spans="1:90" x14ac:dyDescent="0.3">
      <c r="A618" t="s">
        <v>72</v>
      </c>
      <c r="B618" t="s">
        <v>73</v>
      </c>
      <c r="C618" t="s">
        <v>74</v>
      </c>
      <c r="E618" t="str">
        <f>"080065786223"</f>
        <v>080065786223</v>
      </c>
      <c r="F618" s="3">
        <v>45813</v>
      </c>
      <c r="G618">
        <v>202603</v>
      </c>
      <c r="H618" t="s">
        <v>75</v>
      </c>
      <c r="I618" t="s">
        <v>76</v>
      </c>
      <c r="J618" t="s">
        <v>77</v>
      </c>
      <c r="K618" t="s">
        <v>78</v>
      </c>
      <c r="L618" t="s">
        <v>375</v>
      </c>
      <c r="M618" t="s">
        <v>376</v>
      </c>
      <c r="N618" t="s">
        <v>1109</v>
      </c>
      <c r="O618" t="s">
        <v>82</v>
      </c>
      <c r="P618" t="str">
        <f>"4170042449                    "</f>
        <v xml:space="preserve">4170042449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16.32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1</v>
      </c>
      <c r="BJ618">
        <v>0.2</v>
      </c>
      <c r="BK618">
        <v>1</v>
      </c>
      <c r="BL618">
        <v>54.28</v>
      </c>
      <c r="BM618">
        <v>8.14</v>
      </c>
      <c r="BN618">
        <v>62.42</v>
      </c>
      <c r="BO618">
        <v>62.42</v>
      </c>
      <c r="BQ618" t="s">
        <v>1110</v>
      </c>
      <c r="BR618" t="s">
        <v>84</v>
      </c>
      <c r="BS618" s="3">
        <v>45814</v>
      </c>
      <c r="BT618" s="4">
        <v>0.3611111111111111</v>
      </c>
      <c r="BU618" t="s">
        <v>1300</v>
      </c>
      <c r="BV618" t="s">
        <v>86</v>
      </c>
      <c r="BY618">
        <v>1200</v>
      </c>
      <c r="BZ618" t="s">
        <v>87</v>
      </c>
      <c r="CA618" t="s">
        <v>1301</v>
      </c>
      <c r="CC618" t="s">
        <v>376</v>
      </c>
      <c r="CD618">
        <v>1401</v>
      </c>
      <c r="CE618" t="s">
        <v>89</v>
      </c>
      <c r="CF618" s="3">
        <v>45814</v>
      </c>
      <c r="CI618">
        <v>1</v>
      </c>
      <c r="CJ618">
        <v>1</v>
      </c>
      <c r="CK618">
        <v>22</v>
      </c>
      <c r="CL618" t="s">
        <v>90</v>
      </c>
    </row>
    <row r="619" spans="1:90" x14ac:dyDescent="0.3">
      <c r="A619" t="s">
        <v>72</v>
      </c>
      <c r="B619" t="s">
        <v>73</v>
      </c>
      <c r="C619" t="s">
        <v>74</v>
      </c>
      <c r="E619" t="str">
        <f>"080065786278"</f>
        <v>080065786278</v>
      </c>
      <c r="F619" s="3">
        <v>45813</v>
      </c>
      <c r="G619">
        <v>202603</v>
      </c>
      <c r="H619" t="s">
        <v>75</v>
      </c>
      <c r="I619" t="s">
        <v>76</v>
      </c>
      <c r="J619" t="s">
        <v>77</v>
      </c>
      <c r="K619" t="s">
        <v>78</v>
      </c>
      <c r="L619" t="s">
        <v>159</v>
      </c>
      <c r="M619" t="s">
        <v>160</v>
      </c>
      <c r="N619" t="s">
        <v>1302</v>
      </c>
      <c r="O619" t="s">
        <v>82</v>
      </c>
      <c r="P619" t="str">
        <f>"4170042431                    "</f>
        <v xml:space="preserve">4170042431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16.32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1</v>
      </c>
      <c r="BJ619">
        <v>0.2</v>
      </c>
      <c r="BK619">
        <v>1</v>
      </c>
      <c r="BL619">
        <v>54.28</v>
      </c>
      <c r="BM619">
        <v>8.14</v>
      </c>
      <c r="BN619">
        <v>62.42</v>
      </c>
      <c r="BO619">
        <v>62.42</v>
      </c>
      <c r="BQ619" t="s">
        <v>1303</v>
      </c>
      <c r="BR619" t="s">
        <v>84</v>
      </c>
      <c r="BS619" s="3">
        <v>45814</v>
      </c>
      <c r="BT619" s="4">
        <v>0.38333333333333336</v>
      </c>
      <c r="BU619" t="s">
        <v>1304</v>
      </c>
      <c r="BV619" t="s">
        <v>86</v>
      </c>
      <c r="BY619">
        <v>1200</v>
      </c>
      <c r="BZ619" t="s">
        <v>87</v>
      </c>
      <c r="CA619" t="s">
        <v>1305</v>
      </c>
      <c r="CC619" t="s">
        <v>160</v>
      </c>
      <c r="CD619">
        <v>2040</v>
      </c>
      <c r="CE619" t="s">
        <v>89</v>
      </c>
      <c r="CF619" s="3">
        <v>45814</v>
      </c>
      <c r="CI619">
        <v>1</v>
      </c>
      <c r="CJ619">
        <v>1</v>
      </c>
      <c r="CK619">
        <v>22</v>
      </c>
      <c r="CL619" t="s">
        <v>90</v>
      </c>
    </row>
    <row r="620" spans="1:90" x14ac:dyDescent="0.3">
      <c r="A620" t="s">
        <v>72</v>
      </c>
      <c r="B620" t="s">
        <v>73</v>
      </c>
      <c r="C620" t="s">
        <v>74</v>
      </c>
      <c r="E620" t="str">
        <f>"080065786505"</f>
        <v>080065786505</v>
      </c>
      <c r="F620" s="3">
        <v>45813</v>
      </c>
      <c r="G620">
        <v>202603</v>
      </c>
      <c r="H620" t="s">
        <v>75</v>
      </c>
      <c r="I620" t="s">
        <v>76</v>
      </c>
      <c r="J620" t="s">
        <v>77</v>
      </c>
      <c r="K620" t="s">
        <v>78</v>
      </c>
      <c r="L620" t="s">
        <v>504</v>
      </c>
      <c r="M620" t="s">
        <v>505</v>
      </c>
      <c r="N620" t="s">
        <v>506</v>
      </c>
      <c r="O620" t="s">
        <v>82</v>
      </c>
      <c r="P620" t="str">
        <f>"4170042492                    "</f>
        <v xml:space="preserve">4170042492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40.49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2</v>
      </c>
      <c r="BJ620">
        <v>1.7</v>
      </c>
      <c r="BK620">
        <v>2</v>
      </c>
      <c r="BL620">
        <v>134.65</v>
      </c>
      <c r="BM620">
        <v>20.2</v>
      </c>
      <c r="BN620">
        <v>154.85</v>
      </c>
      <c r="BO620">
        <v>154.85</v>
      </c>
      <c r="BQ620" t="s">
        <v>507</v>
      </c>
      <c r="BR620" t="s">
        <v>84</v>
      </c>
      <c r="BS620" s="3">
        <v>45814</v>
      </c>
      <c r="BT620" s="4">
        <v>0.31944444444444442</v>
      </c>
      <c r="BU620" t="s">
        <v>508</v>
      </c>
      <c r="BV620" t="s">
        <v>86</v>
      </c>
      <c r="BY620">
        <v>8512</v>
      </c>
      <c r="BZ620" t="s">
        <v>87</v>
      </c>
      <c r="CC620" t="s">
        <v>505</v>
      </c>
      <c r="CD620">
        <v>2740</v>
      </c>
      <c r="CE620" t="s">
        <v>1306</v>
      </c>
      <c r="CF620" s="3">
        <v>45817</v>
      </c>
      <c r="CI620">
        <v>1</v>
      </c>
      <c r="CJ620">
        <v>1</v>
      </c>
      <c r="CK620">
        <v>23</v>
      </c>
      <c r="CL620" t="s">
        <v>90</v>
      </c>
    </row>
    <row r="621" spans="1:90" x14ac:dyDescent="0.3">
      <c r="A621" t="s">
        <v>72</v>
      </c>
      <c r="B621" t="s">
        <v>73</v>
      </c>
      <c r="C621" t="s">
        <v>74</v>
      </c>
      <c r="E621" t="str">
        <f>"080065786515"</f>
        <v>080065786515</v>
      </c>
      <c r="F621" s="3">
        <v>45813</v>
      </c>
      <c r="G621">
        <v>202603</v>
      </c>
      <c r="H621" t="s">
        <v>75</v>
      </c>
      <c r="I621" t="s">
        <v>76</v>
      </c>
      <c r="J621" t="s">
        <v>77</v>
      </c>
      <c r="K621" t="s">
        <v>78</v>
      </c>
      <c r="L621" t="s">
        <v>91</v>
      </c>
      <c r="M621" t="s">
        <v>92</v>
      </c>
      <c r="N621" t="s">
        <v>763</v>
      </c>
      <c r="O621" t="s">
        <v>82</v>
      </c>
      <c r="P621" t="str">
        <f>"4170042460                    "</f>
        <v xml:space="preserve">4170042460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20.9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1</v>
      </c>
      <c r="BJ621">
        <v>0.2</v>
      </c>
      <c r="BK621">
        <v>1</v>
      </c>
      <c r="BL621">
        <v>69.5</v>
      </c>
      <c r="BM621">
        <v>10.43</v>
      </c>
      <c r="BN621">
        <v>79.930000000000007</v>
      </c>
      <c r="BO621">
        <v>79.930000000000007</v>
      </c>
      <c r="BQ621" t="s">
        <v>764</v>
      </c>
      <c r="BR621" t="s">
        <v>84</v>
      </c>
      <c r="BS621" s="3">
        <v>45814</v>
      </c>
      <c r="BT621" s="4">
        <v>0.45</v>
      </c>
      <c r="BU621" t="s">
        <v>765</v>
      </c>
      <c r="BV621" t="s">
        <v>90</v>
      </c>
      <c r="BW621" t="s">
        <v>144</v>
      </c>
      <c r="BX621" t="s">
        <v>344</v>
      </c>
      <c r="BY621">
        <v>1200</v>
      </c>
      <c r="BZ621" t="s">
        <v>87</v>
      </c>
      <c r="CA621" t="s">
        <v>767</v>
      </c>
      <c r="CC621" t="s">
        <v>92</v>
      </c>
      <c r="CD621">
        <v>7550</v>
      </c>
      <c r="CE621" t="s">
        <v>89</v>
      </c>
      <c r="CF621" s="3">
        <v>45817</v>
      </c>
      <c r="CI621">
        <v>1</v>
      </c>
      <c r="CJ621">
        <v>1</v>
      </c>
      <c r="CK621">
        <v>21</v>
      </c>
      <c r="CL621" t="s">
        <v>90</v>
      </c>
    </row>
    <row r="622" spans="1:90" x14ac:dyDescent="0.3">
      <c r="A622" t="s">
        <v>72</v>
      </c>
      <c r="B622" t="s">
        <v>73</v>
      </c>
      <c r="C622" t="s">
        <v>74</v>
      </c>
      <c r="E622" t="str">
        <f>"080065786534"</f>
        <v>080065786534</v>
      </c>
      <c r="F622" s="3">
        <v>45813</v>
      </c>
      <c r="G622">
        <v>202603</v>
      </c>
      <c r="H622" t="s">
        <v>75</v>
      </c>
      <c r="I622" t="s">
        <v>76</v>
      </c>
      <c r="J622" t="s">
        <v>77</v>
      </c>
      <c r="K622" t="s">
        <v>78</v>
      </c>
      <c r="L622" t="s">
        <v>91</v>
      </c>
      <c r="M622" t="s">
        <v>92</v>
      </c>
      <c r="N622" t="s">
        <v>763</v>
      </c>
      <c r="O622" t="s">
        <v>82</v>
      </c>
      <c r="P622" t="str">
        <f>"4170042461                    "</f>
        <v xml:space="preserve">4170042461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20.9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1</v>
      </c>
      <c r="BJ622">
        <v>0.2</v>
      </c>
      <c r="BK622">
        <v>1</v>
      </c>
      <c r="BL622">
        <v>69.5</v>
      </c>
      <c r="BM622">
        <v>10.43</v>
      </c>
      <c r="BN622">
        <v>79.930000000000007</v>
      </c>
      <c r="BO622">
        <v>79.930000000000007</v>
      </c>
      <c r="BQ622" t="s">
        <v>764</v>
      </c>
      <c r="BR622" t="s">
        <v>84</v>
      </c>
      <c r="BS622" s="3">
        <v>45814</v>
      </c>
      <c r="BT622" s="4">
        <v>0.45</v>
      </c>
      <c r="BU622" t="s">
        <v>765</v>
      </c>
      <c r="BV622" t="s">
        <v>90</v>
      </c>
      <c r="BW622" t="s">
        <v>144</v>
      </c>
      <c r="BX622" t="s">
        <v>344</v>
      </c>
      <c r="BY622">
        <v>1200</v>
      </c>
      <c r="BZ622" t="s">
        <v>87</v>
      </c>
      <c r="CA622" t="s">
        <v>767</v>
      </c>
      <c r="CC622" t="s">
        <v>92</v>
      </c>
      <c r="CD622">
        <v>7550</v>
      </c>
      <c r="CE622" t="s">
        <v>89</v>
      </c>
      <c r="CF622" s="3">
        <v>45817</v>
      </c>
      <c r="CI622">
        <v>1</v>
      </c>
      <c r="CJ622">
        <v>1</v>
      </c>
      <c r="CK622">
        <v>21</v>
      </c>
      <c r="CL622" t="s">
        <v>90</v>
      </c>
    </row>
    <row r="623" spans="1:90" x14ac:dyDescent="0.3">
      <c r="A623" t="s">
        <v>72</v>
      </c>
      <c r="B623" t="s">
        <v>73</v>
      </c>
      <c r="C623" t="s">
        <v>74</v>
      </c>
      <c r="E623" t="str">
        <f>"080065786544"</f>
        <v>080065786544</v>
      </c>
      <c r="F623" s="3">
        <v>45813</v>
      </c>
      <c r="G623">
        <v>202603</v>
      </c>
      <c r="H623" t="s">
        <v>75</v>
      </c>
      <c r="I623" t="s">
        <v>76</v>
      </c>
      <c r="J623" t="s">
        <v>77</v>
      </c>
      <c r="K623" t="s">
        <v>78</v>
      </c>
      <c r="L623" t="s">
        <v>159</v>
      </c>
      <c r="M623" t="s">
        <v>160</v>
      </c>
      <c r="N623" t="s">
        <v>230</v>
      </c>
      <c r="O623" t="s">
        <v>82</v>
      </c>
      <c r="P623" t="str">
        <f>"4170042468                    "</f>
        <v xml:space="preserve">4170042468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16.32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2</v>
      </c>
      <c r="BJ623">
        <v>1.7</v>
      </c>
      <c r="BK623">
        <v>2</v>
      </c>
      <c r="BL623">
        <v>54.28</v>
      </c>
      <c r="BM623">
        <v>8.14</v>
      </c>
      <c r="BN623">
        <v>62.42</v>
      </c>
      <c r="BO623">
        <v>62.42</v>
      </c>
      <c r="BQ623" t="s">
        <v>231</v>
      </c>
      <c r="BR623" t="s">
        <v>84</v>
      </c>
      <c r="BS623" s="3">
        <v>45814</v>
      </c>
      <c r="BT623" s="4">
        <v>0.41666666666666669</v>
      </c>
      <c r="BU623" t="s">
        <v>1307</v>
      </c>
      <c r="BV623" t="s">
        <v>86</v>
      </c>
      <c r="BY623">
        <v>8512</v>
      </c>
      <c r="BZ623" t="s">
        <v>87</v>
      </c>
      <c r="CA623" t="s">
        <v>1251</v>
      </c>
      <c r="CC623" t="s">
        <v>160</v>
      </c>
      <c r="CD623">
        <v>2094</v>
      </c>
      <c r="CE623" t="s">
        <v>99</v>
      </c>
      <c r="CF623" s="3">
        <v>45814</v>
      </c>
      <c r="CI623">
        <v>1</v>
      </c>
      <c r="CJ623">
        <v>1</v>
      </c>
      <c r="CK623">
        <v>22</v>
      </c>
      <c r="CL623" t="s">
        <v>90</v>
      </c>
    </row>
    <row r="624" spans="1:90" x14ac:dyDescent="0.3">
      <c r="A624" t="s">
        <v>72</v>
      </c>
      <c r="B624" t="s">
        <v>73</v>
      </c>
      <c r="C624" t="s">
        <v>74</v>
      </c>
      <c r="E624" t="str">
        <f>"080065786559"</f>
        <v>080065786559</v>
      </c>
      <c r="F624" s="3">
        <v>45813</v>
      </c>
      <c r="G624">
        <v>202603</v>
      </c>
      <c r="H624" t="s">
        <v>75</v>
      </c>
      <c r="I624" t="s">
        <v>76</v>
      </c>
      <c r="J624" t="s">
        <v>77</v>
      </c>
      <c r="K624" t="s">
        <v>78</v>
      </c>
      <c r="L624" t="s">
        <v>75</v>
      </c>
      <c r="M624" t="s">
        <v>76</v>
      </c>
      <c r="N624" t="s">
        <v>1308</v>
      </c>
      <c r="O624" t="s">
        <v>82</v>
      </c>
      <c r="P624" t="str">
        <f>"4170042471                    "</f>
        <v xml:space="preserve">4170042471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16.32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1</v>
      </c>
      <c r="BJ624">
        <v>0.2</v>
      </c>
      <c r="BK624">
        <v>1</v>
      </c>
      <c r="BL624">
        <v>54.28</v>
      </c>
      <c r="BM624">
        <v>8.14</v>
      </c>
      <c r="BN624">
        <v>62.42</v>
      </c>
      <c r="BO624">
        <v>62.42</v>
      </c>
      <c r="BQ624" t="s">
        <v>1309</v>
      </c>
      <c r="BR624" t="s">
        <v>84</v>
      </c>
      <c r="BS624" s="3">
        <v>45814</v>
      </c>
      <c r="BT624" s="4">
        <v>0.38472222222222224</v>
      </c>
      <c r="BU624" t="s">
        <v>243</v>
      </c>
      <c r="BV624" t="s">
        <v>86</v>
      </c>
      <c r="BY624">
        <v>1200</v>
      </c>
      <c r="BZ624" t="s">
        <v>87</v>
      </c>
      <c r="CA624" t="s">
        <v>1052</v>
      </c>
      <c r="CC624" t="s">
        <v>76</v>
      </c>
      <c r="CD624">
        <v>1665</v>
      </c>
      <c r="CE624" t="s">
        <v>89</v>
      </c>
      <c r="CF624" s="3">
        <v>45814</v>
      </c>
      <c r="CI624">
        <v>1</v>
      </c>
      <c r="CJ624">
        <v>1</v>
      </c>
      <c r="CK624">
        <v>22</v>
      </c>
      <c r="CL624" t="s">
        <v>90</v>
      </c>
    </row>
    <row r="625" spans="1:90" x14ac:dyDescent="0.3">
      <c r="A625" t="s">
        <v>72</v>
      </c>
      <c r="B625" t="s">
        <v>73</v>
      </c>
      <c r="C625" t="s">
        <v>74</v>
      </c>
      <c r="E625" t="str">
        <f>"080065786575"</f>
        <v>080065786575</v>
      </c>
      <c r="F625" s="3">
        <v>45813</v>
      </c>
      <c r="G625">
        <v>202603</v>
      </c>
      <c r="H625" t="s">
        <v>75</v>
      </c>
      <c r="I625" t="s">
        <v>76</v>
      </c>
      <c r="J625" t="s">
        <v>77</v>
      </c>
      <c r="K625" t="s">
        <v>78</v>
      </c>
      <c r="L625" t="s">
        <v>331</v>
      </c>
      <c r="M625" t="s">
        <v>332</v>
      </c>
      <c r="N625" t="s">
        <v>333</v>
      </c>
      <c r="O625" t="s">
        <v>82</v>
      </c>
      <c r="P625" t="str">
        <f>"4170042355                    "</f>
        <v xml:space="preserve">4170042355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20.9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2</v>
      </c>
      <c r="BJ625">
        <v>1.7</v>
      </c>
      <c r="BK625">
        <v>2</v>
      </c>
      <c r="BL625">
        <v>69.5</v>
      </c>
      <c r="BM625">
        <v>10.43</v>
      </c>
      <c r="BN625">
        <v>79.930000000000007</v>
      </c>
      <c r="BO625">
        <v>79.930000000000007</v>
      </c>
      <c r="BQ625" t="s">
        <v>334</v>
      </c>
      <c r="BR625" t="s">
        <v>84</v>
      </c>
      <c r="BS625" s="3">
        <v>45814</v>
      </c>
      <c r="BT625" s="4">
        <v>0.34166666666666667</v>
      </c>
      <c r="BU625" t="s">
        <v>1136</v>
      </c>
      <c r="BV625" t="s">
        <v>86</v>
      </c>
      <c r="BY625">
        <v>8512</v>
      </c>
      <c r="BZ625" t="s">
        <v>87</v>
      </c>
      <c r="CA625" t="s">
        <v>1061</v>
      </c>
      <c r="CC625" t="s">
        <v>332</v>
      </c>
      <c r="CD625">
        <v>4051</v>
      </c>
      <c r="CE625" t="s">
        <v>99</v>
      </c>
      <c r="CF625" s="3">
        <v>45814</v>
      </c>
      <c r="CI625">
        <v>1</v>
      </c>
      <c r="CJ625">
        <v>1</v>
      </c>
      <c r="CK625">
        <v>21</v>
      </c>
      <c r="CL625" t="s">
        <v>90</v>
      </c>
    </row>
    <row r="626" spans="1:90" x14ac:dyDescent="0.3">
      <c r="A626" t="s">
        <v>72</v>
      </c>
      <c r="B626" t="s">
        <v>73</v>
      </c>
      <c r="C626" t="s">
        <v>74</v>
      </c>
      <c r="E626" t="str">
        <f>"080065786581"</f>
        <v>080065786581</v>
      </c>
      <c r="F626" s="3">
        <v>45813</v>
      </c>
      <c r="G626">
        <v>202603</v>
      </c>
      <c r="H626" t="s">
        <v>75</v>
      </c>
      <c r="I626" t="s">
        <v>76</v>
      </c>
      <c r="J626" t="s">
        <v>77</v>
      </c>
      <c r="K626" t="s">
        <v>78</v>
      </c>
      <c r="L626" t="s">
        <v>91</v>
      </c>
      <c r="M626" t="s">
        <v>92</v>
      </c>
      <c r="N626" t="s">
        <v>763</v>
      </c>
      <c r="O626" t="s">
        <v>82</v>
      </c>
      <c r="P626" t="str">
        <f>"4170042462                    "</f>
        <v xml:space="preserve">4170042462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20.9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1</v>
      </c>
      <c r="BJ626">
        <v>0.2</v>
      </c>
      <c r="BK626">
        <v>1</v>
      </c>
      <c r="BL626">
        <v>69.5</v>
      </c>
      <c r="BM626">
        <v>10.43</v>
      </c>
      <c r="BN626">
        <v>79.930000000000007</v>
      </c>
      <c r="BO626">
        <v>79.930000000000007</v>
      </c>
      <c r="BQ626" t="s">
        <v>764</v>
      </c>
      <c r="BR626" t="s">
        <v>84</v>
      </c>
      <c r="BS626" s="3">
        <v>45814</v>
      </c>
      <c r="BT626" s="4">
        <v>0.45</v>
      </c>
      <c r="BU626" t="s">
        <v>765</v>
      </c>
      <c r="BV626" t="s">
        <v>90</v>
      </c>
      <c r="BW626" t="s">
        <v>144</v>
      </c>
      <c r="BX626" t="s">
        <v>344</v>
      </c>
      <c r="BY626">
        <v>1200</v>
      </c>
      <c r="BZ626" t="s">
        <v>87</v>
      </c>
      <c r="CA626" t="s">
        <v>767</v>
      </c>
      <c r="CC626" t="s">
        <v>92</v>
      </c>
      <c r="CD626">
        <v>7550</v>
      </c>
      <c r="CE626" t="s">
        <v>89</v>
      </c>
      <c r="CF626" s="3">
        <v>45817</v>
      </c>
      <c r="CI626">
        <v>1</v>
      </c>
      <c r="CJ626">
        <v>1</v>
      </c>
      <c r="CK626">
        <v>21</v>
      </c>
      <c r="CL626" t="s">
        <v>90</v>
      </c>
    </row>
    <row r="627" spans="1:90" x14ac:dyDescent="0.3">
      <c r="A627" t="s">
        <v>72</v>
      </c>
      <c r="B627" t="s">
        <v>73</v>
      </c>
      <c r="C627" t="s">
        <v>74</v>
      </c>
      <c r="E627" t="str">
        <f>"080065786626"</f>
        <v>080065786626</v>
      </c>
      <c r="F627" s="3">
        <v>45813</v>
      </c>
      <c r="G627">
        <v>202603</v>
      </c>
      <c r="H627" t="s">
        <v>75</v>
      </c>
      <c r="I627" t="s">
        <v>76</v>
      </c>
      <c r="J627" t="s">
        <v>77</v>
      </c>
      <c r="K627" t="s">
        <v>78</v>
      </c>
      <c r="L627" t="s">
        <v>413</v>
      </c>
      <c r="M627" t="s">
        <v>414</v>
      </c>
      <c r="N627" t="s">
        <v>236</v>
      </c>
      <c r="O627" t="s">
        <v>82</v>
      </c>
      <c r="P627" t="str">
        <f>"4170042309                    "</f>
        <v xml:space="preserve">4170042309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20.9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1</v>
      </c>
      <c r="BI627">
        <v>1</v>
      </c>
      <c r="BJ627">
        <v>0.2</v>
      </c>
      <c r="BK627">
        <v>1</v>
      </c>
      <c r="BL627">
        <v>69.5</v>
      </c>
      <c r="BM627">
        <v>10.43</v>
      </c>
      <c r="BN627">
        <v>79.930000000000007</v>
      </c>
      <c r="BO627">
        <v>79.930000000000007</v>
      </c>
      <c r="BQ627" t="s">
        <v>237</v>
      </c>
      <c r="BR627" t="s">
        <v>84</v>
      </c>
      <c r="BS627" s="3">
        <v>45814</v>
      </c>
      <c r="BT627" s="4">
        <v>0.53333333333333333</v>
      </c>
      <c r="BU627" t="s">
        <v>415</v>
      </c>
      <c r="BV627" t="s">
        <v>90</v>
      </c>
      <c r="BW627" t="s">
        <v>212</v>
      </c>
      <c r="BX627" t="s">
        <v>213</v>
      </c>
      <c r="BY627">
        <v>1200</v>
      </c>
      <c r="BZ627" t="s">
        <v>87</v>
      </c>
      <c r="CA627" t="s">
        <v>418</v>
      </c>
      <c r="CC627" t="s">
        <v>414</v>
      </c>
      <c r="CD627">
        <v>4133</v>
      </c>
      <c r="CE627" t="s">
        <v>89</v>
      </c>
      <c r="CF627" s="3">
        <v>45814</v>
      </c>
      <c r="CI627">
        <v>1</v>
      </c>
      <c r="CJ627">
        <v>1</v>
      </c>
      <c r="CK627">
        <v>21</v>
      </c>
      <c r="CL627" t="s">
        <v>90</v>
      </c>
    </row>
    <row r="628" spans="1:90" x14ac:dyDescent="0.3">
      <c r="A628" t="s">
        <v>72</v>
      </c>
      <c r="B628" t="s">
        <v>73</v>
      </c>
      <c r="C628" t="s">
        <v>74</v>
      </c>
      <c r="E628" t="str">
        <f>"080065786670"</f>
        <v>080065786670</v>
      </c>
      <c r="F628" s="3">
        <v>45813</v>
      </c>
      <c r="G628">
        <v>202603</v>
      </c>
      <c r="H628" t="s">
        <v>75</v>
      </c>
      <c r="I628" t="s">
        <v>76</v>
      </c>
      <c r="J628" t="s">
        <v>77</v>
      </c>
      <c r="K628" t="s">
        <v>78</v>
      </c>
      <c r="L628" t="s">
        <v>251</v>
      </c>
      <c r="M628" t="s">
        <v>252</v>
      </c>
      <c r="N628" t="s">
        <v>567</v>
      </c>
      <c r="O628" t="s">
        <v>82</v>
      </c>
      <c r="P628" t="str">
        <f>"4170042335                    "</f>
        <v xml:space="preserve">4170042335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20.9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1</v>
      </c>
      <c r="BI628">
        <v>1</v>
      </c>
      <c r="BJ628">
        <v>0.2</v>
      </c>
      <c r="BK628">
        <v>1</v>
      </c>
      <c r="BL628">
        <v>69.5</v>
      </c>
      <c r="BM628">
        <v>10.43</v>
      </c>
      <c r="BN628">
        <v>79.930000000000007</v>
      </c>
      <c r="BO628">
        <v>79.930000000000007</v>
      </c>
      <c r="BQ628" t="s">
        <v>568</v>
      </c>
      <c r="BR628" t="s">
        <v>84</v>
      </c>
      <c r="BS628" s="3">
        <v>45814</v>
      </c>
      <c r="BT628" s="4">
        <v>0.3888888888888889</v>
      </c>
      <c r="BU628" t="s">
        <v>569</v>
      </c>
      <c r="BV628" t="s">
        <v>86</v>
      </c>
      <c r="BY628">
        <v>1200</v>
      </c>
      <c r="BZ628" t="s">
        <v>87</v>
      </c>
      <c r="CA628" t="s">
        <v>570</v>
      </c>
      <c r="CC628" t="s">
        <v>252</v>
      </c>
      <c r="CD628">
        <v>4302</v>
      </c>
      <c r="CE628" t="s">
        <v>89</v>
      </c>
      <c r="CF628" s="3">
        <v>45814</v>
      </c>
      <c r="CI628">
        <v>1</v>
      </c>
      <c r="CJ628">
        <v>1</v>
      </c>
      <c r="CK628">
        <v>21</v>
      </c>
      <c r="CL628" t="s">
        <v>90</v>
      </c>
    </row>
    <row r="629" spans="1:90" x14ac:dyDescent="0.3">
      <c r="A629" t="s">
        <v>72</v>
      </c>
      <c r="B629" t="s">
        <v>73</v>
      </c>
      <c r="C629" t="s">
        <v>74</v>
      </c>
      <c r="E629" t="str">
        <f>"080065786847"</f>
        <v>080065786847</v>
      </c>
      <c r="F629" s="3">
        <v>45813</v>
      </c>
      <c r="G629">
        <v>202603</v>
      </c>
      <c r="H629" t="s">
        <v>75</v>
      </c>
      <c r="I629" t="s">
        <v>76</v>
      </c>
      <c r="J629" t="s">
        <v>77</v>
      </c>
      <c r="K629" t="s">
        <v>78</v>
      </c>
      <c r="L629" t="s">
        <v>159</v>
      </c>
      <c r="M629" t="s">
        <v>160</v>
      </c>
      <c r="N629" t="s">
        <v>409</v>
      </c>
      <c r="O629" t="s">
        <v>82</v>
      </c>
      <c r="P629" t="str">
        <f>"4170042273                    "</f>
        <v xml:space="preserve">4170042273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16.32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</v>
      </c>
      <c r="BI629">
        <v>2</v>
      </c>
      <c r="BJ629">
        <v>3.5</v>
      </c>
      <c r="BK629">
        <v>4</v>
      </c>
      <c r="BL629">
        <v>54.28</v>
      </c>
      <c r="BM629">
        <v>8.14</v>
      </c>
      <c r="BN629">
        <v>62.42</v>
      </c>
      <c r="BO629">
        <v>62.42</v>
      </c>
      <c r="BQ629" t="s">
        <v>410</v>
      </c>
      <c r="BR629" t="s">
        <v>84</v>
      </c>
      <c r="BS629" s="3">
        <v>45814</v>
      </c>
      <c r="BT629" s="4">
        <v>0.38263888888888886</v>
      </c>
      <c r="BU629" t="s">
        <v>967</v>
      </c>
      <c r="BV629" t="s">
        <v>86</v>
      </c>
      <c r="BY629">
        <v>17556</v>
      </c>
      <c r="BZ629" t="s">
        <v>87</v>
      </c>
      <c r="CA629" t="s">
        <v>444</v>
      </c>
      <c r="CC629" t="s">
        <v>160</v>
      </c>
      <c r="CD629">
        <v>2091</v>
      </c>
      <c r="CE629" t="s">
        <v>166</v>
      </c>
      <c r="CF629" s="3">
        <v>45815</v>
      </c>
      <c r="CI629">
        <v>1</v>
      </c>
      <c r="CJ629">
        <v>1</v>
      </c>
      <c r="CK629">
        <v>22</v>
      </c>
      <c r="CL629" t="s">
        <v>90</v>
      </c>
    </row>
    <row r="630" spans="1:90" x14ac:dyDescent="0.3">
      <c r="A630" t="s">
        <v>72</v>
      </c>
      <c r="B630" t="s">
        <v>73</v>
      </c>
      <c r="C630" t="s">
        <v>74</v>
      </c>
      <c r="E630" t="str">
        <f>"080065786904"</f>
        <v>080065786904</v>
      </c>
      <c r="F630" s="3">
        <v>45813</v>
      </c>
      <c r="G630">
        <v>202603</v>
      </c>
      <c r="H630" t="s">
        <v>75</v>
      </c>
      <c r="I630" t="s">
        <v>76</v>
      </c>
      <c r="J630" t="s">
        <v>77</v>
      </c>
      <c r="K630" t="s">
        <v>78</v>
      </c>
      <c r="L630" t="s">
        <v>75</v>
      </c>
      <c r="M630" t="s">
        <v>76</v>
      </c>
      <c r="N630" t="s">
        <v>275</v>
      </c>
      <c r="O630" t="s">
        <v>82</v>
      </c>
      <c r="P630" t="str">
        <f>"4170042371                    "</f>
        <v xml:space="preserve">4170042371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16.32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1</v>
      </c>
      <c r="BI630">
        <v>2</v>
      </c>
      <c r="BJ630">
        <v>1.4</v>
      </c>
      <c r="BK630">
        <v>2</v>
      </c>
      <c r="BL630">
        <v>54.28</v>
      </c>
      <c r="BM630">
        <v>8.14</v>
      </c>
      <c r="BN630">
        <v>62.42</v>
      </c>
      <c r="BO630">
        <v>62.42</v>
      </c>
      <c r="BQ630" t="s">
        <v>277</v>
      </c>
      <c r="BR630" t="s">
        <v>84</v>
      </c>
      <c r="BS630" s="3">
        <v>45817</v>
      </c>
      <c r="BT630" s="4">
        <v>0.40902777777777777</v>
      </c>
      <c r="BU630" t="s">
        <v>532</v>
      </c>
      <c r="BV630" t="s">
        <v>90</v>
      </c>
      <c r="BW630" t="s">
        <v>144</v>
      </c>
      <c r="BX630" t="s">
        <v>1310</v>
      </c>
      <c r="BY630">
        <v>7000</v>
      </c>
      <c r="BZ630" t="s">
        <v>87</v>
      </c>
      <c r="CA630" t="s">
        <v>279</v>
      </c>
      <c r="CC630" t="s">
        <v>76</v>
      </c>
      <c r="CD630">
        <v>1614</v>
      </c>
      <c r="CE630" t="s">
        <v>99</v>
      </c>
      <c r="CF630" s="3">
        <v>45817</v>
      </c>
      <c r="CI630">
        <v>1</v>
      </c>
      <c r="CJ630">
        <v>2</v>
      </c>
      <c r="CK630">
        <v>22</v>
      </c>
      <c r="CL630" t="s">
        <v>90</v>
      </c>
    </row>
    <row r="631" spans="1:90" x14ac:dyDescent="0.3">
      <c r="A631" t="s">
        <v>72</v>
      </c>
      <c r="B631" t="s">
        <v>73</v>
      </c>
      <c r="C631" t="s">
        <v>74</v>
      </c>
      <c r="E631" t="str">
        <f>"080065786953"</f>
        <v>080065786953</v>
      </c>
      <c r="F631" s="3">
        <v>45813</v>
      </c>
      <c r="G631">
        <v>202603</v>
      </c>
      <c r="H631" t="s">
        <v>75</v>
      </c>
      <c r="I631" t="s">
        <v>76</v>
      </c>
      <c r="J631" t="s">
        <v>77</v>
      </c>
      <c r="K631" t="s">
        <v>78</v>
      </c>
      <c r="L631" t="s">
        <v>1230</v>
      </c>
      <c r="M631" t="s">
        <v>1231</v>
      </c>
      <c r="N631" t="s">
        <v>1232</v>
      </c>
      <c r="O631" t="s">
        <v>82</v>
      </c>
      <c r="P631" t="str">
        <f>"4170042367                    "</f>
        <v xml:space="preserve">4170042367       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40.49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1</v>
      </c>
      <c r="BJ631">
        <v>0.6</v>
      </c>
      <c r="BK631">
        <v>1</v>
      </c>
      <c r="BL631">
        <v>134.65</v>
      </c>
      <c r="BM631">
        <v>20.2</v>
      </c>
      <c r="BN631">
        <v>154.85</v>
      </c>
      <c r="BO631">
        <v>154.85</v>
      </c>
      <c r="BQ631" t="s">
        <v>1233</v>
      </c>
      <c r="BR631" t="s">
        <v>84</v>
      </c>
      <c r="BS631" s="3">
        <v>45814</v>
      </c>
      <c r="BT631" s="4">
        <v>0.67847222222222225</v>
      </c>
      <c r="BU631" t="s">
        <v>1234</v>
      </c>
      <c r="BV631" t="s">
        <v>86</v>
      </c>
      <c r="BY631">
        <v>3192</v>
      </c>
      <c r="BZ631" t="s">
        <v>87</v>
      </c>
      <c r="CA631" t="s">
        <v>1235</v>
      </c>
      <c r="CC631" t="s">
        <v>1231</v>
      </c>
      <c r="CD631">
        <v>9880</v>
      </c>
      <c r="CE631" t="s">
        <v>180</v>
      </c>
      <c r="CF631" s="3">
        <v>45814</v>
      </c>
      <c r="CI631">
        <v>1</v>
      </c>
      <c r="CJ631">
        <v>1</v>
      </c>
      <c r="CK631">
        <v>23</v>
      </c>
      <c r="CL631" t="s">
        <v>90</v>
      </c>
    </row>
    <row r="632" spans="1:90" x14ac:dyDescent="0.3">
      <c r="A632" t="s">
        <v>72</v>
      </c>
      <c r="B632" t="s">
        <v>73</v>
      </c>
      <c r="C632" t="s">
        <v>74</v>
      </c>
      <c r="E632" t="str">
        <f>"080065786978"</f>
        <v>080065786978</v>
      </c>
      <c r="F632" s="3">
        <v>45813</v>
      </c>
      <c r="G632">
        <v>202603</v>
      </c>
      <c r="H632" t="s">
        <v>75</v>
      </c>
      <c r="I632" t="s">
        <v>76</v>
      </c>
      <c r="J632" t="s">
        <v>77</v>
      </c>
      <c r="K632" t="s">
        <v>78</v>
      </c>
      <c r="L632" t="s">
        <v>174</v>
      </c>
      <c r="M632" t="s">
        <v>175</v>
      </c>
      <c r="N632" t="s">
        <v>1311</v>
      </c>
      <c r="O632" t="s">
        <v>82</v>
      </c>
      <c r="P632" t="str">
        <f>"4170042346                    "</f>
        <v xml:space="preserve">4170042346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20.9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1</v>
      </c>
      <c r="BI632">
        <v>1</v>
      </c>
      <c r="BJ632">
        <v>1.1000000000000001</v>
      </c>
      <c r="BK632">
        <v>1.5</v>
      </c>
      <c r="BL632">
        <v>69.5</v>
      </c>
      <c r="BM632">
        <v>10.43</v>
      </c>
      <c r="BN632">
        <v>79.930000000000007</v>
      </c>
      <c r="BO632">
        <v>79.930000000000007</v>
      </c>
      <c r="BQ632" t="s">
        <v>1312</v>
      </c>
      <c r="BR632" t="s">
        <v>84</v>
      </c>
      <c r="BS632" s="3">
        <v>45814</v>
      </c>
      <c r="BT632" s="4">
        <v>0.38541666666666669</v>
      </c>
      <c r="BU632" t="s">
        <v>1313</v>
      </c>
      <c r="BV632" t="s">
        <v>86</v>
      </c>
      <c r="BY632">
        <v>5320</v>
      </c>
      <c r="BZ632" t="s">
        <v>87</v>
      </c>
      <c r="CA632" t="s">
        <v>359</v>
      </c>
      <c r="CC632" t="s">
        <v>175</v>
      </c>
      <c r="CD632">
        <v>3610</v>
      </c>
      <c r="CE632" t="s">
        <v>180</v>
      </c>
      <c r="CF632" s="3">
        <v>45814</v>
      </c>
      <c r="CI632">
        <v>1</v>
      </c>
      <c r="CJ632">
        <v>1</v>
      </c>
      <c r="CK632">
        <v>21</v>
      </c>
      <c r="CL632" t="s">
        <v>90</v>
      </c>
    </row>
    <row r="633" spans="1:90" x14ac:dyDescent="0.3">
      <c r="A633" t="s">
        <v>72</v>
      </c>
      <c r="B633" t="s">
        <v>73</v>
      </c>
      <c r="C633" t="s">
        <v>74</v>
      </c>
      <c r="E633" t="str">
        <f>"080065787007"</f>
        <v>080065787007</v>
      </c>
      <c r="F633" s="3">
        <v>45813</v>
      </c>
      <c r="G633">
        <v>202603</v>
      </c>
      <c r="H633" t="s">
        <v>75</v>
      </c>
      <c r="I633" t="s">
        <v>76</v>
      </c>
      <c r="J633" t="s">
        <v>77</v>
      </c>
      <c r="K633" t="s">
        <v>78</v>
      </c>
      <c r="L633" t="s">
        <v>266</v>
      </c>
      <c r="M633" t="s">
        <v>267</v>
      </c>
      <c r="N633" t="s">
        <v>946</v>
      </c>
      <c r="O633" t="s">
        <v>82</v>
      </c>
      <c r="P633" t="str">
        <f>"4170042427                    "</f>
        <v xml:space="preserve">4170042427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20.9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1</v>
      </c>
      <c r="BI633">
        <v>2</v>
      </c>
      <c r="BJ633">
        <v>1.7</v>
      </c>
      <c r="BK633">
        <v>2</v>
      </c>
      <c r="BL633">
        <v>69.5</v>
      </c>
      <c r="BM633">
        <v>10.43</v>
      </c>
      <c r="BN633">
        <v>79.930000000000007</v>
      </c>
      <c r="BO633">
        <v>79.930000000000007</v>
      </c>
      <c r="BQ633" t="s">
        <v>947</v>
      </c>
      <c r="BR633" t="s">
        <v>84</v>
      </c>
      <c r="BS633" s="3">
        <v>45814</v>
      </c>
      <c r="BT633" s="4">
        <v>0.38819444444444445</v>
      </c>
      <c r="BU633" t="s">
        <v>790</v>
      </c>
      <c r="BV633" t="s">
        <v>86</v>
      </c>
      <c r="BY633">
        <v>8512</v>
      </c>
      <c r="BZ633" t="s">
        <v>87</v>
      </c>
      <c r="CA633" t="s">
        <v>271</v>
      </c>
      <c r="CC633" t="s">
        <v>267</v>
      </c>
      <c r="CD633">
        <v>6229</v>
      </c>
      <c r="CE633" t="s">
        <v>99</v>
      </c>
      <c r="CF633" s="3">
        <v>45814</v>
      </c>
      <c r="CI633">
        <v>1</v>
      </c>
      <c r="CJ633">
        <v>1</v>
      </c>
      <c r="CK633">
        <v>21</v>
      </c>
      <c r="CL633" t="s">
        <v>90</v>
      </c>
    </row>
    <row r="634" spans="1:90" x14ac:dyDescent="0.3">
      <c r="A634" t="s">
        <v>72</v>
      </c>
      <c r="B634" t="s">
        <v>73</v>
      </c>
      <c r="C634" t="s">
        <v>74</v>
      </c>
      <c r="E634" t="str">
        <f>"080065787033"</f>
        <v>080065787033</v>
      </c>
      <c r="F634" s="3">
        <v>45813</v>
      </c>
      <c r="G634">
        <v>202603</v>
      </c>
      <c r="H634" t="s">
        <v>75</v>
      </c>
      <c r="I634" t="s">
        <v>76</v>
      </c>
      <c r="J634" t="s">
        <v>77</v>
      </c>
      <c r="K634" t="s">
        <v>78</v>
      </c>
      <c r="L634" t="s">
        <v>136</v>
      </c>
      <c r="M634" t="s">
        <v>137</v>
      </c>
      <c r="N634" t="s">
        <v>806</v>
      </c>
      <c r="O634" t="s">
        <v>82</v>
      </c>
      <c r="P634" t="str">
        <f>"4170042424                    "</f>
        <v xml:space="preserve">4170042424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20.9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1</v>
      </c>
      <c r="BI634">
        <v>1</v>
      </c>
      <c r="BJ634">
        <v>0.6</v>
      </c>
      <c r="BK634">
        <v>1</v>
      </c>
      <c r="BL634">
        <v>69.5</v>
      </c>
      <c r="BM634">
        <v>10.43</v>
      </c>
      <c r="BN634">
        <v>79.930000000000007</v>
      </c>
      <c r="BO634">
        <v>79.930000000000007</v>
      </c>
      <c r="BQ634" t="s">
        <v>807</v>
      </c>
      <c r="BR634" t="s">
        <v>84</v>
      </c>
      <c r="BS634" s="3">
        <v>45814</v>
      </c>
      <c r="BT634" s="4">
        <v>0.49583333333333335</v>
      </c>
      <c r="BU634" t="s">
        <v>1314</v>
      </c>
      <c r="BV634" t="s">
        <v>90</v>
      </c>
      <c r="BY634">
        <v>3192</v>
      </c>
      <c r="BZ634" t="s">
        <v>87</v>
      </c>
      <c r="CA634" t="s">
        <v>320</v>
      </c>
      <c r="CC634" t="s">
        <v>137</v>
      </c>
      <c r="CD634">
        <v>5201</v>
      </c>
      <c r="CE634" t="s">
        <v>180</v>
      </c>
      <c r="CF634" s="3">
        <v>45814</v>
      </c>
      <c r="CI634">
        <v>1</v>
      </c>
      <c r="CJ634">
        <v>1</v>
      </c>
      <c r="CK634">
        <v>21</v>
      </c>
      <c r="CL634" t="s">
        <v>90</v>
      </c>
    </row>
    <row r="635" spans="1:90" x14ac:dyDescent="0.3">
      <c r="A635" t="s">
        <v>72</v>
      </c>
      <c r="B635" t="s">
        <v>73</v>
      </c>
      <c r="C635" t="s">
        <v>74</v>
      </c>
      <c r="E635" t="str">
        <f>"080065787089"</f>
        <v>080065787089</v>
      </c>
      <c r="F635" s="3">
        <v>45813</v>
      </c>
      <c r="G635">
        <v>202603</v>
      </c>
      <c r="H635" t="s">
        <v>75</v>
      </c>
      <c r="I635" t="s">
        <v>76</v>
      </c>
      <c r="J635" t="s">
        <v>77</v>
      </c>
      <c r="K635" t="s">
        <v>78</v>
      </c>
      <c r="L635" t="s">
        <v>369</v>
      </c>
      <c r="M635" t="s">
        <v>370</v>
      </c>
      <c r="N635" t="s">
        <v>371</v>
      </c>
      <c r="O635" t="s">
        <v>82</v>
      </c>
      <c r="P635" t="str">
        <f>"4170042338                    "</f>
        <v xml:space="preserve">4170042338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40.49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1</v>
      </c>
      <c r="BI635">
        <v>2</v>
      </c>
      <c r="BJ635">
        <v>1.1000000000000001</v>
      </c>
      <c r="BK635">
        <v>2</v>
      </c>
      <c r="BL635">
        <v>134.65</v>
      </c>
      <c r="BM635">
        <v>20.2</v>
      </c>
      <c r="BN635">
        <v>154.85</v>
      </c>
      <c r="BO635">
        <v>154.85</v>
      </c>
      <c r="BQ635" t="s">
        <v>372</v>
      </c>
      <c r="BR635" t="s">
        <v>84</v>
      </c>
      <c r="BS635" s="3">
        <v>45814</v>
      </c>
      <c r="BT635" s="4">
        <v>0.40625</v>
      </c>
      <c r="BU635" t="s">
        <v>1282</v>
      </c>
      <c r="BV635" t="s">
        <v>86</v>
      </c>
      <c r="BY635">
        <v>5320</v>
      </c>
      <c r="BZ635" t="s">
        <v>87</v>
      </c>
      <c r="CA635" t="s">
        <v>374</v>
      </c>
      <c r="CC635" t="s">
        <v>370</v>
      </c>
      <c r="CD635">
        <v>7130</v>
      </c>
      <c r="CE635" t="s">
        <v>99</v>
      </c>
      <c r="CF635" s="3">
        <v>45817</v>
      </c>
      <c r="CI635">
        <v>1</v>
      </c>
      <c r="CJ635">
        <v>1</v>
      </c>
      <c r="CK635">
        <v>23</v>
      </c>
      <c r="CL635" t="s">
        <v>90</v>
      </c>
    </row>
    <row r="636" spans="1:90" x14ac:dyDescent="0.3">
      <c r="A636" t="s">
        <v>72</v>
      </c>
      <c r="B636" t="s">
        <v>73</v>
      </c>
      <c r="C636" t="s">
        <v>74</v>
      </c>
      <c r="E636" t="str">
        <f>"080065787147"</f>
        <v>080065787147</v>
      </c>
      <c r="F636" s="3">
        <v>45813</v>
      </c>
      <c r="G636">
        <v>202603</v>
      </c>
      <c r="H636" t="s">
        <v>75</v>
      </c>
      <c r="I636" t="s">
        <v>76</v>
      </c>
      <c r="J636" t="s">
        <v>77</v>
      </c>
      <c r="K636" t="s">
        <v>78</v>
      </c>
      <c r="L636" t="s">
        <v>615</v>
      </c>
      <c r="M636" t="s">
        <v>616</v>
      </c>
      <c r="N636" t="s">
        <v>1315</v>
      </c>
      <c r="O636" t="s">
        <v>82</v>
      </c>
      <c r="P636" t="str">
        <f>"4170042344                    "</f>
        <v xml:space="preserve">4170042344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95.34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1</v>
      </c>
      <c r="BI636">
        <v>2</v>
      </c>
      <c r="BJ636">
        <v>4.7</v>
      </c>
      <c r="BK636">
        <v>5</v>
      </c>
      <c r="BL636">
        <v>317.06</v>
      </c>
      <c r="BM636">
        <v>47.56</v>
      </c>
      <c r="BN636">
        <v>364.62</v>
      </c>
      <c r="BO636">
        <v>364.62</v>
      </c>
      <c r="BQ636" t="s">
        <v>1316</v>
      </c>
      <c r="BR636" t="s">
        <v>84</v>
      </c>
      <c r="BS636" s="3">
        <v>45814</v>
      </c>
      <c r="BT636" s="4">
        <v>0.49791666666666667</v>
      </c>
      <c r="BU636" t="s">
        <v>1317</v>
      </c>
      <c r="BV636" t="s">
        <v>86</v>
      </c>
      <c r="BY636">
        <v>23256</v>
      </c>
      <c r="BZ636" t="s">
        <v>87</v>
      </c>
      <c r="CA636" t="s">
        <v>866</v>
      </c>
      <c r="CC636" t="s">
        <v>616</v>
      </c>
      <c r="CD636">
        <v>6850</v>
      </c>
      <c r="CE636" t="s">
        <v>166</v>
      </c>
      <c r="CF636" s="3">
        <v>45817</v>
      </c>
      <c r="CI636">
        <v>2</v>
      </c>
      <c r="CJ636">
        <v>1</v>
      </c>
      <c r="CK636">
        <v>23</v>
      </c>
      <c r="CL636" t="s">
        <v>90</v>
      </c>
    </row>
    <row r="637" spans="1:90" x14ac:dyDescent="0.3">
      <c r="A637" t="s">
        <v>72</v>
      </c>
      <c r="B637" t="s">
        <v>73</v>
      </c>
      <c r="C637" t="s">
        <v>74</v>
      </c>
      <c r="E637" t="str">
        <f>"080065787315"</f>
        <v>080065787315</v>
      </c>
      <c r="F637" s="3">
        <v>45813</v>
      </c>
      <c r="G637">
        <v>202603</v>
      </c>
      <c r="H637" t="s">
        <v>75</v>
      </c>
      <c r="I637" t="s">
        <v>76</v>
      </c>
      <c r="J637" t="s">
        <v>77</v>
      </c>
      <c r="K637" t="s">
        <v>78</v>
      </c>
      <c r="L637" t="s">
        <v>100</v>
      </c>
      <c r="M637" t="s">
        <v>101</v>
      </c>
      <c r="N637" t="s">
        <v>1318</v>
      </c>
      <c r="O637" t="s">
        <v>82</v>
      </c>
      <c r="P637" t="str">
        <f>"4170042256                    "</f>
        <v xml:space="preserve">4170042256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130.52000000000001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1</v>
      </c>
      <c r="BI637">
        <v>4</v>
      </c>
      <c r="BJ637">
        <v>12.1</v>
      </c>
      <c r="BK637">
        <v>12.5</v>
      </c>
      <c r="BL637">
        <v>434.06</v>
      </c>
      <c r="BM637">
        <v>65.11</v>
      </c>
      <c r="BN637">
        <v>499.17</v>
      </c>
      <c r="BO637">
        <v>499.17</v>
      </c>
      <c r="BQ637" t="s">
        <v>1319</v>
      </c>
      <c r="BR637" t="s">
        <v>84</v>
      </c>
      <c r="BS637" s="3">
        <v>45814</v>
      </c>
      <c r="BT637" s="4">
        <v>0.6118055555555556</v>
      </c>
      <c r="BU637" t="s">
        <v>1320</v>
      </c>
      <c r="BV637" t="s">
        <v>90</v>
      </c>
      <c r="BW637" t="s">
        <v>416</v>
      </c>
      <c r="BX637" t="s">
        <v>614</v>
      </c>
      <c r="BY637">
        <v>60648</v>
      </c>
      <c r="BZ637" t="s">
        <v>87</v>
      </c>
      <c r="CA637" t="s">
        <v>105</v>
      </c>
      <c r="CC637" t="s">
        <v>101</v>
      </c>
      <c r="CD637">
        <v>6001</v>
      </c>
      <c r="CE637" t="s">
        <v>529</v>
      </c>
      <c r="CF637" s="3">
        <v>45814</v>
      </c>
      <c r="CI637">
        <v>1</v>
      </c>
      <c r="CJ637">
        <v>1</v>
      </c>
      <c r="CK637">
        <v>21</v>
      </c>
      <c r="CL637" t="s">
        <v>90</v>
      </c>
    </row>
    <row r="638" spans="1:90" x14ac:dyDescent="0.3">
      <c r="A638" t="s">
        <v>72</v>
      </c>
      <c r="B638" t="s">
        <v>73</v>
      </c>
      <c r="C638" t="s">
        <v>74</v>
      </c>
      <c r="E638" t="str">
        <f>"080065787391"</f>
        <v>080065787391</v>
      </c>
      <c r="F638" s="3">
        <v>45813</v>
      </c>
      <c r="G638">
        <v>202603</v>
      </c>
      <c r="H638" t="s">
        <v>75</v>
      </c>
      <c r="I638" t="s">
        <v>76</v>
      </c>
      <c r="J638" t="s">
        <v>77</v>
      </c>
      <c r="K638" t="s">
        <v>78</v>
      </c>
      <c r="L638" t="s">
        <v>302</v>
      </c>
      <c r="M638" t="s">
        <v>303</v>
      </c>
      <c r="N638" t="s">
        <v>304</v>
      </c>
      <c r="O638" t="s">
        <v>82</v>
      </c>
      <c r="P638" t="str">
        <f>"4170042300                    "</f>
        <v xml:space="preserve">4170042300                    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77.06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1</v>
      </c>
      <c r="BI638">
        <v>4</v>
      </c>
      <c r="BJ638">
        <v>1.6</v>
      </c>
      <c r="BK638">
        <v>4</v>
      </c>
      <c r="BL638">
        <v>256.26</v>
      </c>
      <c r="BM638">
        <v>38.44</v>
      </c>
      <c r="BN638">
        <v>294.7</v>
      </c>
      <c r="BO638">
        <v>294.7</v>
      </c>
      <c r="BQ638" t="s">
        <v>305</v>
      </c>
      <c r="BR638" t="s">
        <v>84</v>
      </c>
      <c r="BS638" s="3">
        <v>45814</v>
      </c>
      <c r="BT638" s="4">
        <v>0.38124999999999998</v>
      </c>
      <c r="BU638" t="s">
        <v>1225</v>
      </c>
      <c r="BV638" t="s">
        <v>86</v>
      </c>
      <c r="BY638">
        <v>7776</v>
      </c>
      <c r="BZ638" t="s">
        <v>87</v>
      </c>
      <c r="CA638" t="s">
        <v>929</v>
      </c>
      <c r="CC638" t="s">
        <v>303</v>
      </c>
      <c r="CD638">
        <v>299</v>
      </c>
      <c r="CE638" t="s">
        <v>166</v>
      </c>
      <c r="CF638" s="3">
        <v>45817</v>
      </c>
      <c r="CI638">
        <v>1</v>
      </c>
      <c r="CJ638">
        <v>1</v>
      </c>
      <c r="CK638">
        <v>23</v>
      </c>
      <c r="CL638" t="s">
        <v>90</v>
      </c>
    </row>
    <row r="639" spans="1:90" x14ac:dyDescent="0.3">
      <c r="A639" t="s">
        <v>72</v>
      </c>
      <c r="B639" t="s">
        <v>73</v>
      </c>
      <c r="C639" t="s">
        <v>74</v>
      </c>
      <c r="E639" t="str">
        <f>"080065787448"</f>
        <v>080065787448</v>
      </c>
      <c r="F639" s="3">
        <v>45813</v>
      </c>
      <c r="G639">
        <v>202603</v>
      </c>
      <c r="H639" t="s">
        <v>75</v>
      </c>
      <c r="I639" t="s">
        <v>76</v>
      </c>
      <c r="J639" t="s">
        <v>77</v>
      </c>
      <c r="K639" t="s">
        <v>78</v>
      </c>
      <c r="L639" t="s">
        <v>154</v>
      </c>
      <c r="M639" t="s">
        <v>154</v>
      </c>
      <c r="N639" t="s">
        <v>949</v>
      </c>
      <c r="O639" t="s">
        <v>82</v>
      </c>
      <c r="P639" t="str">
        <f>"4170042323                    "</f>
        <v xml:space="preserve">4170042323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40.49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1</v>
      </c>
      <c r="BI639">
        <v>1</v>
      </c>
      <c r="BJ639">
        <v>0.2</v>
      </c>
      <c r="BK639">
        <v>1</v>
      </c>
      <c r="BL639">
        <v>134.65</v>
      </c>
      <c r="BM639">
        <v>20.2</v>
      </c>
      <c r="BN639">
        <v>154.85</v>
      </c>
      <c r="BO639">
        <v>154.85</v>
      </c>
      <c r="BQ639" t="s">
        <v>950</v>
      </c>
      <c r="BR639" t="s">
        <v>84</v>
      </c>
      <c r="BS639" s="3">
        <v>45814</v>
      </c>
      <c r="BT639" s="4">
        <v>0.47430555555555554</v>
      </c>
      <c r="BU639" t="s">
        <v>1284</v>
      </c>
      <c r="BV639" t="s">
        <v>86</v>
      </c>
      <c r="BY639">
        <v>1200</v>
      </c>
      <c r="BZ639" t="s">
        <v>87</v>
      </c>
      <c r="CA639" t="s">
        <v>1285</v>
      </c>
      <c r="CC639" t="s">
        <v>154</v>
      </c>
      <c r="CD639">
        <v>7646</v>
      </c>
      <c r="CE639" t="s">
        <v>89</v>
      </c>
      <c r="CF639" s="3">
        <v>45817</v>
      </c>
      <c r="CI639">
        <v>1</v>
      </c>
      <c r="CJ639">
        <v>1</v>
      </c>
      <c r="CK639">
        <v>23</v>
      </c>
      <c r="CL639" t="s">
        <v>90</v>
      </c>
    </row>
    <row r="640" spans="1:90" x14ac:dyDescent="0.3">
      <c r="A640" t="s">
        <v>72</v>
      </c>
      <c r="B640" t="s">
        <v>73</v>
      </c>
      <c r="C640" t="s">
        <v>74</v>
      </c>
      <c r="E640" t="str">
        <f>"080065787487"</f>
        <v>080065787487</v>
      </c>
      <c r="F640" s="3">
        <v>45813</v>
      </c>
      <c r="G640">
        <v>202603</v>
      </c>
      <c r="H640" t="s">
        <v>75</v>
      </c>
      <c r="I640" t="s">
        <v>76</v>
      </c>
      <c r="J640" t="s">
        <v>77</v>
      </c>
      <c r="K640" t="s">
        <v>78</v>
      </c>
      <c r="L640" t="s">
        <v>413</v>
      </c>
      <c r="M640" t="s">
        <v>414</v>
      </c>
      <c r="N640" t="s">
        <v>1321</v>
      </c>
      <c r="O640" t="s">
        <v>82</v>
      </c>
      <c r="P640" t="str">
        <f>"4170042281                    "</f>
        <v xml:space="preserve">4170042281       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20.9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1</v>
      </c>
      <c r="BI640">
        <v>1</v>
      </c>
      <c r="BJ640">
        <v>0.2</v>
      </c>
      <c r="BK640">
        <v>1</v>
      </c>
      <c r="BL640">
        <v>69.5</v>
      </c>
      <c r="BM640">
        <v>10.43</v>
      </c>
      <c r="BN640">
        <v>79.930000000000007</v>
      </c>
      <c r="BO640">
        <v>79.930000000000007</v>
      </c>
      <c r="BQ640" t="s">
        <v>1322</v>
      </c>
      <c r="BR640" t="s">
        <v>84</v>
      </c>
      <c r="BS640" s="3">
        <v>45814</v>
      </c>
      <c r="BT640" s="4">
        <v>0.41875000000000001</v>
      </c>
      <c r="BU640" t="s">
        <v>1323</v>
      </c>
      <c r="BV640" t="s">
        <v>86</v>
      </c>
      <c r="BY640">
        <v>1200</v>
      </c>
      <c r="BZ640" t="s">
        <v>87</v>
      </c>
      <c r="CA640" t="s">
        <v>418</v>
      </c>
      <c r="CC640" t="s">
        <v>414</v>
      </c>
      <c r="CD640">
        <v>4113</v>
      </c>
      <c r="CE640" t="s">
        <v>89</v>
      </c>
      <c r="CF640" s="3">
        <v>45814</v>
      </c>
      <c r="CI640">
        <v>1</v>
      </c>
      <c r="CJ640">
        <v>1</v>
      </c>
      <c r="CK640">
        <v>21</v>
      </c>
      <c r="CL640" t="s">
        <v>90</v>
      </c>
    </row>
    <row r="641" spans="1:90" x14ac:dyDescent="0.3">
      <c r="A641" t="s">
        <v>72</v>
      </c>
      <c r="B641" t="s">
        <v>73</v>
      </c>
      <c r="C641" t="s">
        <v>74</v>
      </c>
      <c r="E641" t="str">
        <f>"080065787525"</f>
        <v>080065787525</v>
      </c>
      <c r="F641" s="3">
        <v>45813</v>
      </c>
      <c r="G641">
        <v>202603</v>
      </c>
      <c r="H641" t="s">
        <v>75</v>
      </c>
      <c r="I641" t="s">
        <v>76</v>
      </c>
      <c r="J641" t="s">
        <v>77</v>
      </c>
      <c r="K641" t="s">
        <v>78</v>
      </c>
      <c r="L641" t="s">
        <v>331</v>
      </c>
      <c r="M641" t="s">
        <v>332</v>
      </c>
      <c r="N641" t="s">
        <v>484</v>
      </c>
      <c r="O641" t="s">
        <v>82</v>
      </c>
      <c r="P641" t="str">
        <f>"4170042372                    "</f>
        <v xml:space="preserve">4170042372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20.9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1</v>
      </c>
      <c r="BI641">
        <v>1</v>
      </c>
      <c r="BJ641">
        <v>0.2</v>
      </c>
      <c r="BK641">
        <v>1</v>
      </c>
      <c r="BL641">
        <v>69.5</v>
      </c>
      <c r="BM641">
        <v>10.43</v>
      </c>
      <c r="BN641">
        <v>79.930000000000007</v>
      </c>
      <c r="BO641">
        <v>79.930000000000007</v>
      </c>
      <c r="BQ641" t="s">
        <v>485</v>
      </c>
      <c r="BR641" t="s">
        <v>84</v>
      </c>
      <c r="BS641" s="3">
        <v>45814</v>
      </c>
      <c r="BT641" s="4">
        <v>0.38680555555555557</v>
      </c>
      <c r="BU641" t="s">
        <v>1324</v>
      </c>
      <c r="BV641" t="s">
        <v>86</v>
      </c>
      <c r="BY641">
        <v>1200</v>
      </c>
      <c r="BZ641" t="s">
        <v>87</v>
      </c>
      <c r="CA641" t="s">
        <v>418</v>
      </c>
      <c r="CC641" t="s">
        <v>332</v>
      </c>
      <c r="CD641">
        <v>4052</v>
      </c>
      <c r="CE641" t="s">
        <v>89</v>
      </c>
      <c r="CF641" s="3">
        <v>45814</v>
      </c>
      <c r="CI641">
        <v>1</v>
      </c>
      <c r="CJ641">
        <v>1</v>
      </c>
      <c r="CK641">
        <v>21</v>
      </c>
      <c r="CL641" t="s">
        <v>90</v>
      </c>
    </row>
    <row r="642" spans="1:90" x14ac:dyDescent="0.3">
      <c r="A642" t="s">
        <v>72</v>
      </c>
      <c r="B642" t="s">
        <v>73</v>
      </c>
      <c r="C642" t="s">
        <v>74</v>
      </c>
      <c r="E642" t="str">
        <f>"080065787551"</f>
        <v>080065787551</v>
      </c>
      <c r="F642" s="3">
        <v>45813</v>
      </c>
      <c r="G642">
        <v>202603</v>
      </c>
      <c r="H642" t="s">
        <v>75</v>
      </c>
      <c r="I642" t="s">
        <v>76</v>
      </c>
      <c r="J642" t="s">
        <v>77</v>
      </c>
      <c r="K642" t="s">
        <v>78</v>
      </c>
      <c r="L642" t="s">
        <v>331</v>
      </c>
      <c r="M642" t="s">
        <v>332</v>
      </c>
      <c r="N642" t="s">
        <v>333</v>
      </c>
      <c r="O642" t="s">
        <v>82</v>
      </c>
      <c r="P642" t="str">
        <f>"4170042430                    "</f>
        <v xml:space="preserve">4170042430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20.9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1</v>
      </c>
      <c r="BI642">
        <v>1</v>
      </c>
      <c r="BJ642">
        <v>0.2</v>
      </c>
      <c r="BK642">
        <v>1</v>
      </c>
      <c r="BL642">
        <v>69.5</v>
      </c>
      <c r="BM642">
        <v>10.43</v>
      </c>
      <c r="BN642">
        <v>79.930000000000007</v>
      </c>
      <c r="BO642">
        <v>79.930000000000007</v>
      </c>
      <c r="BQ642" t="s">
        <v>334</v>
      </c>
      <c r="BR642" t="s">
        <v>84</v>
      </c>
      <c r="BS642" s="3">
        <v>45814</v>
      </c>
      <c r="BT642" s="4">
        <v>0.34166666666666667</v>
      </c>
      <c r="BU642" t="s">
        <v>1136</v>
      </c>
      <c r="BV642" t="s">
        <v>86</v>
      </c>
      <c r="BY642">
        <v>1200</v>
      </c>
      <c r="BZ642" t="s">
        <v>87</v>
      </c>
      <c r="CA642" t="s">
        <v>1061</v>
      </c>
      <c r="CC642" t="s">
        <v>332</v>
      </c>
      <c r="CD642">
        <v>4000</v>
      </c>
      <c r="CE642" t="s">
        <v>89</v>
      </c>
      <c r="CF642" s="3">
        <v>45814</v>
      </c>
      <c r="CI642">
        <v>1</v>
      </c>
      <c r="CJ642">
        <v>1</v>
      </c>
      <c r="CK642">
        <v>21</v>
      </c>
      <c r="CL642" t="s">
        <v>90</v>
      </c>
    </row>
    <row r="643" spans="1:90" x14ac:dyDescent="0.3">
      <c r="A643" t="s">
        <v>72</v>
      </c>
      <c r="B643" t="s">
        <v>73</v>
      </c>
      <c r="C643" t="s">
        <v>74</v>
      </c>
      <c r="E643" t="str">
        <f>"080065787574"</f>
        <v>080065787574</v>
      </c>
      <c r="F643" s="3">
        <v>45813</v>
      </c>
      <c r="G643">
        <v>202603</v>
      </c>
      <c r="H643" t="s">
        <v>75</v>
      </c>
      <c r="I643" t="s">
        <v>76</v>
      </c>
      <c r="J643" t="s">
        <v>77</v>
      </c>
      <c r="K643" t="s">
        <v>78</v>
      </c>
      <c r="L643" t="s">
        <v>100</v>
      </c>
      <c r="M643" t="s">
        <v>101</v>
      </c>
      <c r="N643" t="s">
        <v>516</v>
      </c>
      <c r="O643" t="s">
        <v>82</v>
      </c>
      <c r="P643" t="str">
        <f>"4170042380                    "</f>
        <v xml:space="preserve">4170042380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20.9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1</v>
      </c>
      <c r="BI643">
        <v>1</v>
      </c>
      <c r="BJ643">
        <v>0.2</v>
      </c>
      <c r="BK643">
        <v>1</v>
      </c>
      <c r="BL643">
        <v>69.5</v>
      </c>
      <c r="BM643">
        <v>10.43</v>
      </c>
      <c r="BN643">
        <v>79.930000000000007</v>
      </c>
      <c r="BO643">
        <v>79.930000000000007</v>
      </c>
      <c r="BQ643" t="s">
        <v>517</v>
      </c>
      <c r="BR643" t="s">
        <v>84</v>
      </c>
      <c r="BS643" s="3">
        <v>45814</v>
      </c>
      <c r="BT643" s="4">
        <v>0.36458333333333331</v>
      </c>
      <c r="BU643" t="s">
        <v>1325</v>
      </c>
      <c r="BV643" t="s">
        <v>86</v>
      </c>
      <c r="BY643">
        <v>1200</v>
      </c>
      <c r="BZ643" t="s">
        <v>87</v>
      </c>
      <c r="CA643" t="s">
        <v>283</v>
      </c>
      <c r="CC643" t="s">
        <v>101</v>
      </c>
      <c r="CD643">
        <v>6001</v>
      </c>
      <c r="CE643" t="s">
        <v>89</v>
      </c>
      <c r="CF643" s="3">
        <v>45814</v>
      </c>
      <c r="CI643">
        <v>1</v>
      </c>
      <c r="CJ643">
        <v>1</v>
      </c>
      <c r="CK643">
        <v>21</v>
      </c>
      <c r="CL643" t="s">
        <v>90</v>
      </c>
    </row>
    <row r="644" spans="1:90" x14ac:dyDescent="0.3">
      <c r="A644" t="s">
        <v>72</v>
      </c>
      <c r="B644" t="s">
        <v>73</v>
      </c>
      <c r="C644" t="s">
        <v>74</v>
      </c>
      <c r="E644" t="str">
        <f>"080065787597"</f>
        <v>080065787597</v>
      </c>
      <c r="F644" s="3">
        <v>45813</v>
      </c>
      <c r="G644">
        <v>202603</v>
      </c>
      <c r="H644" t="s">
        <v>75</v>
      </c>
      <c r="I644" t="s">
        <v>76</v>
      </c>
      <c r="J644" t="s">
        <v>77</v>
      </c>
      <c r="K644" t="s">
        <v>78</v>
      </c>
      <c r="L644" t="s">
        <v>375</v>
      </c>
      <c r="M644" t="s">
        <v>376</v>
      </c>
      <c r="N644" t="s">
        <v>1109</v>
      </c>
      <c r="O644" t="s">
        <v>82</v>
      </c>
      <c r="P644" t="str">
        <f>"4170042301                    "</f>
        <v xml:space="preserve">4170042301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16.32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1</v>
      </c>
      <c r="BI644">
        <v>1</v>
      </c>
      <c r="BJ644">
        <v>0.2</v>
      </c>
      <c r="BK644">
        <v>1</v>
      </c>
      <c r="BL644">
        <v>54.28</v>
      </c>
      <c r="BM644">
        <v>8.14</v>
      </c>
      <c r="BN644">
        <v>62.42</v>
      </c>
      <c r="BO644">
        <v>62.42</v>
      </c>
      <c r="BQ644" t="s">
        <v>1110</v>
      </c>
      <c r="BR644" t="s">
        <v>84</v>
      </c>
      <c r="BS644" s="3">
        <v>45814</v>
      </c>
      <c r="BT644" s="4">
        <v>0.3611111111111111</v>
      </c>
      <c r="BU644" t="s">
        <v>1300</v>
      </c>
      <c r="BV644" t="s">
        <v>86</v>
      </c>
      <c r="BY644">
        <v>1200</v>
      </c>
      <c r="BZ644" t="s">
        <v>87</v>
      </c>
      <c r="CA644" t="s">
        <v>1301</v>
      </c>
      <c r="CC644" t="s">
        <v>376</v>
      </c>
      <c r="CD644">
        <v>1401</v>
      </c>
      <c r="CE644" t="s">
        <v>89</v>
      </c>
      <c r="CF644" s="3">
        <v>45814</v>
      </c>
      <c r="CI644">
        <v>1</v>
      </c>
      <c r="CJ644">
        <v>1</v>
      </c>
      <c r="CK644">
        <v>22</v>
      </c>
      <c r="CL644" t="s">
        <v>90</v>
      </c>
    </row>
    <row r="645" spans="1:90" x14ac:dyDescent="0.3">
      <c r="A645" t="s">
        <v>72</v>
      </c>
      <c r="B645" t="s">
        <v>73</v>
      </c>
      <c r="C645" t="s">
        <v>74</v>
      </c>
      <c r="E645" t="str">
        <f>"080065787630"</f>
        <v>080065787630</v>
      </c>
      <c r="F645" s="3">
        <v>45813</v>
      </c>
      <c r="G645">
        <v>202603</v>
      </c>
      <c r="H645" t="s">
        <v>75</v>
      </c>
      <c r="I645" t="s">
        <v>76</v>
      </c>
      <c r="J645" t="s">
        <v>77</v>
      </c>
      <c r="K645" t="s">
        <v>78</v>
      </c>
      <c r="L645" t="s">
        <v>996</v>
      </c>
      <c r="M645" t="s">
        <v>997</v>
      </c>
      <c r="N645" t="s">
        <v>998</v>
      </c>
      <c r="O645" t="s">
        <v>82</v>
      </c>
      <c r="P645" t="str">
        <f>"4170042305                    "</f>
        <v xml:space="preserve">4170042305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40.49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1</v>
      </c>
      <c r="BI645">
        <v>1</v>
      </c>
      <c r="BJ645">
        <v>0.2</v>
      </c>
      <c r="BK645">
        <v>1</v>
      </c>
      <c r="BL645">
        <v>134.65</v>
      </c>
      <c r="BM645">
        <v>20.2</v>
      </c>
      <c r="BN645">
        <v>154.85</v>
      </c>
      <c r="BO645">
        <v>154.85</v>
      </c>
      <c r="BQ645" t="s">
        <v>999</v>
      </c>
      <c r="BR645" t="s">
        <v>84</v>
      </c>
      <c r="BS645" s="3">
        <v>45814</v>
      </c>
      <c r="BT645" s="4">
        <v>0.41666666666666669</v>
      </c>
      <c r="BU645" t="s">
        <v>1000</v>
      </c>
      <c r="BV645" t="s">
        <v>86</v>
      </c>
      <c r="BY645">
        <v>1200</v>
      </c>
      <c r="BZ645" t="s">
        <v>87</v>
      </c>
      <c r="CA645" t="s">
        <v>1001</v>
      </c>
      <c r="CC645" t="s">
        <v>997</v>
      </c>
      <c r="CD645">
        <v>3310</v>
      </c>
      <c r="CE645" t="s">
        <v>89</v>
      </c>
      <c r="CF645" s="3">
        <v>45815</v>
      </c>
      <c r="CI645">
        <v>1</v>
      </c>
      <c r="CJ645">
        <v>1</v>
      </c>
      <c r="CK645">
        <v>23</v>
      </c>
      <c r="CL645" t="s">
        <v>90</v>
      </c>
    </row>
    <row r="646" spans="1:90" x14ac:dyDescent="0.3">
      <c r="A646" t="s">
        <v>72</v>
      </c>
      <c r="B646" t="s">
        <v>73</v>
      </c>
      <c r="C646" t="s">
        <v>74</v>
      </c>
      <c r="E646" t="str">
        <f>"080065787665"</f>
        <v>080065787665</v>
      </c>
      <c r="F646" s="3">
        <v>45813</v>
      </c>
      <c r="G646">
        <v>202603</v>
      </c>
      <c r="H646" t="s">
        <v>75</v>
      </c>
      <c r="I646" t="s">
        <v>76</v>
      </c>
      <c r="J646" t="s">
        <v>77</v>
      </c>
      <c r="K646" t="s">
        <v>78</v>
      </c>
      <c r="L646" t="s">
        <v>100</v>
      </c>
      <c r="M646" t="s">
        <v>101</v>
      </c>
      <c r="N646" t="s">
        <v>123</v>
      </c>
      <c r="O646" t="s">
        <v>94</v>
      </c>
      <c r="P646" t="str">
        <f>"4170042438                    "</f>
        <v xml:space="preserve">4170042438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92.13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2</v>
      </c>
      <c r="BI646">
        <v>44</v>
      </c>
      <c r="BJ646">
        <v>45.3</v>
      </c>
      <c r="BK646">
        <v>46</v>
      </c>
      <c r="BL646">
        <v>311.95999999999998</v>
      </c>
      <c r="BM646">
        <v>46.79</v>
      </c>
      <c r="BN646">
        <v>358.75</v>
      </c>
      <c r="BO646">
        <v>358.75</v>
      </c>
      <c r="BQ646" t="s">
        <v>124</v>
      </c>
      <c r="BR646" t="s">
        <v>84</v>
      </c>
      <c r="BS646" s="3">
        <v>45817</v>
      </c>
      <c r="BT646" s="4">
        <v>0.54166666666666663</v>
      </c>
      <c r="BU646" t="s">
        <v>1326</v>
      </c>
      <c r="BV646" t="s">
        <v>86</v>
      </c>
      <c r="BY646">
        <v>226296</v>
      </c>
      <c r="BZ646" t="s">
        <v>97</v>
      </c>
      <c r="CC646" t="s">
        <v>101</v>
      </c>
      <c r="CD646">
        <v>6001</v>
      </c>
      <c r="CE646" t="s">
        <v>180</v>
      </c>
      <c r="CF646" s="3">
        <v>45817</v>
      </c>
      <c r="CI646">
        <v>3</v>
      </c>
      <c r="CJ646">
        <v>2</v>
      </c>
      <c r="CK646">
        <v>41</v>
      </c>
      <c r="CL646" t="s">
        <v>90</v>
      </c>
    </row>
    <row r="647" spans="1:90" x14ac:dyDescent="0.3">
      <c r="A647" t="s">
        <v>72</v>
      </c>
      <c r="B647" t="s">
        <v>73</v>
      </c>
      <c r="C647" t="s">
        <v>74</v>
      </c>
      <c r="E647" t="str">
        <f>"080065787718"</f>
        <v>080065787718</v>
      </c>
      <c r="F647" s="3">
        <v>45813</v>
      </c>
      <c r="G647">
        <v>202603</v>
      </c>
      <c r="H647" t="s">
        <v>75</v>
      </c>
      <c r="I647" t="s">
        <v>76</v>
      </c>
      <c r="J647" t="s">
        <v>77</v>
      </c>
      <c r="K647" t="s">
        <v>78</v>
      </c>
      <c r="L647" t="s">
        <v>106</v>
      </c>
      <c r="M647" t="s">
        <v>107</v>
      </c>
      <c r="N647" t="s">
        <v>509</v>
      </c>
      <c r="O647" t="s">
        <v>82</v>
      </c>
      <c r="P647" t="str">
        <f>"4170042435                    "</f>
        <v xml:space="preserve">4170042435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20.9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1</v>
      </c>
      <c r="BJ647">
        <v>0.2</v>
      </c>
      <c r="BK647">
        <v>1</v>
      </c>
      <c r="BL647">
        <v>69.5</v>
      </c>
      <c r="BM647">
        <v>10.43</v>
      </c>
      <c r="BN647">
        <v>79.930000000000007</v>
      </c>
      <c r="BO647">
        <v>79.930000000000007</v>
      </c>
      <c r="BQ647" t="s">
        <v>510</v>
      </c>
      <c r="BR647" t="s">
        <v>84</v>
      </c>
      <c r="BS647" s="3">
        <v>45814</v>
      </c>
      <c r="BT647" s="4">
        <v>0.32291666666666669</v>
      </c>
      <c r="BU647" t="s">
        <v>1327</v>
      </c>
      <c r="BV647" t="s">
        <v>86</v>
      </c>
      <c r="BY647">
        <v>1200</v>
      </c>
      <c r="BZ647" t="s">
        <v>87</v>
      </c>
      <c r="CA647" t="s">
        <v>1276</v>
      </c>
      <c r="CC647" t="s">
        <v>107</v>
      </c>
      <c r="CD647">
        <v>2</v>
      </c>
      <c r="CE647" t="s">
        <v>89</v>
      </c>
      <c r="CF647" s="3">
        <v>45814</v>
      </c>
      <c r="CI647">
        <v>1</v>
      </c>
      <c r="CJ647">
        <v>1</v>
      </c>
      <c r="CK647">
        <v>21</v>
      </c>
      <c r="CL647" t="s">
        <v>90</v>
      </c>
    </row>
    <row r="648" spans="1:90" x14ac:dyDescent="0.3">
      <c r="A648" t="s">
        <v>72</v>
      </c>
      <c r="B648" t="s">
        <v>73</v>
      </c>
      <c r="C648" t="s">
        <v>74</v>
      </c>
      <c r="E648" t="str">
        <f>"080065788039"</f>
        <v>080065788039</v>
      </c>
      <c r="F648" s="3">
        <v>45813</v>
      </c>
      <c r="G648">
        <v>202603</v>
      </c>
      <c r="H648" t="s">
        <v>75</v>
      </c>
      <c r="I648" t="s">
        <v>76</v>
      </c>
      <c r="J648" t="s">
        <v>77</v>
      </c>
      <c r="K648" t="s">
        <v>78</v>
      </c>
      <c r="L648" t="s">
        <v>154</v>
      </c>
      <c r="M648" t="s">
        <v>154</v>
      </c>
      <c r="N648" t="s">
        <v>1328</v>
      </c>
      <c r="O648" t="s">
        <v>82</v>
      </c>
      <c r="P648" t="str">
        <f>"4170042384                    "</f>
        <v xml:space="preserve">4170042384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113.62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</v>
      </c>
      <c r="BI648">
        <v>6</v>
      </c>
      <c r="BJ648">
        <v>2.9</v>
      </c>
      <c r="BK648">
        <v>6</v>
      </c>
      <c r="BL648">
        <v>377.86</v>
      </c>
      <c r="BM648">
        <v>56.68</v>
      </c>
      <c r="BN648">
        <v>434.54</v>
      </c>
      <c r="BO648">
        <v>434.54</v>
      </c>
      <c r="BQ648" t="s">
        <v>1329</v>
      </c>
      <c r="BR648" t="s">
        <v>84</v>
      </c>
      <c r="BS648" s="3">
        <v>45814</v>
      </c>
      <c r="BT648" s="4">
        <v>0.50486111111111109</v>
      </c>
      <c r="BU648" t="s">
        <v>1330</v>
      </c>
      <c r="BV648" t="s">
        <v>86</v>
      </c>
      <c r="BY648">
        <v>14336</v>
      </c>
      <c r="BZ648" t="s">
        <v>87</v>
      </c>
      <c r="CA648" t="s">
        <v>1285</v>
      </c>
      <c r="CC648" t="s">
        <v>154</v>
      </c>
      <c r="CD648">
        <v>7654</v>
      </c>
      <c r="CE648" t="s">
        <v>166</v>
      </c>
      <c r="CF648" s="3">
        <v>45817</v>
      </c>
      <c r="CI648">
        <v>1</v>
      </c>
      <c r="CJ648">
        <v>1</v>
      </c>
      <c r="CK648">
        <v>23</v>
      </c>
      <c r="CL648" t="s">
        <v>90</v>
      </c>
    </row>
    <row r="649" spans="1:90" x14ac:dyDescent="0.3">
      <c r="A649" t="s">
        <v>72</v>
      </c>
      <c r="B649" t="s">
        <v>73</v>
      </c>
      <c r="C649" t="s">
        <v>74</v>
      </c>
      <c r="E649" t="str">
        <f>"080065788046"</f>
        <v>080065788046</v>
      </c>
      <c r="F649" s="3">
        <v>45813</v>
      </c>
      <c r="G649">
        <v>202603</v>
      </c>
      <c r="H649" t="s">
        <v>75</v>
      </c>
      <c r="I649" t="s">
        <v>76</v>
      </c>
      <c r="J649" t="s">
        <v>77</v>
      </c>
      <c r="K649" t="s">
        <v>78</v>
      </c>
      <c r="L649" t="s">
        <v>106</v>
      </c>
      <c r="M649" t="s">
        <v>107</v>
      </c>
      <c r="N649" t="s">
        <v>236</v>
      </c>
      <c r="O649" t="s">
        <v>82</v>
      </c>
      <c r="P649" t="str">
        <f>"4170042440                    "</f>
        <v xml:space="preserve">4170042440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20.9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1</v>
      </c>
      <c r="BI649">
        <v>1</v>
      </c>
      <c r="BJ649">
        <v>0.2</v>
      </c>
      <c r="BK649">
        <v>1</v>
      </c>
      <c r="BL649">
        <v>69.5</v>
      </c>
      <c r="BM649">
        <v>10.43</v>
      </c>
      <c r="BN649">
        <v>79.930000000000007</v>
      </c>
      <c r="BO649">
        <v>79.930000000000007</v>
      </c>
      <c r="BQ649" t="s">
        <v>237</v>
      </c>
      <c r="BR649" t="s">
        <v>84</v>
      </c>
      <c r="BS649" s="3">
        <v>45814</v>
      </c>
      <c r="BT649" s="4">
        <v>0.40902777777777777</v>
      </c>
      <c r="BU649" t="s">
        <v>238</v>
      </c>
      <c r="BV649" t="s">
        <v>86</v>
      </c>
      <c r="BY649">
        <v>1200</v>
      </c>
      <c r="BZ649" t="s">
        <v>87</v>
      </c>
      <c r="CA649" t="s">
        <v>111</v>
      </c>
      <c r="CC649" t="s">
        <v>107</v>
      </c>
      <c r="CD649">
        <v>200</v>
      </c>
      <c r="CE649" t="s">
        <v>89</v>
      </c>
      <c r="CF649" s="3">
        <v>45814</v>
      </c>
      <c r="CI649">
        <v>1</v>
      </c>
      <c r="CJ649">
        <v>1</v>
      </c>
      <c r="CK649">
        <v>21</v>
      </c>
      <c r="CL649" t="s">
        <v>90</v>
      </c>
    </row>
    <row r="650" spans="1:90" x14ac:dyDescent="0.3">
      <c r="A650" t="s">
        <v>72</v>
      </c>
      <c r="B650" t="s">
        <v>73</v>
      </c>
      <c r="C650" t="s">
        <v>74</v>
      </c>
      <c r="E650" t="str">
        <f>"080065788075"</f>
        <v>080065788075</v>
      </c>
      <c r="F650" s="3">
        <v>45813</v>
      </c>
      <c r="G650">
        <v>202603</v>
      </c>
      <c r="H650" t="s">
        <v>75</v>
      </c>
      <c r="I650" t="s">
        <v>76</v>
      </c>
      <c r="J650" t="s">
        <v>77</v>
      </c>
      <c r="K650" t="s">
        <v>78</v>
      </c>
      <c r="L650" t="s">
        <v>154</v>
      </c>
      <c r="M650" t="s">
        <v>154</v>
      </c>
      <c r="N650" t="s">
        <v>155</v>
      </c>
      <c r="O650" t="s">
        <v>82</v>
      </c>
      <c r="P650" t="str">
        <f>"4170042292                    "</f>
        <v xml:space="preserve">4170042292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40.49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1</v>
      </c>
      <c r="BI650">
        <v>1</v>
      </c>
      <c r="BJ650">
        <v>0.2</v>
      </c>
      <c r="BK650">
        <v>1</v>
      </c>
      <c r="BL650">
        <v>134.65</v>
      </c>
      <c r="BM650">
        <v>20.2</v>
      </c>
      <c r="BN650">
        <v>154.85</v>
      </c>
      <c r="BO650">
        <v>154.85</v>
      </c>
      <c r="BQ650" t="s">
        <v>156</v>
      </c>
      <c r="BR650" t="s">
        <v>84</v>
      </c>
      <c r="BS650" s="3">
        <v>45814</v>
      </c>
      <c r="BT650" s="4">
        <v>0.4861111111111111</v>
      </c>
      <c r="BU650" t="s">
        <v>1331</v>
      </c>
      <c r="BV650" t="s">
        <v>86</v>
      </c>
      <c r="BY650">
        <v>1200</v>
      </c>
      <c r="BZ650" t="s">
        <v>87</v>
      </c>
      <c r="CA650" t="s">
        <v>1285</v>
      </c>
      <c r="CC650" t="s">
        <v>154</v>
      </c>
      <c r="CD650">
        <v>7646</v>
      </c>
      <c r="CE650" t="s">
        <v>89</v>
      </c>
      <c r="CF650" s="3">
        <v>45817</v>
      </c>
      <c r="CI650">
        <v>1</v>
      </c>
      <c r="CJ650">
        <v>1</v>
      </c>
      <c r="CK650">
        <v>23</v>
      </c>
      <c r="CL650" t="s">
        <v>90</v>
      </c>
    </row>
    <row r="651" spans="1:90" x14ac:dyDescent="0.3">
      <c r="A651" t="s">
        <v>72</v>
      </c>
      <c r="B651" t="s">
        <v>73</v>
      </c>
      <c r="C651" t="s">
        <v>74</v>
      </c>
      <c r="E651" t="str">
        <f>"080065788092"</f>
        <v>080065788092</v>
      </c>
      <c r="F651" s="3">
        <v>45813</v>
      </c>
      <c r="G651">
        <v>202603</v>
      </c>
      <c r="H651" t="s">
        <v>75</v>
      </c>
      <c r="I651" t="s">
        <v>76</v>
      </c>
      <c r="J651" t="s">
        <v>77</v>
      </c>
      <c r="K651" t="s">
        <v>78</v>
      </c>
      <c r="L651" t="s">
        <v>369</v>
      </c>
      <c r="M651" t="s">
        <v>370</v>
      </c>
      <c r="N651" t="s">
        <v>371</v>
      </c>
      <c r="O651" t="s">
        <v>94</v>
      </c>
      <c r="P651" t="str">
        <f>"4170042365                    "</f>
        <v xml:space="preserve">4170042365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74.459999999999994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2</v>
      </c>
      <c r="BI651">
        <v>20</v>
      </c>
      <c r="BJ651">
        <v>20.6</v>
      </c>
      <c r="BK651">
        <v>21</v>
      </c>
      <c r="BL651">
        <v>253.2</v>
      </c>
      <c r="BM651">
        <v>37.979999999999997</v>
      </c>
      <c r="BN651">
        <v>291.18</v>
      </c>
      <c r="BO651">
        <v>291.18</v>
      </c>
      <c r="BQ651" t="s">
        <v>372</v>
      </c>
      <c r="BR651" t="s">
        <v>84</v>
      </c>
      <c r="BS651" s="3">
        <v>45817</v>
      </c>
      <c r="BT651" s="4">
        <v>0.39861111111111114</v>
      </c>
      <c r="BU651" t="s">
        <v>1332</v>
      </c>
      <c r="BV651" t="s">
        <v>86</v>
      </c>
      <c r="BY651">
        <v>103164</v>
      </c>
      <c r="CA651" t="s">
        <v>374</v>
      </c>
      <c r="CC651" t="s">
        <v>370</v>
      </c>
      <c r="CD651">
        <v>7130</v>
      </c>
      <c r="CE651" t="s">
        <v>687</v>
      </c>
      <c r="CF651" s="3">
        <v>45818</v>
      </c>
      <c r="CI651">
        <v>3</v>
      </c>
      <c r="CJ651">
        <v>2</v>
      </c>
      <c r="CK651">
        <v>43</v>
      </c>
      <c r="CL651" t="s">
        <v>90</v>
      </c>
    </row>
    <row r="652" spans="1:90" x14ac:dyDescent="0.3">
      <c r="A652" t="s">
        <v>72</v>
      </c>
      <c r="B652" t="s">
        <v>73</v>
      </c>
      <c r="C652" t="s">
        <v>74</v>
      </c>
      <c r="E652" t="str">
        <f>"080065788147"</f>
        <v>080065788147</v>
      </c>
      <c r="F652" s="3">
        <v>45813</v>
      </c>
      <c r="G652">
        <v>202603</v>
      </c>
      <c r="H652" t="s">
        <v>75</v>
      </c>
      <c r="I652" t="s">
        <v>76</v>
      </c>
      <c r="J652" t="s">
        <v>77</v>
      </c>
      <c r="K652" t="s">
        <v>78</v>
      </c>
      <c r="L652" t="s">
        <v>710</v>
      </c>
      <c r="M652" t="s">
        <v>711</v>
      </c>
      <c r="N652" t="s">
        <v>712</v>
      </c>
      <c r="O652" t="s">
        <v>82</v>
      </c>
      <c r="P652" t="str">
        <f>"4170042446                    "</f>
        <v xml:space="preserve">4170042446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20.9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1</v>
      </c>
      <c r="BI652">
        <v>1</v>
      </c>
      <c r="BJ652">
        <v>0.2</v>
      </c>
      <c r="BK652">
        <v>1</v>
      </c>
      <c r="BL652">
        <v>69.5</v>
      </c>
      <c r="BM652">
        <v>10.43</v>
      </c>
      <c r="BN652">
        <v>79.930000000000007</v>
      </c>
      <c r="BO652">
        <v>79.930000000000007</v>
      </c>
      <c r="BQ652" t="s">
        <v>713</v>
      </c>
      <c r="BR652" t="s">
        <v>84</v>
      </c>
      <c r="BS652" s="3">
        <v>45817</v>
      </c>
      <c r="BT652" s="4">
        <v>0.38958333333333334</v>
      </c>
      <c r="BU652" t="s">
        <v>1287</v>
      </c>
      <c r="BV652" t="s">
        <v>90</v>
      </c>
      <c r="BW652" t="s">
        <v>875</v>
      </c>
      <c r="BX652" t="s">
        <v>344</v>
      </c>
      <c r="BY652">
        <v>1200</v>
      </c>
      <c r="BZ652" t="s">
        <v>87</v>
      </c>
      <c r="CC652" t="s">
        <v>711</v>
      </c>
      <c r="CD652">
        <v>7600</v>
      </c>
      <c r="CE652" t="s">
        <v>89</v>
      </c>
      <c r="CF652" s="3">
        <v>45818</v>
      </c>
      <c r="CI652">
        <v>1</v>
      </c>
      <c r="CJ652">
        <v>2</v>
      </c>
      <c r="CK652">
        <v>21</v>
      </c>
      <c r="CL652" t="s">
        <v>90</v>
      </c>
    </row>
    <row r="653" spans="1:90" x14ac:dyDescent="0.3">
      <c r="A653" t="s">
        <v>72</v>
      </c>
      <c r="B653" t="s">
        <v>73</v>
      </c>
      <c r="C653" t="s">
        <v>74</v>
      </c>
      <c r="E653" t="str">
        <f>"080065788184"</f>
        <v>080065788184</v>
      </c>
      <c r="F653" s="3">
        <v>45813</v>
      </c>
      <c r="G653">
        <v>202603</v>
      </c>
      <c r="H653" t="s">
        <v>75</v>
      </c>
      <c r="I653" t="s">
        <v>76</v>
      </c>
      <c r="J653" t="s">
        <v>77</v>
      </c>
      <c r="K653" t="s">
        <v>78</v>
      </c>
      <c r="L653" t="s">
        <v>159</v>
      </c>
      <c r="M653" t="s">
        <v>160</v>
      </c>
      <c r="N653" t="s">
        <v>1333</v>
      </c>
      <c r="O653" t="s">
        <v>94</v>
      </c>
      <c r="P653" t="str">
        <f>"4170042359                    "</f>
        <v xml:space="preserve">4170042359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31.18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1</v>
      </c>
      <c r="BI653">
        <v>5</v>
      </c>
      <c r="BJ653">
        <v>8.6</v>
      </c>
      <c r="BK653">
        <v>9</v>
      </c>
      <c r="BL653">
        <v>109.27</v>
      </c>
      <c r="BM653">
        <v>16.39</v>
      </c>
      <c r="BN653">
        <v>125.66</v>
      </c>
      <c r="BO653">
        <v>125.66</v>
      </c>
      <c r="BQ653" t="s">
        <v>1334</v>
      </c>
      <c r="BR653" t="s">
        <v>84</v>
      </c>
      <c r="BS653" s="3">
        <v>45814</v>
      </c>
      <c r="BT653" s="4">
        <v>0.42916666666666664</v>
      </c>
      <c r="BU653" t="s">
        <v>1335</v>
      </c>
      <c r="BV653" t="s">
        <v>86</v>
      </c>
      <c r="BY653">
        <v>43245</v>
      </c>
      <c r="BZ653" t="s">
        <v>97</v>
      </c>
      <c r="CA653" t="s">
        <v>1022</v>
      </c>
      <c r="CC653" t="s">
        <v>160</v>
      </c>
      <c r="CD653">
        <v>2157</v>
      </c>
      <c r="CE653" t="s">
        <v>99</v>
      </c>
      <c r="CF653" s="3">
        <v>45814</v>
      </c>
      <c r="CI653">
        <v>1</v>
      </c>
      <c r="CJ653">
        <v>1</v>
      </c>
      <c r="CK653">
        <v>42</v>
      </c>
      <c r="CL653" t="s">
        <v>90</v>
      </c>
    </row>
    <row r="654" spans="1:90" x14ac:dyDescent="0.3">
      <c r="A654" t="s">
        <v>72</v>
      </c>
      <c r="B654" t="s">
        <v>73</v>
      </c>
      <c r="C654" t="s">
        <v>74</v>
      </c>
      <c r="E654" t="str">
        <f>"080065788219"</f>
        <v>080065788219</v>
      </c>
      <c r="F654" s="3">
        <v>45813</v>
      </c>
      <c r="G654">
        <v>202603</v>
      </c>
      <c r="H654" t="s">
        <v>75</v>
      </c>
      <c r="I654" t="s">
        <v>76</v>
      </c>
      <c r="J654" t="s">
        <v>77</v>
      </c>
      <c r="K654" t="s">
        <v>78</v>
      </c>
      <c r="L654" t="s">
        <v>293</v>
      </c>
      <c r="M654" t="s">
        <v>294</v>
      </c>
      <c r="N654" t="s">
        <v>1336</v>
      </c>
      <c r="O654" t="s">
        <v>82</v>
      </c>
      <c r="P654" t="str">
        <f>"4170042466                    "</f>
        <v xml:space="preserve">4170042466   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40.49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1</v>
      </c>
      <c r="BI654">
        <v>1</v>
      </c>
      <c r="BJ654">
        <v>0.6</v>
      </c>
      <c r="BK654">
        <v>1</v>
      </c>
      <c r="BL654">
        <v>134.65</v>
      </c>
      <c r="BM654">
        <v>20.2</v>
      </c>
      <c r="BN654">
        <v>154.85</v>
      </c>
      <c r="BO654">
        <v>154.85</v>
      </c>
      <c r="BQ654" t="s">
        <v>1337</v>
      </c>
      <c r="BR654" t="s">
        <v>84</v>
      </c>
      <c r="BS654" s="3">
        <v>45814</v>
      </c>
      <c r="BT654" s="4">
        <v>0.41736111111111113</v>
      </c>
      <c r="BU654" t="s">
        <v>1338</v>
      </c>
      <c r="BV654" t="s">
        <v>86</v>
      </c>
      <c r="BY654">
        <v>3192</v>
      </c>
      <c r="BZ654" t="s">
        <v>87</v>
      </c>
      <c r="CA654" t="s">
        <v>945</v>
      </c>
      <c r="CC654" t="s">
        <v>294</v>
      </c>
      <c r="CD654">
        <v>1911</v>
      </c>
      <c r="CE654" t="s">
        <v>180</v>
      </c>
      <c r="CF654" s="3">
        <v>45814</v>
      </c>
      <c r="CI654">
        <v>1</v>
      </c>
      <c r="CJ654">
        <v>1</v>
      </c>
      <c r="CK654">
        <v>23</v>
      </c>
      <c r="CL654" t="s">
        <v>90</v>
      </c>
    </row>
    <row r="655" spans="1:90" x14ac:dyDescent="0.3">
      <c r="A655" t="s">
        <v>72</v>
      </c>
      <c r="B655" t="s">
        <v>73</v>
      </c>
      <c r="C655" t="s">
        <v>74</v>
      </c>
      <c r="E655" t="str">
        <f>"080065788222"</f>
        <v>080065788222</v>
      </c>
      <c r="F655" s="3">
        <v>45813</v>
      </c>
      <c r="G655">
        <v>202603</v>
      </c>
      <c r="H655" t="s">
        <v>75</v>
      </c>
      <c r="I655" t="s">
        <v>76</v>
      </c>
      <c r="J655" t="s">
        <v>77</v>
      </c>
      <c r="K655" t="s">
        <v>78</v>
      </c>
      <c r="L655" t="s">
        <v>331</v>
      </c>
      <c r="M655" t="s">
        <v>332</v>
      </c>
      <c r="N655" t="s">
        <v>1339</v>
      </c>
      <c r="O655" t="s">
        <v>82</v>
      </c>
      <c r="P655" t="str">
        <f>"4170042405                    "</f>
        <v xml:space="preserve">4170042405                    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20.9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1</v>
      </c>
      <c r="BI655">
        <v>1</v>
      </c>
      <c r="BJ655">
        <v>0.2</v>
      </c>
      <c r="BK655">
        <v>1</v>
      </c>
      <c r="BL655">
        <v>69.5</v>
      </c>
      <c r="BM655">
        <v>10.43</v>
      </c>
      <c r="BN655">
        <v>79.930000000000007</v>
      </c>
      <c r="BO655">
        <v>79.930000000000007</v>
      </c>
      <c r="BQ655" t="s">
        <v>1221</v>
      </c>
      <c r="BR655" t="s">
        <v>84</v>
      </c>
      <c r="BS655" s="3">
        <v>45814</v>
      </c>
      <c r="BT655" s="4">
        <v>0.39652777777777776</v>
      </c>
      <c r="BU655" t="s">
        <v>482</v>
      </c>
      <c r="BV655" t="s">
        <v>86</v>
      </c>
      <c r="BY655">
        <v>1200</v>
      </c>
      <c r="BZ655" t="s">
        <v>87</v>
      </c>
      <c r="CA655" t="s">
        <v>483</v>
      </c>
      <c r="CC655" t="s">
        <v>332</v>
      </c>
      <c r="CD655">
        <v>4000</v>
      </c>
      <c r="CE655" t="s">
        <v>89</v>
      </c>
      <c r="CF655" s="3">
        <v>45814</v>
      </c>
      <c r="CI655">
        <v>1</v>
      </c>
      <c r="CJ655">
        <v>1</v>
      </c>
      <c r="CK655">
        <v>21</v>
      </c>
      <c r="CL655" t="s">
        <v>90</v>
      </c>
    </row>
    <row r="656" spans="1:90" x14ac:dyDescent="0.3">
      <c r="A656" t="s">
        <v>72</v>
      </c>
      <c r="B656" t="s">
        <v>73</v>
      </c>
      <c r="C656" t="s">
        <v>74</v>
      </c>
      <c r="E656" t="str">
        <f>"080065788254"</f>
        <v>080065788254</v>
      </c>
      <c r="F656" s="3">
        <v>45813</v>
      </c>
      <c r="G656">
        <v>202603</v>
      </c>
      <c r="H656" t="s">
        <v>75</v>
      </c>
      <c r="I656" t="s">
        <v>76</v>
      </c>
      <c r="J656" t="s">
        <v>77</v>
      </c>
      <c r="K656" t="s">
        <v>78</v>
      </c>
      <c r="L656" t="s">
        <v>91</v>
      </c>
      <c r="M656" t="s">
        <v>92</v>
      </c>
      <c r="N656" t="s">
        <v>93</v>
      </c>
      <c r="O656" t="s">
        <v>82</v>
      </c>
      <c r="P656" t="str">
        <f>"4170042353                    "</f>
        <v xml:space="preserve">4170042353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20.9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1</v>
      </c>
      <c r="BI656">
        <v>1</v>
      </c>
      <c r="BJ656">
        <v>1.1000000000000001</v>
      </c>
      <c r="BK656">
        <v>1.5</v>
      </c>
      <c r="BL656">
        <v>69.5</v>
      </c>
      <c r="BM656">
        <v>10.43</v>
      </c>
      <c r="BN656">
        <v>79.930000000000007</v>
      </c>
      <c r="BO656">
        <v>79.930000000000007</v>
      </c>
      <c r="BQ656" t="s">
        <v>95</v>
      </c>
      <c r="BR656" t="s">
        <v>84</v>
      </c>
      <c r="BS656" s="3">
        <v>45814</v>
      </c>
      <c r="BT656" s="4">
        <v>0.36458333333333331</v>
      </c>
      <c r="BU656" t="s">
        <v>290</v>
      </c>
      <c r="BV656" t="s">
        <v>86</v>
      </c>
      <c r="BY656">
        <v>5320</v>
      </c>
      <c r="BZ656" t="s">
        <v>87</v>
      </c>
      <c r="CA656" t="s">
        <v>291</v>
      </c>
      <c r="CC656" t="s">
        <v>92</v>
      </c>
      <c r="CD656">
        <v>7441</v>
      </c>
      <c r="CE656" t="s">
        <v>180</v>
      </c>
      <c r="CF656" s="3">
        <v>45817</v>
      </c>
      <c r="CI656">
        <v>1</v>
      </c>
      <c r="CJ656">
        <v>1</v>
      </c>
      <c r="CK656">
        <v>21</v>
      </c>
      <c r="CL656" t="s">
        <v>90</v>
      </c>
    </row>
    <row r="657" spans="1:90" x14ac:dyDescent="0.3">
      <c r="A657" t="s">
        <v>72</v>
      </c>
      <c r="B657" t="s">
        <v>73</v>
      </c>
      <c r="C657" t="s">
        <v>74</v>
      </c>
      <c r="E657" t="str">
        <f>"080065788260"</f>
        <v>080065788260</v>
      </c>
      <c r="F657" s="3">
        <v>45813</v>
      </c>
      <c r="G657">
        <v>202603</v>
      </c>
      <c r="H657" t="s">
        <v>75</v>
      </c>
      <c r="I657" t="s">
        <v>76</v>
      </c>
      <c r="J657" t="s">
        <v>77</v>
      </c>
      <c r="K657" t="s">
        <v>78</v>
      </c>
      <c r="L657" t="s">
        <v>159</v>
      </c>
      <c r="M657" t="s">
        <v>160</v>
      </c>
      <c r="N657" t="s">
        <v>1340</v>
      </c>
      <c r="O657" t="s">
        <v>82</v>
      </c>
      <c r="P657" t="str">
        <f>"4170042324                    "</f>
        <v xml:space="preserve">4170042324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16.32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1</v>
      </c>
      <c r="BI657">
        <v>1</v>
      </c>
      <c r="BJ657">
        <v>0.2</v>
      </c>
      <c r="BK657">
        <v>1</v>
      </c>
      <c r="BL657">
        <v>54.28</v>
      </c>
      <c r="BM657">
        <v>8.14</v>
      </c>
      <c r="BN657">
        <v>62.42</v>
      </c>
      <c r="BO657">
        <v>62.42</v>
      </c>
      <c r="BQ657" t="s">
        <v>1341</v>
      </c>
      <c r="BR657" t="s">
        <v>84</v>
      </c>
      <c r="BS657" s="3">
        <v>45814</v>
      </c>
      <c r="BT657" s="4">
        <v>0.41597222222222224</v>
      </c>
      <c r="BU657" t="s">
        <v>1342</v>
      </c>
      <c r="BV657" t="s">
        <v>86</v>
      </c>
      <c r="BY657">
        <v>1200</v>
      </c>
      <c r="BZ657" t="s">
        <v>87</v>
      </c>
      <c r="CA657" t="s">
        <v>1343</v>
      </c>
      <c r="CC657" t="s">
        <v>160</v>
      </c>
      <c r="CD657">
        <v>2191</v>
      </c>
      <c r="CE657" t="s">
        <v>89</v>
      </c>
      <c r="CF657" s="3">
        <v>45814</v>
      </c>
      <c r="CI657">
        <v>1</v>
      </c>
      <c r="CJ657">
        <v>1</v>
      </c>
      <c r="CK657">
        <v>22</v>
      </c>
      <c r="CL657" t="s">
        <v>90</v>
      </c>
    </row>
    <row r="658" spans="1:90" x14ac:dyDescent="0.3">
      <c r="A658" t="s">
        <v>72</v>
      </c>
      <c r="B658" t="s">
        <v>73</v>
      </c>
      <c r="C658" t="s">
        <v>74</v>
      </c>
      <c r="E658" t="str">
        <f>"080065788295"</f>
        <v>080065788295</v>
      </c>
      <c r="F658" s="3">
        <v>45813</v>
      </c>
      <c r="G658">
        <v>202603</v>
      </c>
      <c r="H658" t="s">
        <v>75</v>
      </c>
      <c r="I658" t="s">
        <v>76</v>
      </c>
      <c r="J658" t="s">
        <v>77</v>
      </c>
      <c r="K658" t="s">
        <v>78</v>
      </c>
      <c r="L658" t="s">
        <v>136</v>
      </c>
      <c r="M658" t="s">
        <v>137</v>
      </c>
      <c r="N658" t="s">
        <v>1118</v>
      </c>
      <c r="O658" t="s">
        <v>82</v>
      </c>
      <c r="P658" t="str">
        <f>"4170042334                    "</f>
        <v xml:space="preserve">4170042334   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20.9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1</v>
      </c>
      <c r="BI658">
        <v>1</v>
      </c>
      <c r="BJ658">
        <v>0.2</v>
      </c>
      <c r="BK658">
        <v>1</v>
      </c>
      <c r="BL658">
        <v>69.5</v>
      </c>
      <c r="BM658">
        <v>10.43</v>
      </c>
      <c r="BN658">
        <v>79.930000000000007</v>
      </c>
      <c r="BO658">
        <v>79.930000000000007</v>
      </c>
      <c r="BQ658" t="s">
        <v>1119</v>
      </c>
      <c r="BR658" t="s">
        <v>84</v>
      </c>
      <c r="BS658" s="3">
        <v>45814</v>
      </c>
      <c r="BT658" s="4">
        <v>0.52083333333333337</v>
      </c>
      <c r="BU658" t="s">
        <v>1344</v>
      </c>
      <c r="BV658" t="s">
        <v>90</v>
      </c>
      <c r="BY658">
        <v>1200</v>
      </c>
      <c r="BZ658" t="s">
        <v>87</v>
      </c>
      <c r="CA658" t="s">
        <v>1121</v>
      </c>
      <c r="CC658" t="s">
        <v>137</v>
      </c>
      <c r="CD658">
        <v>5200</v>
      </c>
      <c r="CE658" t="s">
        <v>89</v>
      </c>
      <c r="CF658" s="3">
        <v>45814</v>
      </c>
      <c r="CI658">
        <v>1</v>
      </c>
      <c r="CJ658">
        <v>1</v>
      </c>
      <c r="CK658">
        <v>21</v>
      </c>
      <c r="CL658" t="s">
        <v>90</v>
      </c>
    </row>
    <row r="659" spans="1:90" x14ac:dyDescent="0.3">
      <c r="A659" t="s">
        <v>72</v>
      </c>
      <c r="B659" t="s">
        <v>73</v>
      </c>
      <c r="C659" t="s">
        <v>74</v>
      </c>
      <c r="E659" t="str">
        <f>"080065788309"</f>
        <v>080065788309</v>
      </c>
      <c r="F659" s="3">
        <v>45813</v>
      </c>
      <c r="G659">
        <v>202603</v>
      </c>
      <c r="H659" t="s">
        <v>75</v>
      </c>
      <c r="I659" t="s">
        <v>76</v>
      </c>
      <c r="J659" t="s">
        <v>77</v>
      </c>
      <c r="K659" t="s">
        <v>78</v>
      </c>
      <c r="L659" t="s">
        <v>174</v>
      </c>
      <c r="M659" t="s">
        <v>175</v>
      </c>
      <c r="N659" t="s">
        <v>1311</v>
      </c>
      <c r="O659" t="s">
        <v>82</v>
      </c>
      <c r="P659" t="str">
        <f>"4170042262                    "</f>
        <v xml:space="preserve">4170042262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20.9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1</v>
      </c>
      <c r="BJ659">
        <v>1.1000000000000001</v>
      </c>
      <c r="BK659">
        <v>1.5</v>
      </c>
      <c r="BL659">
        <v>69.5</v>
      </c>
      <c r="BM659">
        <v>10.43</v>
      </c>
      <c r="BN659">
        <v>79.930000000000007</v>
      </c>
      <c r="BO659">
        <v>79.930000000000007</v>
      </c>
      <c r="BQ659" t="s">
        <v>1312</v>
      </c>
      <c r="BR659" t="s">
        <v>84</v>
      </c>
      <c r="BS659" s="3">
        <v>45814</v>
      </c>
      <c r="BT659" s="4">
        <v>0.38541666666666669</v>
      </c>
      <c r="BU659" t="s">
        <v>1313</v>
      </c>
      <c r="BV659" t="s">
        <v>86</v>
      </c>
      <c r="BY659">
        <v>5320</v>
      </c>
      <c r="BZ659" t="s">
        <v>87</v>
      </c>
      <c r="CA659" t="s">
        <v>359</v>
      </c>
      <c r="CC659" t="s">
        <v>175</v>
      </c>
      <c r="CD659">
        <v>3610</v>
      </c>
      <c r="CE659" t="s">
        <v>180</v>
      </c>
      <c r="CF659" s="3">
        <v>45814</v>
      </c>
      <c r="CI659">
        <v>1</v>
      </c>
      <c r="CJ659">
        <v>1</v>
      </c>
      <c r="CK659">
        <v>21</v>
      </c>
      <c r="CL659" t="s">
        <v>90</v>
      </c>
    </row>
    <row r="660" spans="1:90" x14ac:dyDescent="0.3">
      <c r="A660" t="s">
        <v>72</v>
      </c>
      <c r="B660" t="s">
        <v>73</v>
      </c>
      <c r="C660" t="s">
        <v>74</v>
      </c>
      <c r="E660" t="str">
        <f>"080065788348"</f>
        <v>080065788348</v>
      </c>
      <c r="F660" s="3">
        <v>45813</v>
      </c>
      <c r="G660">
        <v>202603</v>
      </c>
      <c r="H660" t="s">
        <v>75</v>
      </c>
      <c r="I660" t="s">
        <v>76</v>
      </c>
      <c r="J660" t="s">
        <v>77</v>
      </c>
      <c r="K660" t="s">
        <v>78</v>
      </c>
      <c r="L660" t="s">
        <v>154</v>
      </c>
      <c r="M660" t="s">
        <v>154</v>
      </c>
      <c r="N660" t="s">
        <v>1328</v>
      </c>
      <c r="O660" t="s">
        <v>82</v>
      </c>
      <c r="P660" t="str">
        <f>"4170042451                    "</f>
        <v xml:space="preserve">4170042451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40.49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1</v>
      </c>
      <c r="BI660">
        <v>1</v>
      </c>
      <c r="BJ660">
        <v>1.7</v>
      </c>
      <c r="BK660">
        <v>2</v>
      </c>
      <c r="BL660">
        <v>134.65</v>
      </c>
      <c r="BM660">
        <v>20.2</v>
      </c>
      <c r="BN660">
        <v>154.85</v>
      </c>
      <c r="BO660">
        <v>154.85</v>
      </c>
      <c r="BQ660" t="s">
        <v>1329</v>
      </c>
      <c r="BR660" t="s">
        <v>84</v>
      </c>
      <c r="BS660" s="3">
        <v>45814</v>
      </c>
      <c r="BT660" s="4">
        <v>0.50486111111111109</v>
      </c>
      <c r="BU660" t="s">
        <v>1330</v>
      </c>
      <c r="BV660" t="s">
        <v>86</v>
      </c>
      <c r="BY660">
        <v>8512</v>
      </c>
      <c r="BZ660" t="s">
        <v>87</v>
      </c>
      <c r="CA660" t="s">
        <v>1285</v>
      </c>
      <c r="CC660" t="s">
        <v>154</v>
      </c>
      <c r="CD660">
        <v>7654</v>
      </c>
      <c r="CE660" t="s">
        <v>99</v>
      </c>
      <c r="CF660" s="3">
        <v>45817</v>
      </c>
      <c r="CI660">
        <v>1</v>
      </c>
      <c r="CJ660">
        <v>1</v>
      </c>
      <c r="CK660">
        <v>23</v>
      </c>
      <c r="CL660" t="s">
        <v>90</v>
      </c>
    </row>
    <row r="661" spans="1:90" x14ac:dyDescent="0.3">
      <c r="A661" t="s">
        <v>72</v>
      </c>
      <c r="B661" t="s">
        <v>73</v>
      </c>
      <c r="C661" t="s">
        <v>74</v>
      </c>
      <c r="E661" t="str">
        <f>"080065788360"</f>
        <v>080065788360</v>
      </c>
      <c r="F661" s="3">
        <v>45813</v>
      </c>
      <c r="G661">
        <v>202603</v>
      </c>
      <c r="H661" t="s">
        <v>75</v>
      </c>
      <c r="I661" t="s">
        <v>76</v>
      </c>
      <c r="J661" t="s">
        <v>77</v>
      </c>
      <c r="K661" t="s">
        <v>78</v>
      </c>
      <c r="L661" t="s">
        <v>136</v>
      </c>
      <c r="M661" t="s">
        <v>137</v>
      </c>
      <c r="N661" t="s">
        <v>1345</v>
      </c>
      <c r="O661" t="s">
        <v>82</v>
      </c>
      <c r="P661" t="str">
        <f>"4170042319                    "</f>
        <v xml:space="preserve">4170042319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20.9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1</v>
      </c>
      <c r="BI661">
        <v>1</v>
      </c>
      <c r="BJ661">
        <v>0.2</v>
      </c>
      <c r="BK661">
        <v>1</v>
      </c>
      <c r="BL661">
        <v>69.5</v>
      </c>
      <c r="BM661">
        <v>10.43</v>
      </c>
      <c r="BN661">
        <v>79.930000000000007</v>
      </c>
      <c r="BO661">
        <v>79.930000000000007</v>
      </c>
      <c r="BQ661" t="s">
        <v>1346</v>
      </c>
      <c r="BR661" t="s">
        <v>84</v>
      </c>
      <c r="BS661" s="3">
        <v>45814</v>
      </c>
      <c r="BT661" s="4">
        <v>0.5</v>
      </c>
      <c r="BU661" t="s">
        <v>1347</v>
      </c>
      <c r="BV661" t="s">
        <v>86</v>
      </c>
      <c r="BY661">
        <v>1200</v>
      </c>
      <c r="BZ661" t="s">
        <v>87</v>
      </c>
      <c r="CC661" t="s">
        <v>137</v>
      </c>
      <c r="CD661">
        <v>5201</v>
      </c>
      <c r="CE661" t="s">
        <v>89</v>
      </c>
      <c r="CF661" s="3">
        <v>45814</v>
      </c>
      <c r="CI661">
        <v>5</v>
      </c>
      <c r="CJ661">
        <v>1</v>
      </c>
      <c r="CK661">
        <v>21</v>
      </c>
      <c r="CL661" t="s">
        <v>90</v>
      </c>
    </row>
    <row r="662" spans="1:90" x14ac:dyDescent="0.3">
      <c r="A662" t="s">
        <v>72</v>
      </c>
      <c r="B662" t="s">
        <v>73</v>
      </c>
      <c r="C662" t="s">
        <v>74</v>
      </c>
      <c r="E662" t="str">
        <f>"080065788446"</f>
        <v>080065788446</v>
      </c>
      <c r="F662" s="3">
        <v>45813</v>
      </c>
      <c r="G662">
        <v>202603</v>
      </c>
      <c r="H662" t="s">
        <v>75</v>
      </c>
      <c r="I662" t="s">
        <v>76</v>
      </c>
      <c r="J662" t="s">
        <v>77</v>
      </c>
      <c r="K662" t="s">
        <v>78</v>
      </c>
      <c r="L662" t="s">
        <v>100</v>
      </c>
      <c r="M662" t="s">
        <v>101</v>
      </c>
      <c r="N662" t="s">
        <v>123</v>
      </c>
      <c r="O662" t="s">
        <v>82</v>
      </c>
      <c r="P662" t="str">
        <f>"4170042268                    "</f>
        <v xml:space="preserve">4170042268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20.9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1</v>
      </c>
      <c r="BI662">
        <v>1</v>
      </c>
      <c r="BJ662">
        <v>0.2</v>
      </c>
      <c r="BK662">
        <v>1</v>
      </c>
      <c r="BL662">
        <v>69.5</v>
      </c>
      <c r="BM662">
        <v>10.43</v>
      </c>
      <c r="BN662">
        <v>79.930000000000007</v>
      </c>
      <c r="BO662">
        <v>79.930000000000007</v>
      </c>
      <c r="BQ662" t="s">
        <v>124</v>
      </c>
      <c r="BR662" t="s">
        <v>84</v>
      </c>
      <c r="BS662" s="3">
        <v>45814</v>
      </c>
      <c r="BT662" s="4">
        <v>0.39513888888888887</v>
      </c>
      <c r="BU662" t="s">
        <v>234</v>
      </c>
      <c r="BV662" t="s">
        <v>86</v>
      </c>
      <c r="BY662">
        <v>1200</v>
      </c>
      <c r="BZ662" t="s">
        <v>87</v>
      </c>
      <c r="CA662" t="s">
        <v>235</v>
      </c>
      <c r="CC662" t="s">
        <v>101</v>
      </c>
      <c r="CD662">
        <v>6001</v>
      </c>
      <c r="CE662" t="s">
        <v>89</v>
      </c>
      <c r="CF662" s="3">
        <v>45814</v>
      </c>
      <c r="CI662">
        <v>1</v>
      </c>
      <c r="CJ662">
        <v>1</v>
      </c>
      <c r="CK662">
        <v>21</v>
      </c>
      <c r="CL662" t="s">
        <v>90</v>
      </c>
    </row>
    <row r="663" spans="1:90" x14ac:dyDescent="0.3">
      <c r="A663" t="s">
        <v>72</v>
      </c>
      <c r="B663" t="s">
        <v>73</v>
      </c>
      <c r="C663" t="s">
        <v>74</v>
      </c>
      <c r="E663" t="str">
        <f>"080065788467"</f>
        <v>080065788467</v>
      </c>
      <c r="F663" s="3">
        <v>45813</v>
      </c>
      <c r="G663">
        <v>202603</v>
      </c>
      <c r="H663" t="s">
        <v>75</v>
      </c>
      <c r="I663" t="s">
        <v>76</v>
      </c>
      <c r="J663" t="s">
        <v>77</v>
      </c>
      <c r="K663" t="s">
        <v>78</v>
      </c>
      <c r="L663" t="s">
        <v>91</v>
      </c>
      <c r="M663" t="s">
        <v>92</v>
      </c>
      <c r="N663" t="s">
        <v>1348</v>
      </c>
      <c r="O663" t="s">
        <v>82</v>
      </c>
      <c r="P663" t="str">
        <f>"4170042448                    "</f>
        <v xml:space="preserve">4170042448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20.9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1</v>
      </c>
      <c r="BI663">
        <v>1</v>
      </c>
      <c r="BJ663">
        <v>1.1000000000000001</v>
      </c>
      <c r="BK663">
        <v>1.5</v>
      </c>
      <c r="BL663">
        <v>69.5</v>
      </c>
      <c r="BM663">
        <v>10.43</v>
      </c>
      <c r="BN663">
        <v>79.930000000000007</v>
      </c>
      <c r="BO663">
        <v>79.930000000000007</v>
      </c>
      <c r="BQ663" t="s">
        <v>1349</v>
      </c>
      <c r="BR663" t="s">
        <v>84</v>
      </c>
      <c r="BS663" s="3">
        <v>45814</v>
      </c>
      <c r="BT663" s="4">
        <v>0.375</v>
      </c>
      <c r="BU663" t="s">
        <v>152</v>
      </c>
      <c r="BV663" t="s">
        <v>86</v>
      </c>
      <c r="BY663">
        <v>5320</v>
      </c>
      <c r="BZ663" t="s">
        <v>87</v>
      </c>
      <c r="CA663" t="s">
        <v>1350</v>
      </c>
      <c r="CC663" t="s">
        <v>92</v>
      </c>
      <c r="CD663">
        <v>7535</v>
      </c>
      <c r="CE663" t="s">
        <v>99</v>
      </c>
      <c r="CF663" s="3">
        <v>45817</v>
      </c>
      <c r="CI663">
        <v>1</v>
      </c>
      <c r="CJ663">
        <v>1</v>
      </c>
      <c r="CK663">
        <v>21</v>
      </c>
      <c r="CL663" t="s">
        <v>90</v>
      </c>
    </row>
    <row r="664" spans="1:90" x14ac:dyDescent="0.3">
      <c r="A664" t="s">
        <v>72</v>
      </c>
      <c r="B664" t="s">
        <v>73</v>
      </c>
      <c r="C664" t="s">
        <v>74</v>
      </c>
      <c r="E664" t="str">
        <f>"080065788504"</f>
        <v>080065788504</v>
      </c>
      <c r="F664" s="3">
        <v>45813</v>
      </c>
      <c r="G664">
        <v>202603</v>
      </c>
      <c r="H664" t="s">
        <v>75</v>
      </c>
      <c r="I664" t="s">
        <v>76</v>
      </c>
      <c r="J664" t="s">
        <v>77</v>
      </c>
      <c r="K664" t="s">
        <v>78</v>
      </c>
      <c r="L664" t="s">
        <v>100</v>
      </c>
      <c r="M664" t="s">
        <v>101</v>
      </c>
      <c r="N664" t="s">
        <v>1351</v>
      </c>
      <c r="O664" t="s">
        <v>82</v>
      </c>
      <c r="P664" t="str">
        <f>"4170042339                    "</f>
        <v xml:space="preserve">4170042339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20.9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1</v>
      </c>
      <c r="BJ664">
        <v>0.2</v>
      </c>
      <c r="BK664">
        <v>1</v>
      </c>
      <c r="BL664">
        <v>69.5</v>
      </c>
      <c r="BM664">
        <v>10.43</v>
      </c>
      <c r="BN664">
        <v>79.930000000000007</v>
      </c>
      <c r="BO664">
        <v>79.930000000000007</v>
      </c>
      <c r="BQ664" t="s">
        <v>1352</v>
      </c>
      <c r="BR664" t="s">
        <v>84</v>
      </c>
      <c r="BS664" s="3">
        <v>45814</v>
      </c>
      <c r="BT664" s="4">
        <v>0.41041666666666665</v>
      </c>
      <c r="BU664" t="s">
        <v>1353</v>
      </c>
      <c r="BV664" t="s">
        <v>86</v>
      </c>
      <c r="BY664">
        <v>1200</v>
      </c>
      <c r="BZ664" t="s">
        <v>87</v>
      </c>
      <c r="CA664" t="s">
        <v>394</v>
      </c>
      <c r="CC664" t="s">
        <v>101</v>
      </c>
      <c r="CD664">
        <v>6001</v>
      </c>
      <c r="CE664" t="s">
        <v>89</v>
      </c>
      <c r="CF664" s="3">
        <v>45814</v>
      </c>
      <c r="CI664">
        <v>1</v>
      </c>
      <c r="CJ664">
        <v>1</v>
      </c>
      <c r="CK664">
        <v>21</v>
      </c>
      <c r="CL664" t="s">
        <v>90</v>
      </c>
    </row>
    <row r="665" spans="1:90" x14ac:dyDescent="0.3">
      <c r="A665" t="s">
        <v>72</v>
      </c>
      <c r="B665" t="s">
        <v>73</v>
      </c>
      <c r="C665" t="s">
        <v>74</v>
      </c>
      <c r="E665" t="str">
        <f>"080065788528"</f>
        <v>080065788528</v>
      </c>
      <c r="F665" s="3">
        <v>45813</v>
      </c>
      <c r="G665">
        <v>202603</v>
      </c>
      <c r="H665" t="s">
        <v>75</v>
      </c>
      <c r="I665" t="s">
        <v>76</v>
      </c>
      <c r="J665" t="s">
        <v>77</v>
      </c>
      <c r="K665" t="s">
        <v>78</v>
      </c>
      <c r="L665" t="s">
        <v>302</v>
      </c>
      <c r="M665" t="s">
        <v>303</v>
      </c>
      <c r="N665" t="s">
        <v>304</v>
      </c>
      <c r="O665" t="s">
        <v>94</v>
      </c>
      <c r="P665" t="str">
        <f>"4170042409                    "</f>
        <v xml:space="preserve">4170042409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57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6</v>
      </c>
      <c r="BJ665">
        <v>5.2</v>
      </c>
      <c r="BK665">
        <v>6</v>
      </c>
      <c r="BL665">
        <v>195.12</v>
      </c>
      <c r="BM665">
        <v>29.27</v>
      </c>
      <c r="BN665">
        <v>224.39</v>
      </c>
      <c r="BO665">
        <v>224.39</v>
      </c>
      <c r="BQ665" t="s">
        <v>305</v>
      </c>
      <c r="BR665" t="s">
        <v>84</v>
      </c>
      <c r="BS665" s="3">
        <v>45814</v>
      </c>
      <c r="BT665" s="4">
        <v>0.38124999999999998</v>
      </c>
      <c r="BU665" t="s">
        <v>1225</v>
      </c>
      <c r="BV665" t="s">
        <v>86</v>
      </c>
      <c r="BY665">
        <v>26013</v>
      </c>
      <c r="BZ665" t="s">
        <v>97</v>
      </c>
      <c r="CA665" t="s">
        <v>929</v>
      </c>
      <c r="CC665" t="s">
        <v>303</v>
      </c>
      <c r="CD665">
        <v>299</v>
      </c>
      <c r="CE665" t="s">
        <v>738</v>
      </c>
      <c r="CF665" s="3">
        <v>45817</v>
      </c>
      <c r="CI665">
        <v>1</v>
      </c>
      <c r="CJ665">
        <v>1</v>
      </c>
      <c r="CK665">
        <v>43</v>
      </c>
      <c r="CL665" t="s">
        <v>90</v>
      </c>
    </row>
    <row r="666" spans="1:90" x14ac:dyDescent="0.3">
      <c r="A666" t="s">
        <v>72</v>
      </c>
      <c r="B666" t="s">
        <v>73</v>
      </c>
      <c r="C666" t="s">
        <v>74</v>
      </c>
      <c r="E666" t="str">
        <f>"080065788540"</f>
        <v>080065788540</v>
      </c>
      <c r="F666" s="3">
        <v>45813</v>
      </c>
      <c r="G666">
        <v>202603</v>
      </c>
      <c r="H666" t="s">
        <v>75</v>
      </c>
      <c r="I666" t="s">
        <v>76</v>
      </c>
      <c r="J666" t="s">
        <v>77</v>
      </c>
      <c r="K666" t="s">
        <v>78</v>
      </c>
      <c r="L666" t="s">
        <v>130</v>
      </c>
      <c r="M666" t="s">
        <v>131</v>
      </c>
      <c r="N666" t="s">
        <v>1064</v>
      </c>
      <c r="O666" t="s">
        <v>82</v>
      </c>
      <c r="P666" t="str">
        <f>"4170042306                    "</f>
        <v xml:space="preserve">4170042306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16.32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1</v>
      </c>
      <c r="BI666">
        <v>1</v>
      </c>
      <c r="BJ666">
        <v>0.2</v>
      </c>
      <c r="BK666">
        <v>1</v>
      </c>
      <c r="BL666">
        <v>54.28</v>
      </c>
      <c r="BM666">
        <v>8.14</v>
      </c>
      <c r="BN666">
        <v>62.42</v>
      </c>
      <c r="BO666">
        <v>62.42</v>
      </c>
      <c r="BQ666" t="s">
        <v>1065</v>
      </c>
      <c r="BR666" t="s">
        <v>84</v>
      </c>
      <c r="BS666" s="3">
        <v>45814</v>
      </c>
      <c r="BT666" s="4">
        <v>0.35972222222222222</v>
      </c>
      <c r="BU666" t="s">
        <v>1354</v>
      </c>
      <c r="BV666" t="s">
        <v>86</v>
      </c>
      <c r="BY666">
        <v>1200</v>
      </c>
      <c r="BZ666" t="s">
        <v>87</v>
      </c>
      <c r="CA666" t="s">
        <v>454</v>
      </c>
      <c r="CC666" t="s">
        <v>131</v>
      </c>
      <c r="CD666">
        <v>1460</v>
      </c>
      <c r="CE666" t="s">
        <v>89</v>
      </c>
      <c r="CF666" s="3">
        <v>45815</v>
      </c>
      <c r="CI666">
        <v>1</v>
      </c>
      <c r="CJ666">
        <v>1</v>
      </c>
      <c r="CK666">
        <v>22</v>
      </c>
      <c r="CL666" t="s">
        <v>90</v>
      </c>
    </row>
    <row r="667" spans="1:90" x14ac:dyDescent="0.3">
      <c r="A667" t="s">
        <v>72</v>
      </c>
      <c r="B667" t="s">
        <v>73</v>
      </c>
      <c r="C667" t="s">
        <v>74</v>
      </c>
      <c r="E667" t="str">
        <f>"080065788558"</f>
        <v>080065788558</v>
      </c>
      <c r="F667" s="3">
        <v>45813</v>
      </c>
      <c r="G667">
        <v>202603</v>
      </c>
      <c r="H667" t="s">
        <v>75</v>
      </c>
      <c r="I667" t="s">
        <v>76</v>
      </c>
      <c r="J667" t="s">
        <v>77</v>
      </c>
      <c r="K667" t="s">
        <v>78</v>
      </c>
      <c r="L667" t="s">
        <v>91</v>
      </c>
      <c r="M667" t="s">
        <v>92</v>
      </c>
      <c r="N667" t="s">
        <v>763</v>
      </c>
      <c r="O667" t="s">
        <v>82</v>
      </c>
      <c r="P667" t="str">
        <f>"4170042315                    "</f>
        <v xml:space="preserve">4170042315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20.9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1</v>
      </c>
      <c r="BI667">
        <v>1</v>
      </c>
      <c r="BJ667">
        <v>0.2</v>
      </c>
      <c r="BK667">
        <v>1</v>
      </c>
      <c r="BL667">
        <v>69.5</v>
      </c>
      <c r="BM667">
        <v>10.43</v>
      </c>
      <c r="BN667">
        <v>79.930000000000007</v>
      </c>
      <c r="BO667">
        <v>79.930000000000007</v>
      </c>
      <c r="BQ667" t="s">
        <v>764</v>
      </c>
      <c r="BR667" t="s">
        <v>84</v>
      </c>
      <c r="BS667" s="3">
        <v>45814</v>
      </c>
      <c r="BT667" s="4">
        <v>0.45</v>
      </c>
      <c r="BU667" t="s">
        <v>765</v>
      </c>
      <c r="BV667" t="s">
        <v>90</v>
      </c>
      <c r="BW667" t="s">
        <v>144</v>
      </c>
      <c r="BX667" t="s">
        <v>344</v>
      </c>
      <c r="BY667">
        <v>1200</v>
      </c>
      <c r="BZ667" t="s">
        <v>87</v>
      </c>
      <c r="CA667" t="s">
        <v>767</v>
      </c>
      <c r="CC667" t="s">
        <v>92</v>
      </c>
      <c r="CD667">
        <v>7550</v>
      </c>
      <c r="CE667" t="s">
        <v>89</v>
      </c>
      <c r="CF667" s="3">
        <v>45817</v>
      </c>
      <c r="CI667">
        <v>1</v>
      </c>
      <c r="CJ667">
        <v>1</v>
      </c>
      <c r="CK667">
        <v>21</v>
      </c>
      <c r="CL667" t="s">
        <v>90</v>
      </c>
    </row>
    <row r="668" spans="1:90" x14ac:dyDescent="0.3">
      <c r="A668" t="s">
        <v>72</v>
      </c>
      <c r="B668" t="s">
        <v>73</v>
      </c>
      <c r="C668" t="s">
        <v>74</v>
      </c>
      <c r="E668" t="str">
        <f>"080065788594"</f>
        <v>080065788594</v>
      </c>
      <c r="F668" s="3">
        <v>45813</v>
      </c>
      <c r="G668">
        <v>202603</v>
      </c>
      <c r="H668" t="s">
        <v>75</v>
      </c>
      <c r="I668" t="s">
        <v>76</v>
      </c>
      <c r="J668" t="s">
        <v>77</v>
      </c>
      <c r="K668" t="s">
        <v>78</v>
      </c>
      <c r="L668" t="s">
        <v>1355</v>
      </c>
      <c r="M668" t="s">
        <v>1356</v>
      </c>
      <c r="N668" t="s">
        <v>1357</v>
      </c>
      <c r="O668" t="s">
        <v>82</v>
      </c>
      <c r="P668" t="str">
        <f>"4170042342                    "</f>
        <v xml:space="preserve">4170042342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40.49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1</v>
      </c>
      <c r="BI668">
        <v>1</v>
      </c>
      <c r="BJ668">
        <v>0.2</v>
      </c>
      <c r="BK668">
        <v>1</v>
      </c>
      <c r="BL668">
        <v>134.65</v>
      </c>
      <c r="BM668">
        <v>20.2</v>
      </c>
      <c r="BN668">
        <v>154.85</v>
      </c>
      <c r="BO668">
        <v>154.85</v>
      </c>
      <c r="BQ668" t="s">
        <v>1358</v>
      </c>
      <c r="BR668" t="s">
        <v>84</v>
      </c>
      <c r="BS668" s="3">
        <v>45814</v>
      </c>
      <c r="BT668" s="4">
        <v>0.43680555555555556</v>
      </c>
      <c r="BU668" t="s">
        <v>1359</v>
      </c>
      <c r="BV668" t="s">
        <v>86</v>
      </c>
      <c r="BY668">
        <v>1200</v>
      </c>
      <c r="BZ668" t="s">
        <v>87</v>
      </c>
      <c r="CA668" t="s">
        <v>1360</v>
      </c>
      <c r="CC668" t="s">
        <v>1356</v>
      </c>
      <c r="CD668">
        <v>3370</v>
      </c>
      <c r="CE668" t="s">
        <v>89</v>
      </c>
      <c r="CF668" s="3">
        <v>45817</v>
      </c>
      <c r="CI668">
        <v>2</v>
      </c>
      <c r="CJ668">
        <v>1</v>
      </c>
      <c r="CK668">
        <v>23</v>
      </c>
      <c r="CL668" t="s">
        <v>90</v>
      </c>
    </row>
    <row r="669" spans="1:90" x14ac:dyDescent="0.3">
      <c r="A669" t="s">
        <v>72</v>
      </c>
      <c r="B669" t="s">
        <v>73</v>
      </c>
      <c r="C669" t="s">
        <v>74</v>
      </c>
      <c r="E669" t="str">
        <f>"080065788617"</f>
        <v>080065788617</v>
      </c>
      <c r="F669" s="3">
        <v>45813</v>
      </c>
      <c r="G669">
        <v>202603</v>
      </c>
      <c r="H669" t="s">
        <v>75</v>
      </c>
      <c r="I669" t="s">
        <v>76</v>
      </c>
      <c r="J669" t="s">
        <v>77</v>
      </c>
      <c r="K669" t="s">
        <v>78</v>
      </c>
      <c r="L669" t="s">
        <v>91</v>
      </c>
      <c r="M669" t="s">
        <v>92</v>
      </c>
      <c r="N669" t="s">
        <v>307</v>
      </c>
      <c r="O669" t="s">
        <v>82</v>
      </c>
      <c r="P669" t="str">
        <f>"4170042447                    "</f>
        <v xml:space="preserve">4170042447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20.9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1</v>
      </c>
      <c r="BI669">
        <v>1</v>
      </c>
      <c r="BJ669">
        <v>0.2</v>
      </c>
      <c r="BK669">
        <v>1</v>
      </c>
      <c r="BL669">
        <v>69.5</v>
      </c>
      <c r="BM669">
        <v>10.43</v>
      </c>
      <c r="BN669">
        <v>79.930000000000007</v>
      </c>
      <c r="BO669">
        <v>79.930000000000007</v>
      </c>
      <c r="BQ669" t="s">
        <v>308</v>
      </c>
      <c r="BR669" t="s">
        <v>84</v>
      </c>
      <c r="BS669" s="3">
        <v>45814</v>
      </c>
      <c r="BT669" s="4">
        <v>0.40902777777777777</v>
      </c>
      <c r="BU669" t="s">
        <v>309</v>
      </c>
      <c r="BV669" t="s">
        <v>86</v>
      </c>
      <c r="BY669">
        <v>1200</v>
      </c>
      <c r="BZ669" t="s">
        <v>87</v>
      </c>
      <c r="CA669" t="s">
        <v>310</v>
      </c>
      <c r="CC669" t="s">
        <v>92</v>
      </c>
      <c r="CD669">
        <v>7480</v>
      </c>
      <c r="CE669" t="s">
        <v>89</v>
      </c>
      <c r="CF669" s="3">
        <v>45817</v>
      </c>
      <c r="CI669">
        <v>1</v>
      </c>
      <c r="CJ669">
        <v>1</v>
      </c>
      <c r="CK669">
        <v>21</v>
      </c>
      <c r="CL669" t="s">
        <v>90</v>
      </c>
    </row>
    <row r="670" spans="1:90" x14ac:dyDescent="0.3">
      <c r="A670" t="s">
        <v>72</v>
      </c>
      <c r="B670" t="s">
        <v>73</v>
      </c>
      <c r="C670" t="s">
        <v>74</v>
      </c>
      <c r="E670" t="str">
        <f>"080065788659"</f>
        <v>080065788659</v>
      </c>
      <c r="F670" s="3">
        <v>45813</v>
      </c>
      <c r="G670">
        <v>202603</v>
      </c>
      <c r="H670" t="s">
        <v>75</v>
      </c>
      <c r="I670" t="s">
        <v>76</v>
      </c>
      <c r="J670" t="s">
        <v>77</v>
      </c>
      <c r="K670" t="s">
        <v>78</v>
      </c>
      <c r="L670" t="s">
        <v>91</v>
      </c>
      <c r="M670" t="s">
        <v>92</v>
      </c>
      <c r="N670" t="s">
        <v>540</v>
      </c>
      <c r="O670" t="s">
        <v>82</v>
      </c>
      <c r="P670" t="str">
        <f>"4170042317                    "</f>
        <v xml:space="preserve">4170042317                 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20.9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1</v>
      </c>
      <c r="BI670">
        <v>1</v>
      </c>
      <c r="BJ670">
        <v>0.2</v>
      </c>
      <c r="BK670">
        <v>1</v>
      </c>
      <c r="BL670">
        <v>69.5</v>
      </c>
      <c r="BM670">
        <v>10.43</v>
      </c>
      <c r="BN670">
        <v>79.930000000000007</v>
      </c>
      <c r="BO670">
        <v>79.930000000000007</v>
      </c>
      <c r="BQ670" t="s">
        <v>541</v>
      </c>
      <c r="BR670" t="s">
        <v>84</v>
      </c>
      <c r="BS670" s="3">
        <v>45814</v>
      </c>
      <c r="BT670" s="4">
        <v>0.40625</v>
      </c>
      <c r="BU670" t="s">
        <v>1106</v>
      </c>
      <c r="BV670" t="s">
        <v>86</v>
      </c>
      <c r="BY670">
        <v>1200</v>
      </c>
      <c r="BZ670" t="s">
        <v>87</v>
      </c>
      <c r="CA670" t="s">
        <v>291</v>
      </c>
      <c r="CC670" t="s">
        <v>92</v>
      </c>
      <c r="CD670">
        <v>7441</v>
      </c>
      <c r="CE670" t="s">
        <v>89</v>
      </c>
      <c r="CF670" s="3">
        <v>45817</v>
      </c>
      <c r="CI670">
        <v>1</v>
      </c>
      <c r="CJ670">
        <v>1</v>
      </c>
      <c r="CK670">
        <v>21</v>
      </c>
      <c r="CL670" t="s">
        <v>90</v>
      </c>
    </row>
    <row r="671" spans="1:90" x14ac:dyDescent="0.3">
      <c r="A671" t="s">
        <v>72</v>
      </c>
      <c r="B671" t="s">
        <v>73</v>
      </c>
      <c r="C671" t="s">
        <v>74</v>
      </c>
      <c r="E671" t="str">
        <f>"080065788924"</f>
        <v>080065788924</v>
      </c>
      <c r="F671" s="3">
        <v>45813</v>
      </c>
      <c r="G671">
        <v>202603</v>
      </c>
      <c r="H671" t="s">
        <v>75</v>
      </c>
      <c r="I671" t="s">
        <v>76</v>
      </c>
      <c r="J671" t="s">
        <v>77</v>
      </c>
      <c r="K671" t="s">
        <v>78</v>
      </c>
      <c r="L671" t="s">
        <v>100</v>
      </c>
      <c r="M671" t="s">
        <v>101</v>
      </c>
      <c r="N671" t="s">
        <v>585</v>
      </c>
      <c r="O671" t="s">
        <v>94</v>
      </c>
      <c r="P671" t="str">
        <f>"4170042284                    "</f>
        <v xml:space="preserve">4170042284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62.1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4</v>
      </c>
      <c r="BI671">
        <v>28</v>
      </c>
      <c r="BJ671">
        <v>20.2</v>
      </c>
      <c r="BK671">
        <v>28</v>
      </c>
      <c r="BL671">
        <v>212.09</v>
      </c>
      <c r="BM671">
        <v>31.81</v>
      </c>
      <c r="BN671">
        <v>243.9</v>
      </c>
      <c r="BO671">
        <v>243.9</v>
      </c>
      <c r="BQ671" t="s">
        <v>586</v>
      </c>
      <c r="BR671" t="s">
        <v>84</v>
      </c>
      <c r="BS671" s="3">
        <v>45817</v>
      </c>
      <c r="BT671" s="4">
        <v>0.3659722222222222</v>
      </c>
      <c r="BU671" t="s">
        <v>879</v>
      </c>
      <c r="BV671" t="s">
        <v>86</v>
      </c>
      <c r="BY671">
        <v>25194</v>
      </c>
      <c r="BZ671" t="s">
        <v>97</v>
      </c>
      <c r="CA671" t="s">
        <v>589</v>
      </c>
      <c r="CC671" t="s">
        <v>101</v>
      </c>
      <c r="CD671">
        <v>6001</v>
      </c>
      <c r="CE671" t="s">
        <v>529</v>
      </c>
      <c r="CF671" s="3">
        <v>45817</v>
      </c>
      <c r="CI671">
        <v>3</v>
      </c>
      <c r="CJ671">
        <v>2</v>
      </c>
      <c r="CK671">
        <v>41</v>
      </c>
      <c r="CL671" t="s">
        <v>90</v>
      </c>
    </row>
    <row r="672" spans="1:90" x14ac:dyDescent="0.3">
      <c r="A672" t="s">
        <v>72</v>
      </c>
      <c r="B672" t="s">
        <v>73</v>
      </c>
      <c r="C672" t="s">
        <v>74</v>
      </c>
      <c r="E672" t="str">
        <f>"080065788979"</f>
        <v>080065788979</v>
      </c>
      <c r="F672" s="3">
        <v>45813</v>
      </c>
      <c r="G672">
        <v>202603</v>
      </c>
      <c r="H672" t="s">
        <v>75</v>
      </c>
      <c r="I672" t="s">
        <v>76</v>
      </c>
      <c r="J672" t="s">
        <v>77</v>
      </c>
      <c r="K672" t="s">
        <v>78</v>
      </c>
      <c r="L672" t="s">
        <v>174</v>
      </c>
      <c r="M672" t="s">
        <v>175</v>
      </c>
      <c r="N672" t="s">
        <v>176</v>
      </c>
      <c r="O672" t="s">
        <v>82</v>
      </c>
      <c r="P672" t="str">
        <f>"4170042369                    "</f>
        <v xml:space="preserve">4170042369  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135.74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1</v>
      </c>
      <c r="BI672">
        <v>13</v>
      </c>
      <c r="BJ672">
        <v>3.4</v>
      </c>
      <c r="BK672">
        <v>13</v>
      </c>
      <c r="BL672">
        <v>451.42</v>
      </c>
      <c r="BM672">
        <v>67.709999999999994</v>
      </c>
      <c r="BN672">
        <v>519.13</v>
      </c>
      <c r="BO672">
        <v>519.13</v>
      </c>
      <c r="BQ672" t="s">
        <v>177</v>
      </c>
      <c r="BR672" t="s">
        <v>84</v>
      </c>
      <c r="BS672" s="3">
        <v>45814</v>
      </c>
      <c r="BT672" s="4">
        <v>0.38680555555555557</v>
      </c>
      <c r="BU672" t="s">
        <v>178</v>
      </c>
      <c r="BV672" t="s">
        <v>86</v>
      </c>
      <c r="BY672">
        <v>16965</v>
      </c>
      <c r="BZ672" t="s">
        <v>87</v>
      </c>
      <c r="CA672" t="s">
        <v>359</v>
      </c>
      <c r="CC672" t="s">
        <v>175</v>
      </c>
      <c r="CD672">
        <v>3610</v>
      </c>
      <c r="CE672" t="s">
        <v>99</v>
      </c>
      <c r="CF672" s="3">
        <v>45814</v>
      </c>
      <c r="CI672">
        <v>1</v>
      </c>
      <c r="CJ672">
        <v>1</v>
      </c>
      <c r="CK672">
        <v>21</v>
      </c>
      <c r="CL672" t="s">
        <v>90</v>
      </c>
    </row>
    <row r="673" spans="1:90" x14ac:dyDescent="0.3">
      <c r="A673" t="s">
        <v>72</v>
      </c>
      <c r="B673" t="s">
        <v>73</v>
      </c>
      <c r="C673" t="s">
        <v>74</v>
      </c>
      <c r="E673" t="str">
        <f>"080065789036"</f>
        <v>080065789036</v>
      </c>
      <c r="F673" s="3">
        <v>45813</v>
      </c>
      <c r="G673">
        <v>202603</v>
      </c>
      <c r="H673" t="s">
        <v>75</v>
      </c>
      <c r="I673" t="s">
        <v>76</v>
      </c>
      <c r="J673" t="s">
        <v>77</v>
      </c>
      <c r="K673" t="s">
        <v>78</v>
      </c>
      <c r="L673" t="s">
        <v>91</v>
      </c>
      <c r="M673" t="s">
        <v>92</v>
      </c>
      <c r="N673" t="s">
        <v>93</v>
      </c>
      <c r="O673" t="s">
        <v>82</v>
      </c>
      <c r="P673" t="str">
        <f>"4170042302                    "</f>
        <v xml:space="preserve">4170042302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93.98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1</v>
      </c>
      <c r="BI673">
        <v>9</v>
      </c>
      <c r="BJ673">
        <v>4.3</v>
      </c>
      <c r="BK673">
        <v>9</v>
      </c>
      <c r="BL673">
        <v>312.54000000000002</v>
      </c>
      <c r="BM673">
        <v>46.88</v>
      </c>
      <c r="BN673">
        <v>359.42</v>
      </c>
      <c r="BO673">
        <v>359.42</v>
      </c>
      <c r="BQ673" t="s">
        <v>95</v>
      </c>
      <c r="BR673" t="s">
        <v>84</v>
      </c>
      <c r="BS673" s="3">
        <v>45814</v>
      </c>
      <c r="BT673" s="4">
        <v>0.36458333333333331</v>
      </c>
      <c r="BU673" t="s">
        <v>290</v>
      </c>
      <c r="BV673" t="s">
        <v>86</v>
      </c>
      <c r="BY673">
        <v>21489</v>
      </c>
      <c r="BZ673" t="s">
        <v>87</v>
      </c>
      <c r="CA673" t="s">
        <v>291</v>
      </c>
      <c r="CC673" t="s">
        <v>92</v>
      </c>
      <c r="CD673">
        <v>7441</v>
      </c>
      <c r="CE673" t="s">
        <v>99</v>
      </c>
      <c r="CF673" s="3">
        <v>45817</v>
      </c>
      <c r="CI673">
        <v>1</v>
      </c>
      <c r="CJ673">
        <v>1</v>
      </c>
      <c r="CK673">
        <v>21</v>
      </c>
      <c r="CL673" t="s">
        <v>90</v>
      </c>
    </row>
    <row r="674" spans="1:90" x14ac:dyDescent="0.3">
      <c r="A674" t="s">
        <v>72</v>
      </c>
      <c r="B674" t="s">
        <v>73</v>
      </c>
      <c r="C674" t="s">
        <v>74</v>
      </c>
      <c r="E674" t="str">
        <f>"080065789048"</f>
        <v>080065789048</v>
      </c>
      <c r="F674" s="3">
        <v>45813</v>
      </c>
      <c r="G674">
        <v>202603</v>
      </c>
      <c r="H674" t="s">
        <v>75</v>
      </c>
      <c r="I674" t="s">
        <v>76</v>
      </c>
      <c r="J674" t="s">
        <v>77</v>
      </c>
      <c r="K674" t="s">
        <v>78</v>
      </c>
      <c r="L674" t="s">
        <v>239</v>
      </c>
      <c r="M674" t="s">
        <v>240</v>
      </c>
      <c r="N674" t="s">
        <v>241</v>
      </c>
      <c r="O674" t="s">
        <v>82</v>
      </c>
      <c r="P674" t="str">
        <f>"4170042298                    "</f>
        <v xml:space="preserve">4170042298   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40.49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1</v>
      </c>
      <c r="BI674">
        <v>1</v>
      </c>
      <c r="BJ674">
        <v>0.2</v>
      </c>
      <c r="BK674">
        <v>1</v>
      </c>
      <c r="BL674">
        <v>134.65</v>
      </c>
      <c r="BM674">
        <v>20.2</v>
      </c>
      <c r="BN674">
        <v>154.85</v>
      </c>
      <c r="BO674">
        <v>154.85</v>
      </c>
      <c r="BQ674" t="s">
        <v>242</v>
      </c>
      <c r="BR674" t="s">
        <v>84</v>
      </c>
      <c r="BS674" s="3">
        <v>45814</v>
      </c>
      <c r="BT674" s="4">
        <v>0.40833333333333333</v>
      </c>
      <c r="BU674" t="s">
        <v>1361</v>
      </c>
      <c r="BV674" t="s">
        <v>86</v>
      </c>
      <c r="BY674">
        <v>1200</v>
      </c>
      <c r="BZ674" t="s">
        <v>87</v>
      </c>
      <c r="CA674" t="s">
        <v>1261</v>
      </c>
      <c r="CC674" t="s">
        <v>240</v>
      </c>
      <c r="CD674">
        <v>2531</v>
      </c>
      <c r="CE674" t="s">
        <v>89</v>
      </c>
      <c r="CF674" s="3">
        <v>45817</v>
      </c>
      <c r="CI674">
        <v>1</v>
      </c>
      <c r="CJ674">
        <v>1</v>
      </c>
      <c r="CK674">
        <v>23</v>
      </c>
      <c r="CL674" t="s">
        <v>90</v>
      </c>
    </row>
    <row r="675" spans="1:90" x14ac:dyDescent="0.3">
      <c r="A675" t="s">
        <v>72</v>
      </c>
      <c r="B675" t="s">
        <v>73</v>
      </c>
      <c r="C675" t="s">
        <v>74</v>
      </c>
      <c r="E675" t="str">
        <f>"080065789084"</f>
        <v>080065789084</v>
      </c>
      <c r="F675" s="3">
        <v>45813</v>
      </c>
      <c r="G675">
        <v>202603</v>
      </c>
      <c r="H675" t="s">
        <v>75</v>
      </c>
      <c r="I675" t="s">
        <v>76</v>
      </c>
      <c r="J675" t="s">
        <v>77</v>
      </c>
      <c r="K675" t="s">
        <v>78</v>
      </c>
      <c r="L675" t="s">
        <v>311</v>
      </c>
      <c r="M675" t="s">
        <v>312</v>
      </c>
      <c r="N675" t="s">
        <v>1112</v>
      </c>
      <c r="O675" t="s">
        <v>94</v>
      </c>
      <c r="P675" t="str">
        <f>"4170042252                    "</f>
        <v xml:space="preserve">4170042252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57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1</v>
      </c>
      <c r="BI675">
        <v>6</v>
      </c>
      <c r="BJ675">
        <v>2.6</v>
      </c>
      <c r="BK675">
        <v>6</v>
      </c>
      <c r="BL675">
        <v>195.12</v>
      </c>
      <c r="BM675">
        <v>29.27</v>
      </c>
      <c r="BN675">
        <v>224.39</v>
      </c>
      <c r="BO675">
        <v>224.39</v>
      </c>
      <c r="BQ675" t="s">
        <v>1113</v>
      </c>
      <c r="BR675" t="s">
        <v>84</v>
      </c>
      <c r="BS675" s="3">
        <v>45814</v>
      </c>
      <c r="BT675" s="4">
        <v>0.44374999999999998</v>
      </c>
      <c r="BU675" t="s">
        <v>1114</v>
      </c>
      <c r="BV675" t="s">
        <v>86</v>
      </c>
      <c r="BY675">
        <v>13104</v>
      </c>
      <c r="BZ675" t="s">
        <v>97</v>
      </c>
      <c r="CA675" t="s">
        <v>316</v>
      </c>
      <c r="CC675" t="s">
        <v>312</v>
      </c>
      <c r="CD675">
        <v>1020</v>
      </c>
      <c r="CE675" t="s">
        <v>166</v>
      </c>
      <c r="CF675" s="3">
        <v>45814</v>
      </c>
      <c r="CI675">
        <v>1</v>
      </c>
      <c r="CJ675">
        <v>1</v>
      </c>
      <c r="CK675">
        <v>43</v>
      </c>
      <c r="CL675" t="s">
        <v>90</v>
      </c>
    </row>
    <row r="676" spans="1:90" x14ac:dyDescent="0.3">
      <c r="A676" t="s">
        <v>72</v>
      </c>
      <c r="B676" t="s">
        <v>73</v>
      </c>
      <c r="C676" t="s">
        <v>74</v>
      </c>
      <c r="E676" t="str">
        <f>"080065789115"</f>
        <v>080065789115</v>
      </c>
      <c r="F676" s="3">
        <v>45813</v>
      </c>
      <c r="G676">
        <v>202603</v>
      </c>
      <c r="H676" t="s">
        <v>75</v>
      </c>
      <c r="I676" t="s">
        <v>76</v>
      </c>
      <c r="J676" t="s">
        <v>77</v>
      </c>
      <c r="K676" t="s">
        <v>78</v>
      </c>
      <c r="L676" t="s">
        <v>321</v>
      </c>
      <c r="M676" t="s">
        <v>322</v>
      </c>
      <c r="N676" t="s">
        <v>1088</v>
      </c>
      <c r="O676" t="s">
        <v>82</v>
      </c>
      <c r="P676" t="str">
        <f>"4170042445                    "</f>
        <v xml:space="preserve">4170042445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29.39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1</v>
      </c>
      <c r="BI676">
        <v>1</v>
      </c>
      <c r="BJ676">
        <v>0.2</v>
      </c>
      <c r="BK676">
        <v>1</v>
      </c>
      <c r="BL676">
        <v>97.74</v>
      </c>
      <c r="BM676">
        <v>14.66</v>
      </c>
      <c r="BN676">
        <v>112.4</v>
      </c>
      <c r="BO676">
        <v>112.4</v>
      </c>
      <c r="BQ676" t="s">
        <v>1089</v>
      </c>
      <c r="BR676" t="s">
        <v>84</v>
      </c>
      <c r="BS676" s="3">
        <v>45814</v>
      </c>
      <c r="BT676" s="4">
        <v>0.42708333333333331</v>
      </c>
      <c r="BU676" t="s">
        <v>792</v>
      </c>
      <c r="BV676" t="s">
        <v>86</v>
      </c>
      <c r="BY676">
        <v>1200</v>
      </c>
      <c r="BZ676" t="s">
        <v>87</v>
      </c>
      <c r="CA676" t="s">
        <v>326</v>
      </c>
      <c r="CC676" t="s">
        <v>322</v>
      </c>
      <c r="CD676">
        <v>1441</v>
      </c>
      <c r="CE676" t="s">
        <v>89</v>
      </c>
      <c r="CF676" s="3">
        <v>45814</v>
      </c>
      <c r="CI676">
        <v>1</v>
      </c>
      <c r="CJ676">
        <v>1</v>
      </c>
      <c r="CK676">
        <v>24</v>
      </c>
      <c r="CL676" t="s">
        <v>90</v>
      </c>
    </row>
    <row r="677" spans="1:90" x14ac:dyDescent="0.3">
      <c r="A677" t="s">
        <v>72</v>
      </c>
      <c r="B677" t="s">
        <v>73</v>
      </c>
      <c r="C677" t="s">
        <v>74</v>
      </c>
      <c r="E677" t="str">
        <f>"080065789131"</f>
        <v>080065789131</v>
      </c>
      <c r="F677" s="3">
        <v>45813</v>
      </c>
      <c r="G677">
        <v>202603</v>
      </c>
      <c r="H677" t="s">
        <v>75</v>
      </c>
      <c r="I677" t="s">
        <v>76</v>
      </c>
      <c r="J677" t="s">
        <v>77</v>
      </c>
      <c r="K677" t="s">
        <v>78</v>
      </c>
      <c r="L677" t="s">
        <v>174</v>
      </c>
      <c r="M677" t="s">
        <v>175</v>
      </c>
      <c r="N677" t="s">
        <v>926</v>
      </c>
      <c r="O677" t="s">
        <v>82</v>
      </c>
      <c r="P677" t="str">
        <f>"4170042299                    "</f>
        <v xml:space="preserve">4170042299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20.9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1</v>
      </c>
      <c r="BI677">
        <v>1</v>
      </c>
      <c r="BJ677">
        <v>0.2</v>
      </c>
      <c r="BK677">
        <v>1</v>
      </c>
      <c r="BL677">
        <v>69.5</v>
      </c>
      <c r="BM677">
        <v>10.43</v>
      </c>
      <c r="BN677">
        <v>79.930000000000007</v>
      </c>
      <c r="BO677">
        <v>79.930000000000007</v>
      </c>
      <c r="BQ677" t="s">
        <v>927</v>
      </c>
      <c r="BR677" t="s">
        <v>84</v>
      </c>
      <c r="BS677" s="3">
        <v>45814</v>
      </c>
      <c r="BT677" s="4">
        <v>0.73888888888888893</v>
      </c>
      <c r="BU677" t="s">
        <v>1171</v>
      </c>
      <c r="BV677" t="s">
        <v>90</v>
      </c>
      <c r="BW677" t="s">
        <v>416</v>
      </c>
      <c r="BX677" t="s">
        <v>595</v>
      </c>
      <c r="BY677">
        <v>1200</v>
      </c>
      <c r="BZ677" t="s">
        <v>87</v>
      </c>
      <c r="CA677" t="s">
        <v>1223</v>
      </c>
      <c r="CC677" t="s">
        <v>175</v>
      </c>
      <c r="CD677">
        <v>3610</v>
      </c>
      <c r="CE677" t="s">
        <v>89</v>
      </c>
      <c r="CF677" s="3">
        <v>45814</v>
      </c>
      <c r="CI677">
        <v>1</v>
      </c>
      <c r="CJ677">
        <v>1</v>
      </c>
      <c r="CK677">
        <v>21</v>
      </c>
      <c r="CL677" t="s">
        <v>90</v>
      </c>
    </row>
    <row r="678" spans="1:90" x14ac:dyDescent="0.3">
      <c r="A678" t="s">
        <v>72</v>
      </c>
      <c r="B678" t="s">
        <v>73</v>
      </c>
      <c r="C678" t="s">
        <v>74</v>
      </c>
      <c r="E678" t="str">
        <f>"080065789157"</f>
        <v>080065789157</v>
      </c>
      <c r="F678" s="3">
        <v>45813</v>
      </c>
      <c r="G678">
        <v>202603</v>
      </c>
      <c r="H678" t="s">
        <v>75</v>
      </c>
      <c r="I678" t="s">
        <v>76</v>
      </c>
      <c r="J678" t="s">
        <v>77</v>
      </c>
      <c r="K678" t="s">
        <v>78</v>
      </c>
      <c r="L678" t="s">
        <v>154</v>
      </c>
      <c r="M678" t="s">
        <v>154</v>
      </c>
      <c r="N678" t="s">
        <v>1158</v>
      </c>
      <c r="O678" t="s">
        <v>82</v>
      </c>
      <c r="P678" t="str">
        <f>"4170042379                    "</f>
        <v xml:space="preserve">4170042379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40.49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1</v>
      </c>
      <c r="BI678">
        <v>1</v>
      </c>
      <c r="BJ678">
        <v>0.2</v>
      </c>
      <c r="BK678">
        <v>1</v>
      </c>
      <c r="BL678">
        <v>134.65</v>
      </c>
      <c r="BM678">
        <v>20.2</v>
      </c>
      <c r="BN678">
        <v>154.85</v>
      </c>
      <c r="BO678">
        <v>154.85</v>
      </c>
      <c r="BQ678" t="s">
        <v>1159</v>
      </c>
      <c r="BR678" t="s">
        <v>84</v>
      </c>
      <c r="BS678" s="3">
        <v>45814</v>
      </c>
      <c r="BT678" s="4">
        <v>0.42638888888888887</v>
      </c>
      <c r="BU678" t="s">
        <v>1362</v>
      </c>
      <c r="BV678" t="s">
        <v>86</v>
      </c>
      <c r="BY678">
        <v>1200</v>
      </c>
      <c r="BZ678" t="s">
        <v>87</v>
      </c>
      <c r="CA678" t="s">
        <v>1285</v>
      </c>
      <c r="CC678" t="s">
        <v>154</v>
      </c>
      <c r="CD678">
        <v>7646</v>
      </c>
      <c r="CE678" t="s">
        <v>89</v>
      </c>
      <c r="CF678" s="3">
        <v>45817</v>
      </c>
      <c r="CI678">
        <v>1</v>
      </c>
      <c r="CJ678">
        <v>1</v>
      </c>
      <c r="CK678">
        <v>23</v>
      </c>
      <c r="CL678" t="s">
        <v>90</v>
      </c>
    </row>
    <row r="679" spans="1:90" x14ac:dyDescent="0.3">
      <c r="A679" t="s">
        <v>72</v>
      </c>
      <c r="B679" t="s">
        <v>73</v>
      </c>
      <c r="C679" t="s">
        <v>74</v>
      </c>
      <c r="E679" t="str">
        <f>"080065789199"</f>
        <v>080065789199</v>
      </c>
      <c r="F679" s="3">
        <v>45813</v>
      </c>
      <c r="G679">
        <v>202603</v>
      </c>
      <c r="H679" t="s">
        <v>75</v>
      </c>
      <c r="I679" t="s">
        <v>76</v>
      </c>
      <c r="J679" t="s">
        <v>77</v>
      </c>
      <c r="K679" t="s">
        <v>78</v>
      </c>
      <c r="L679" t="s">
        <v>710</v>
      </c>
      <c r="M679" t="s">
        <v>711</v>
      </c>
      <c r="N679" t="s">
        <v>712</v>
      </c>
      <c r="O679" t="s">
        <v>82</v>
      </c>
      <c r="P679" t="str">
        <f>"4170042374                    "</f>
        <v xml:space="preserve">4170042374                    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20.9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1</v>
      </c>
      <c r="BI679">
        <v>1</v>
      </c>
      <c r="BJ679">
        <v>0.2</v>
      </c>
      <c r="BK679">
        <v>1</v>
      </c>
      <c r="BL679">
        <v>69.5</v>
      </c>
      <c r="BM679">
        <v>10.43</v>
      </c>
      <c r="BN679">
        <v>79.930000000000007</v>
      </c>
      <c r="BO679">
        <v>79.930000000000007</v>
      </c>
      <c r="BQ679" t="s">
        <v>713</v>
      </c>
      <c r="BR679" t="s">
        <v>84</v>
      </c>
      <c r="BS679" s="3">
        <v>45817</v>
      </c>
      <c r="BT679" s="4">
        <v>0.38958333333333334</v>
      </c>
      <c r="BU679" t="s">
        <v>1287</v>
      </c>
      <c r="BV679" t="s">
        <v>90</v>
      </c>
      <c r="BW679" t="s">
        <v>875</v>
      </c>
      <c r="BX679" t="s">
        <v>344</v>
      </c>
      <c r="BY679">
        <v>1200</v>
      </c>
      <c r="BZ679" t="s">
        <v>87</v>
      </c>
      <c r="CC679" t="s">
        <v>711</v>
      </c>
      <c r="CD679">
        <v>7600</v>
      </c>
      <c r="CE679" t="s">
        <v>89</v>
      </c>
      <c r="CF679" s="3">
        <v>45818</v>
      </c>
      <c r="CI679">
        <v>1</v>
      </c>
      <c r="CJ679">
        <v>2</v>
      </c>
      <c r="CK679">
        <v>21</v>
      </c>
      <c r="CL679" t="s">
        <v>90</v>
      </c>
    </row>
    <row r="680" spans="1:90" x14ac:dyDescent="0.3">
      <c r="A680" t="s">
        <v>72</v>
      </c>
      <c r="B680" t="s">
        <v>73</v>
      </c>
      <c r="C680" t="s">
        <v>74</v>
      </c>
      <c r="E680" t="str">
        <f>"080065789225"</f>
        <v>080065789225</v>
      </c>
      <c r="F680" s="3">
        <v>45813</v>
      </c>
      <c r="G680">
        <v>202603</v>
      </c>
      <c r="H680" t="s">
        <v>75</v>
      </c>
      <c r="I680" t="s">
        <v>76</v>
      </c>
      <c r="J680" t="s">
        <v>77</v>
      </c>
      <c r="K680" t="s">
        <v>78</v>
      </c>
      <c r="L680" t="s">
        <v>251</v>
      </c>
      <c r="M680" t="s">
        <v>252</v>
      </c>
      <c r="N680" t="s">
        <v>567</v>
      </c>
      <c r="O680" t="s">
        <v>82</v>
      </c>
      <c r="P680" t="str">
        <f>"4170042494                    "</f>
        <v xml:space="preserve">4170042494                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20.9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1</v>
      </c>
      <c r="BI680">
        <v>1</v>
      </c>
      <c r="BJ680">
        <v>0.2</v>
      </c>
      <c r="BK680">
        <v>1</v>
      </c>
      <c r="BL680">
        <v>69.5</v>
      </c>
      <c r="BM680">
        <v>10.43</v>
      </c>
      <c r="BN680">
        <v>79.930000000000007</v>
      </c>
      <c r="BO680">
        <v>79.930000000000007</v>
      </c>
      <c r="BQ680" t="s">
        <v>568</v>
      </c>
      <c r="BR680" t="s">
        <v>84</v>
      </c>
      <c r="BS680" s="3">
        <v>45814</v>
      </c>
      <c r="BT680" s="4">
        <v>0.3888888888888889</v>
      </c>
      <c r="BU680" t="s">
        <v>569</v>
      </c>
      <c r="BV680" t="s">
        <v>86</v>
      </c>
      <c r="BY680">
        <v>1200</v>
      </c>
      <c r="BZ680" t="s">
        <v>87</v>
      </c>
      <c r="CA680" t="s">
        <v>570</v>
      </c>
      <c r="CC680" t="s">
        <v>252</v>
      </c>
      <c r="CD680">
        <v>4302</v>
      </c>
      <c r="CE680" t="s">
        <v>89</v>
      </c>
      <c r="CF680" s="3">
        <v>45814</v>
      </c>
      <c r="CI680">
        <v>1</v>
      </c>
      <c r="CJ680">
        <v>1</v>
      </c>
      <c r="CK680">
        <v>21</v>
      </c>
      <c r="CL680" t="s">
        <v>90</v>
      </c>
    </row>
    <row r="681" spans="1:90" x14ac:dyDescent="0.3">
      <c r="A681" t="s">
        <v>72</v>
      </c>
      <c r="B681" t="s">
        <v>73</v>
      </c>
      <c r="C681" t="s">
        <v>74</v>
      </c>
      <c r="E681" t="str">
        <f>"080065789252"</f>
        <v>080065789252</v>
      </c>
      <c r="F681" s="3">
        <v>45813</v>
      </c>
      <c r="G681">
        <v>202603</v>
      </c>
      <c r="H681" t="s">
        <v>75</v>
      </c>
      <c r="I681" t="s">
        <v>76</v>
      </c>
      <c r="J681" t="s">
        <v>77</v>
      </c>
      <c r="K681" t="s">
        <v>78</v>
      </c>
      <c r="L681" t="s">
        <v>821</v>
      </c>
      <c r="M681" t="s">
        <v>822</v>
      </c>
      <c r="N681" t="s">
        <v>823</v>
      </c>
      <c r="O681" t="s">
        <v>82</v>
      </c>
      <c r="P681" t="str">
        <f>"4170042320                    "</f>
        <v xml:space="preserve">4170042320                    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40.49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1</v>
      </c>
      <c r="BI681">
        <v>1</v>
      </c>
      <c r="BJ681">
        <v>0.2</v>
      </c>
      <c r="BK681">
        <v>1</v>
      </c>
      <c r="BL681">
        <v>134.65</v>
      </c>
      <c r="BM681">
        <v>20.2</v>
      </c>
      <c r="BN681">
        <v>154.85</v>
      </c>
      <c r="BO681">
        <v>154.85</v>
      </c>
      <c r="BQ681" t="s">
        <v>824</v>
      </c>
      <c r="BR681" t="s">
        <v>84</v>
      </c>
      <c r="BS681" s="3">
        <v>45818</v>
      </c>
      <c r="BT681" s="4">
        <v>0.44513888888888886</v>
      </c>
      <c r="BU681" t="s">
        <v>1363</v>
      </c>
      <c r="BV681" t="s">
        <v>90</v>
      </c>
      <c r="BW681" t="s">
        <v>1364</v>
      </c>
      <c r="BX681" t="s">
        <v>1365</v>
      </c>
      <c r="BY681">
        <v>1200</v>
      </c>
      <c r="CA681" t="s">
        <v>1366</v>
      </c>
      <c r="CC681" t="s">
        <v>822</v>
      </c>
      <c r="CD681">
        <v>7185</v>
      </c>
      <c r="CE681" t="s">
        <v>215</v>
      </c>
      <c r="CF681" s="3">
        <v>45819</v>
      </c>
      <c r="CI681">
        <v>2</v>
      </c>
      <c r="CJ681">
        <v>3</v>
      </c>
      <c r="CK681">
        <v>23</v>
      </c>
      <c r="CL681" t="s">
        <v>90</v>
      </c>
    </row>
    <row r="682" spans="1:90" x14ac:dyDescent="0.3">
      <c r="A682" t="s">
        <v>72</v>
      </c>
      <c r="B682" t="s">
        <v>73</v>
      </c>
      <c r="C682" t="s">
        <v>74</v>
      </c>
      <c r="E682" t="str">
        <f>"080065789277"</f>
        <v>080065789277</v>
      </c>
      <c r="F682" s="3">
        <v>45813</v>
      </c>
      <c r="G682">
        <v>202603</v>
      </c>
      <c r="H682" t="s">
        <v>75</v>
      </c>
      <c r="I682" t="s">
        <v>76</v>
      </c>
      <c r="J682" t="s">
        <v>77</v>
      </c>
      <c r="K682" t="s">
        <v>78</v>
      </c>
      <c r="L682" t="s">
        <v>990</v>
      </c>
      <c r="M682" t="s">
        <v>991</v>
      </c>
      <c r="N682" t="s">
        <v>992</v>
      </c>
      <c r="O682" t="s">
        <v>82</v>
      </c>
      <c r="P682" t="str">
        <f>"4170042500                    "</f>
        <v xml:space="preserve">4170042500                    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40.49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1</v>
      </c>
      <c r="BI682">
        <v>1</v>
      </c>
      <c r="BJ682">
        <v>0.2</v>
      </c>
      <c r="BK682">
        <v>1</v>
      </c>
      <c r="BL682">
        <v>134.65</v>
      </c>
      <c r="BM682">
        <v>20.2</v>
      </c>
      <c r="BN682">
        <v>154.85</v>
      </c>
      <c r="BO682">
        <v>154.85</v>
      </c>
      <c r="BQ682" t="s">
        <v>993</v>
      </c>
      <c r="BR682" t="s">
        <v>84</v>
      </c>
      <c r="BS682" s="3">
        <v>45814</v>
      </c>
      <c r="BT682" s="4">
        <v>0.64652777777777781</v>
      </c>
      <c r="BU682" t="s">
        <v>1367</v>
      </c>
      <c r="BV682" t="s">
        <v>90</v>
      </c>
      <c r="BW682" t="s">
        <v>1209</v>
      </c>
      <c r="BX682" t="s">
        <v>1368</v>
      </c>
      <c r="BY682">
        <v>1200</v>
      </c>
      <c r="BZ682" t="s">
        <v>87</v>
      </c>
      <c r="CA682" t="s">
        <v>1369</v>
      </c>
      <c r="CC682" t="s">
        <v>991</v>
      </c>
      <c r="CD682">
        <v>850</v>
      </c>
      <c r="CE682" t="s">
        <v>89</v>
      </c>
      <c r="CF682" s="3">
        <v>45814</v>
      </c>
      <c r="CI682">
        <v>1</v>
      </c>
      <c r="CJ682">
        <v>1</v>
      </c>
      <c r="CK682">
        <v>23</v>
      </c>
      <c r="CL682" t="s">
        <v>90</v>
      </c>
    </row>
    <row r="683" spans="1:90" x14ac:dyDescent="0.3">
      <c r="A683" t="s">
        <v>72</v>
      </c>
      <c r="B683" t="s">
        <v>73</v>
      </c>
      <c r="C683" t="s">
        <v>74</v>
      </c>
      <c r="E683" t="str">
        <f>"080065789305"</f>
        <v>080065789305</v>
      </c>
      <c r="F683" s="3">
        <v>45813</v>
      </c>
      <c r="G683">
        <v>202603</v>
      </c>
      <c r="H683" t="s">
        <v>75</v>
      </c>
      <c r="I683" t="s">
        <v>76</v>
      </c>
      <c r="J683" t="s">
        <v>77</v>
      </c>
      <c r="K683" t="s">
        <v>78</v>
      </c>
      <c r="L683" t="s">
        <v>555</v>
      </c>
      <c r="M683" t="s">
        <v>556</v>
      </c>
      <c r="N683" t="s">
        <v>1370</v>
      </c>
      <c r="O683" t="s">
        <v>82</v>
      </c>
      <c r="P683" t="str">
        <f>"4170042452                    "</f>
        <v xml:space="preserve">4170042452                    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40.49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1</v>
      </c>
      <c r="BI683">
        <v>1</v>
      </c>
      <c r="BJ683">
        <v>0.2</v>
      </c>
      <c r="BK683">
        <v>1</v>
      </c>
      <c r="BL683">
        <v>134.65</v>
      </c>
      <c r="BM683">
        <v>20.2</v>
      </c>
      <c r="BN683">
        <v>154.85</v>
      </c>
      <c r="BO683">
        <v>154.85</v>
      </c>
      <c r="BQ683" t="s">
        <v>1371</v>
      </c>
      <c r="BR683" t="s">
        <v>84</v>
      </c>
      <c r="BS683" s="3">
        <v>45817</v>
      </c>
      <c r="BT683" s="4">
        <v>0.52222222222222225</v>
      </c>
      <c r="BU683" t="s">
        <v>1372</v>
      </c>
      <c r="BV683" t="s">
        <v>90</v>
      </c>
      <c r="BW683" t="s">
        <v>212</v>
      </c>
      <c r="BX683" t="s">
        <v>652</v>
      </c>
      <c r="BY683">
        <v>1200</v>
      </c>
      <c r="CA683" t="s">
        <v>560</v>
      </c>
      <c r="CC683" t="s">
        <v>556</v>
      </c>
      <c r="CD683">
        <v>250</v>
      </c>
      <c r="CE683" t="s">
        <v>215</v>
      </c>
      <c r="CF683" s="3">
        <v>45818</v>
      </c>
      <c r="CI683">
        <v>1</v>
      </c>
      <c r="CJ683">
        <v>2</v>
      </c>
      <c r="CK683">
        <v>23</v>
      </c>
      <c r="CL683" t="s">
        <v>90</v>
      </c>
    </row>
    <row r="684" spans="1:90" x14ac:dyDescent="0.3">
      <c r="A684" t="s">
        <v>72</v>
      </c>
      <c r="B684" t="s">
        <v>73</v>
      </c>
      <c r="C684" t="s">
        <v>74</v>
      </c>
      <c r="E684" t="str">
        <f>"080065789321"</f>
        <v>080065789321</v>
      </c>
      <c r="F684" s="3">
        <v>45813</v>
      </c>
      <c r="G684">
        <v>202603</v>
      </c>
      <c r="H684" t="s">
        <v>75</v>
      </c>
      <c r="I684" t="s">
        <v>76</v>
      </c>
      <c r="J684" t="s">
        <v>77</v>
      </c>
      <c r="K684" t="s">
        <v>78</v>
      </c>
      <c r="L684" t="s">
        <v>91</v>
      </c>
      <c r="M684" t="s">
        <v>92</v>
      </c>
      <c r="N684" t="s">
        <v>1252</v>
      </c>
      <c r="O684" t="s">
        <v>82</v>
      </c>
      <c r="P684" t="str">
        <f>"4170042274                    "</f>
        <v xml:space="preserve">4170042274                    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20.9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1</v>
      </c>
      <c r="BI684">
        <v>1</v>
      </c>
      <c r="BJ684">
        <v>0.2</v>
      </c>
      <c r="BK684">
        <v>1</v>
      </c>
      <c r="BL684">
        <v>69.5</v>
      </c>
      <c r="BM684">
        <v>10.43</v>
      </c>
      <c r="BN684">
        <v>79.930000000000007</v>
      </c>
      <c r="BO684">
        <v>79.930000000000007</v>
      </c>
      <c r="BQ684" t="s">
        <v>1253</v>
      </c>
      <c r="BR684" t="s">
        <v>84</v>
      </c>
      <c r="BS684" s="3">
        <v>45814</v>
      </c>
      <c r="BT684" s="4">
        <v>0.40972222222222221</v>
      </c>
      <c r="BU684" t="s">
        <v>1254</v>
      </c>
      <c r="BV684" t="s">
        <v>86</v>
      </c>
      <c r="BY684">
        <v>1200</v>
      </c>
      <c r="BZ684" t="s">
        <v>87</v>
      </c>
      <c r="CA684" t="s">
        <v>1255</v>
      </c>
      <c r="CC684" t="s">
        <v>92</v>
      </c>
      <c r="CD684">
        <v>7800</v>
      </c>
      <c r="CE684" t="s">
        <v>89</v>
      </c>
      <c r="CF684" s="3">
        <v>45817</v>
      </c>
      <c r="CI684">
        <v>1</v>
      </c>
      <c r="CJ684">
        <v>1</v>
      </c>
      <c r="CK684">
        <v>21</v>
      </c>
      <c r="CL684" t="s">
        <v>90</v>
      </c>
    </row>
    <row r="685" spans="1:90" x14ac:dyDescent="0.3">
      <c r="A685" t="s">
        <v>72</v>
      </c>
      <c r="B685" t="s">
        <v>73</v>
      </c>
      <c r="C685" t="s">
        <v>74</v>
      </c>
      <c r="E685" t="str">
        <f>"080065789325"</f>
        <v>080065789325</v>
      </c>
      <c r="F685" s="3">
        <v>45813</v>
      </c>
      <c r="G685">
        <v>202603</v>
      </c>
      <c r="H685" t="s">
        <v>75</v>
      </c>
      <c r="I685" t="s">
        <v>76</v>
      </c>
      <c r="J685" t="s">
        <v>77</v>
      </c>
      <c r="K685" t="s">
        <v>78</v>
      </c>
      <c r="L685" t="s">
        <v>106</v>
      </c>
      <c r="M685" t="s">
        <v>107</v>
      </c>
      <c r="N685" t="s">
        <v>1373</v>
      </c>
      <c r="O685" t="s">
        <v>82</v>
      </c>
      <c r="P685" t="str">
        <f>"4170042285                    "</f>
        <v xml:space="preserve">4170042285                    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20.9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1</v>
      </c>
      <c r="BI685">
        <v>1</v>
      </c>
      <c r="BJ685">
        <v>0.2</v>
      </c>
      <c r="BK685">
        <v>1</v>
      </c>
      <c r="BL685">
        <v>69.5</v>
      </c>
      <c r="BM685">
        <v>10.43</v>
      </c>
      <c r="BN685">
        <v>79.930000000000007</v>
      </c>
      <c r="BO685">
        <v>79.930000000000007</v>
      </c>
      <c r="BQ685" t="s">
        <v>1374</v>
      </c>
      <c r="BR685" t="s">
        <v>84</v>
      </c>
      <c r="BS685" s="3">
        <v>45814</v>
      </c>
      <c r="BT685" s="4">
        <v>0.41736111111111113</v>
      </c>
      <c r="BU685" t="s">
        <v>1375</v>
      </c>
      <c r="BV685" t="s">
        <v>86</v>
      </c>
      <c r="BY685">
        <v>1200</v>
      </c>
      <c r="BZ685" t="s">
        <v>87</v>
      </c>
      <c r="CA685" t="s">
        <v>1376</v>
      </c>
      <c r="CC685" t="s">
        <v>107</v>
      </c>
      <c r="CD685">
        <v>1</v>
      </c>
      <c r="CE685" t="s">
        <v>89</v>
      </c>
      <c r="CF685" s="3">
        <v>45814</v>
      </c>
      <c r="CI685">
        <v>1</v>
      </c>
      <c r="CJ685">
        <v>1</v>
      </c>
      <c r="CK685">
        <v>21</v>
      </c>
      <c r="CL685" t="s">
        <v>90</v>
      </c>
    </row>
    <row r="686" spans="1:90" x14ac:dyDescent="0.3">
      <c r="A686" t="s">
        <v>72</v>
      </c>
      <c r="B686" t="s">
        <v>73</v>
      </c>
      <c r="C686" t="s">
        <v>74</v>
      </c>
      <c r="E686" t="str">
        <f>"080065789357"</f>
        <v>080065789357</v>
      </c>
      <c r="F686" s="3">
        <v>45813</v>
      </c>
      <c r="G686">
        <v>202603</v>
      </c>
      <c r="H686" t="s">
        <v>75</v>
      </c>
      <c r="I686" t="s">
        <v>76</v>
      </c>
      <c r="J686" t="s">
        <v>77</v>
      </c>
      <c r="K686" t="s">
        <v>78</v>
      </c>
      <c r="L686" t="s">
        <v>996</v>
      </c>
      <c r="M686" t="s">
        <v>997</v>
      </c>
      <c r="N686" t="s">
        <v>998</v>
      </c>
      <c r="O686" t="s">
        <v>82</v>
      </c>
      <c r="P686" t="str">
        <f>"4170042304                    "</f>
        <v xml:space="preserve">4170042304                    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40.49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1</v>
      </c>
      <c r="BI686">
        <v>1</v>
      </c>
      <c r="BJ686">
        <v>0.2</v>
      </c>
      <c r="BK686">
        <v>1</v>
      </c>
      <c r="BL686">
        <v>134.65</v>
      </c>
      <c r="BM686">
        <v>20.2</v>
      </c>
      <c r="BN686">
        <v>154.85</v>
      </c>
      <c r="BO686">
        <v>154.85</v>
      </c>
      <c r="BQ686" t="s">
        <v>999</v>
      </c>
      <c r="BR686" t="s">
        <v>84</v>
      </c>
      <c r="BS686" s="3">
        <v>45814</v>
      </c>
      <c r="BT686" s="4">
        <v>0.41666666666666669</v>
      </c>
      <c r="BU686" t="s">
        <v>1000</v>
      </c>
      <c r="BV686" t="s">
        <v>86</v>
      </c>
      <c r="BY686">
        <v>1200</v>
      </c>
      <c r="BZ686" t="s">
        <v>87</v>
      </c>
      <c r="CA686" t="s">
        <v>1001</v>
      </c>
      <c r="CC686" t="s">
        <v>997</v>
      </c>
      <c r="CD686">
        <v>3310</v>
      </c>
      <c r="CE686" t="s">
        <v>89</v>
      </c>
      <c r="CF686" s="3">
        <v>45815</v>
      </c>
      <c r="CI686">
        <v>1</v>
      </c>
      <c r="CJ686">
        <v>1</v>
      </c>
      <c r="CK686">
        <v>23</v>
      </c>
      <c r="CL686" t="s">
        <v>90</v>
      </c>
    </row>
    <row r="687" spans="1:90" x14ac:dyDescent="0.3">
      <c r="A687" t="s">
        <v>72</v>
      </c>
      <c r="B687" t="s">
        <v>73</v>
      </c>
      <c r="C687" t="s">
        <v>74</v>
      </c>
      <c r="E687" t="str">
        <f>"080065789397"</f>
        <v>080065789397</v>
      </c>
      <c r="F687" s="3">
        <v>45813</v>
      </c>
      <c r="G687">
        <v>202603</v>
      </c>
      <c r="H687" t="s">
        <v>75</v>
      </c>
      <c r="I687" t="s">
        <v>76</v>
      </c>
      <c r="J687" t="s">
        <v>77</v>
      </c>
      <c r="K687" t="s">
        <v>78</v>
      </c>
      <c r="L687" t="s">
        <v>251</v>
      </c>
      <c r="M687" t="s">
        <v>252</v>
      </c>
      <c r="N687" t="s">
        <v>567</v>
      </c>
      <c r="O687" t="s">
        <v>82</v>
      </c>
      <c r="P687" t="str">
        <f>"4170042389                    "</f>
        <v xml:space="preserve">4170042389                    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20.9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1</v>
      </c>
      <c r="BI687">
        <v>1</v>
      </c>
      <c r="BJ687">
        <v>0.2</v>
      </c>
      <c r="BK687">
        <v>1</v>
      </c>
      <c r="BL687">
        <v>69.5</v>
      </c>
      <c r="BM687">
        <v>10.43</v>
      </c>
      <c r="BN687">
        <v>79.930000000000007</v>
      </c>
      <c r="BO687">
        <v>79.930000000000007</v>
      </c>
      <c r="BQ687" t="s">
        <v>568</v>
      </c>
      <c r="BR687" t="s">
        <v>84</v>
      </c>
      <c r="BS687" s="3">
        <v>45814</v>
      </c>
      <c r="BT687" s="4">
        <v>0.3888888888888889</v>
      </c>
      <c r="BU687" t="s">
        <v>569</v>
      </c>
      <c r="BV687" t="s">
        <v>86</v>
      </c>
      <c r="BY687">
        <v>1200</v>
      </c>
      <c r="BZ687" t="s">
        <v>87</v>
      </c>
      <c r="CA687" t="s">
        <v>570</v>
      </c>
      <c r="CC687" t="s">
        <v>252</v>
      </c>
      <c r="CD687">
        <v>4302</v>
      </c>
      <c r="CE687" t="s">
        <v>89</v>
      </c>
      <c r="CF687" s="3">
        <v>45814</v>
      </c>
      <c r="CI687">
        <v>1</v>
      </c>
      <c r="CJ687">
        <v>1</v>
      </c>
      <c r="CK687">
        <v>21</v>
      </c>
      <c r="CL687" t="s">
        <v>90</v>
      </c>
    </row>
    <row r="688" spans="1:90" x14ac:dyDescent="0.3">
      <c r="A688" t="s">
        <v>72</v>
      </c>
      <c r="B688" t="s">
        <v>73</v>
      </c>
      <c r="C688" t="s">
        <v>74</v>
      </c>
      <c r="E688" t="str">
        <f>"080065789442"</f>
        <v>080065789442</v>
      </c>
      <c r="F688" s="3">
        <v>45813</v>
      </c>
      <c r="G688">
        <v>202603</v>
      </c>
      <c r="H688" t="s">
        <v>75</v>
      </c>
      <c r="I688" t="s">
        <v>76</v>
      </c>
      <c r="J688" t="s">
        <v>77</v>
      </c>
      <c r="K688" t="s">
        <v>78</v>
      </c>
      <c r="L688" t="s">
        <v>413</v>
      </c>
      <c r="M688" t="s">
        <v>414</v>
      </c>
      <c r="N688" t="s">
        <v>236</v>
      </c>
      <c r="O688" t="s">
        <v>82</v>
      </c>
      <c r="P688" t="str">
        <f>"4170042368                    "</f>
        <v xml:space="preserve">4170042368                    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20.9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1</v>
      </c>
      <c r="BI688">
        <v>1</v>
      </c>
      <c r="BJ688">
        <v>0.2</v>
      </c>
      <c r="BK688">
        <v>1</v>
      </c>
      <c r="BL688">
        <v>69.5</v>
      </c>
      <c r="BM688">
        <v>10.43</v>
      </c>
      <c r="BN688">
        <v>79.930000000000007</v>
      </c>
      <c r="BO688">
        <v>79.930000000000007</v>
      </c>
      <c r="BQ688" t="s">
        <v>237</v>
      </c>
      <c r="BR688" t="s">
        <v>84</v>
      </c>
      <c r="BS688" s="3">
        <v>45814</v>
      </c>
      <c r="BT688" s="4">
        <v>0.53333333333333333</v>
      </c>
      <c r="BU688" t="s">
        <v>415</v>
      </c>
      <c r="BV688" t="s">
        <v>90</v>
      </c>
      <c r="BW688" t="s">
        <v>212</v>
      </c>
      <c r="BX688" t="s">
        <v>213</v>
      </c>
      <c r="BY688">
        <v>1200</v>
      </c>
      <c r="BZ688" t="s">
        <v>87</v>
      </c>
      <c r="CA688" t="s">
        <v>418</v>
      </c>
      <c r="CC688" t="s">
        <v>414</v>
      </c>
      <c r="CD688">
        <v>4133</v>
      </c>
      <c r="CE688" t="s">
        <v>89</v>
      </c>
      <c r="CF688" s="3">
        <v>45814</v>
      </c>
      <c r="CI688">
        <v>1</v>
      </c>
      <c r="CJ688">
        <v>1</v>
      </c>
      <c r="CK688">
        <v>21</v>
      </c>
      <c r="CL688" t="s">
        <v>90</v>
      </c>
    </row>
    <row r="689" spans="1:90" x14ac:dyDescent="0.3">
      <c r="A689" t="s">
        <v>72</v>
      </c>
      <c r="B689" t="s">
        <v>73</v>
      </c>
      <c r="C689" t="s">
        <v>74</v>
      </c>
      <c r="E689" t="str">
        <f>"080065789852"</f>
        <v>080065789852</v>
      </c>
      <c r="F689" s="3">
        <v>45813</v>
      </c>
      <c r="G689">
        <v>202603</v>
      </c>
      <c r="H689" t="s">
        <v>75</v>
      </c>
      <c r="I689" t="s">
        <v>76</v>
      </c>
      <c r="J689" t="s">
        <v>77</v>
      </c>
      <c r="K689" t="s">
        <v>78</v>
      </c>
      <c r="L689" t="s">
        <v>106</v>
      </c>
      <c r="M689" t="s">
        <v>107</v>
      </c>
      <c r="N689" t="s">
        <v>1141</v>
      </c>
      <c r="O689" t="s">
        <v>82</v>
      </c>
      <c r="P689" t="str">
        <f>"4170042457                    "</f>
        <v xml:space="preserve">4170042457                    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20.9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1</v>
      </c>
      <c r="BI689">
        <v>2</v>
      </c>
      <c r="BJ689">
        <v>2</v>
      </c>
      <c r="BK689">
        <v>2</v>
      </c>
      <c r="BL689">
        <v>69.5</v>
      </c>
      <c r="BM689">
        <v>10.43</v>
      </c>
      <c r="BN689">
        <v>79.930000000000007</v>
      </c>
      <c r="BO689">
        <v>79.930000000000007</v>
      </c>
      <c r="BQ689" t="s">
        <v>1142</v>
      </c>
      <c r="BR689" t="s">
        <v>84</v>
      </c>
      <c r="BS689" s="3">
        <v>45814</v>
      </c>
      <c r="BT689" s="4">
        <v>0.38194444444444442</v>
      </c>
      <c r="BU689" t="s">
        <v>1143</v>
      </c>
      <c r="BV689" t="s">
        <v>86</v>
      </c>
      <c r="BY689">
        <v>9900</v>
      </c>
      <c r="BZ689" t="s">
        <v>87</v>
      </c>
      <c r="CA689" t="s">
        <v>1072</v>
      </c>
      <c r="CC689" t="s">
        <v>107</v>
      </c>
      <c r="CD689">
        <v>184</v>
      </c>
      <c r="CE689" t="s">
        <v>99</v>
      </c>
      <c r="CF689" s="3">
        <v>45814</v>
      </c>
      <c r="CI689">
        <v>1</v>
      </c>
      <c r="CJ689">
        <v>1</v>
      </c>
      <c r="CK689">
        <v>21</v>
      </c>
      <c r="CL689" t="s">
        <v>90</v>
      </c>
    </row>
    <row r="690" spans="1:90" x14ac:dyDescent="0.3">
      <c r="A690" t="s">
        <v>72</v>
      </c>
      <c r="B690" t="s">
        <v>73</v>
      </c>
      <c r="C690" t="s">
        <v>74</v>
      </c>
      <c r="E690" t="str">
        <f>"080065789889"</f>
        <v>080065789889</v>
      </c>
      <c r="F690" s="3">
        <v>45813</v>
      </c>
      <c r="G690">
        <v>202603</v>
      </c>
      <c r="H690" t="s">
        <v>75</v>
      </c>
      <c r="I690" t="s">
        <v>76</v>
      </c>
      <c r="J690" t="s">
        <v>77</v>
      </c>
      <c r="K690" t="s">
        <v>78</v>
      </c>
      <c r="L690" t="s">
        <v>154</v>
      </c>
      <c r="M690" t="s">
        <v>154</v>
      </c>
      <c r="N690" t="s">
        <v>155</v>
      </c>
      <c r="O690" t="s">
        <v>82</v>
      </c>
      <c r="P690" t="str">
        <f>"4170042303                    "</f>
        <v xml:space="preserve">4170042303                    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40.49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1</v>
      </c>
      <c r="BI690">
        <v>1</v>
      </c>
      <c r="BJ690">
        <v>0.2</v>
      </c>
      <c r="BK690">
        <v>1</v>
      </c>
      <c r="BL690">
        <v>134.65</v>
      </c>
      <c r="BM690">
        <v>20.2</v>
      </c>
      <c r="BN690">
        <v>154.85</v>
      </c>
      <c r="BO690">
        <v>154.85</v>
      </c>
      <c r="BQ690" t="s">
        <v>156</v>
      </c>
      <c r="BR690" t="s">
        <v>84</v>
      </c>
      <c r="BS690" s="3">
        <v>45814</v>
      </c>
      <c r="BT690" s="4">
        <v>0.4861111111111111</v>
      </c>
      <c r="BU690" t="s">
        <v>1331</v>
      </c>
      <c r="BV690" t="s">
        <v>86</v>
      </c>
      <c r="BY690">
        <v>1200</v>
      </c>
      <c r="BZ690" t="s">
        <v>87</v>
      </c>
      <c r="CA690" t="s">
        <v>1285</v>
      </c>
      <c r="CC690" t="s">
        <v>154</v>
      </c>
      <c r="CD690">
        <v>7646</v>
      </c>
      <c r="CE690" t="s">
        <v>89</v>
      </c>
      <c r="CF690" s="3">
        <v>45817</v>
      </c>
      <c r="CI690">
        <v>1</v>
      </c>
      <c r="CJ690">
        <v>1</v>
      </c>
      <c r="CK690">
        <v>23</v>
      </c>
      <c r="CL690" t="s">
        <v>90</v>
      </c>
    </row>
    <row r="691" spans="1:90" x14ac:dyDescent="0.3">
      <c r="A691" t="s">
        <v>72</v>
      </c>
      <c r="B691" t="s">
        <v>73</v>
      </c>
      <c r="C691" t="s">
        <v>74</v>
      </c>
      <c r="E691" t="str">
        <f>"080065790555"</f>
        <v>080065790555</v>
      </c>
      <c r="F691" s="3">
        <v>45813</v>
      </c>
      <c r="G691">
        <v>202603</v>
      </c>
      <c r="H691" t="s">
        <v>75</v>
      </c>
      <c r="I691" t="s">
        <v>76</v>
      </c>
      <c r="J691" t="s">
        <v>77</v>
      </c>
      <c r="K691" t="s">
        <v>78</v>
      </c>
      <c r="L691" t="s">
        <v>91</v>
      </c>
      <c r="M691" t="s">
        <v>92</v>
      </c>
      <c r="N691" t="s">
        <v>93</v>
      </c>
      <c r="O691" t="s">
        <v>94</v>
      </c>
      <c r="P691" t="str">
        <f>"4170042352                    "</f>
        <v xml:space="preserve">4170042352                    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93.8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2</v>
      </c>
      <c r="BI691">
        <v>18</v>
      </c>
      <c r="BJ691">
        <v>46.7</v>
      </c>
      <c r="BK691">
        <v>47</v>
      </c>
      <c r="BL691">
        <v>317.51</v>
      </c>
      <c r="BM691">
        <v>47.63</v>
      </c>
      <c r="BN691">
        <v>365.14</v>
      </c>
      <c r="BO691">
        <v>365.14</v>
      </c>
      <c r="BQ691" t="s">
        <v>95</v>
      </c>
      <c r="BR691" t="s">
        <v>84</v>
      </c>
      <c r="BS691" s="3">
        <v>45818</v>
      </c>
      <c r="BT691" s="4">
        <v>0.48819444444444443</v>
      </c>
      <c r="BU691" t="s">
        <v>1377</v>
      </c>
      <c r="BV691" t="s">
        <v>86</v>
      </c>
      <c r="BY691">
        <v>233427</v>
      </c>
      <c r="CA691" t="s">
        <v>98</v>
      </c>
      <c r="CC691" t="s">
        <v>92</v>
      </c>
      <c r="CD691">
        <v>7441</v>
      </c>
      <c r="CE691" t="s">
        <v>215</v>
      </c>
      <c r="CF691" s="3">
        <v>45819</v>
      </c>
      <c r="CI691">
        <v>3</v>
      </c>
      <c r="CJ691">
        <v>3</v>
      </c>
      <c r="CK691">
        <v>41</v>
      </c>
      <c r="CL691" t="s">
        <v>90</v>
      </c>
    </row>
    <row r="692" spans="1:90" x14ac:dyDescent="0.3">
      <c r="A692" t="s">
        <v>72</v>
      </c>
      <c r="B692" t="s">
        <v>73</v>
      </c>
      <c r="C692" t="s">
        <v>74</v>
      </c>
      <c r="E692" t="str">
        <f>"080065790758"</f>
        <v>080065790758</v>
      </c>
      <c r="F692" s="3">
        <v>45813</v>
      </c>
      <c r="G692">
        <v>202603</v>
      </c>
      <c r="H692" t="s">
        <v>75</v>
      </c>
      <c r="I692" t="s">
        <v>76</v>
      </c>
      <c r="J692" t="s">
        <v>77</v>
      </c>
      <c r="K692" t="s">
        <v>78</v>
      </c>
      <c r="L692" t="s">
        <v>91</v>
      </c>
      <c r="M692" t="s">
        <v>92</v>
      </c>
      <c r="N692" t="s">
        <v>540</v>
      </c>
      <c r="O692" t="s">
        <v>82</v>
      </c>
      <c r="P692" t="str">
        <f>"4170042480                    "</f>
        <v xml:space="preserve">4170042480                    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20.9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1</v>
      </c>
      <c r="BI692">
        <v>1</v>
      </c>
      <c r="BJ692">
        <v>0.2</v>
      </c>
      <c r="BK692">
        <v>1</v>
      </c>
      <c r="BL692">
        <v>69.5</v>
      </c>
      <c r="BM692">
        <v>10.43</v>
      </c>
      <c r="BN692">
        <v>79.930000000000007</v>
      </c>
      <c r="BO692">
        <v>79.930000000000007</v>
      </c>
      <c r="BQ692" t="s">
        <v>541</v>
      </c>
      <c r="BR692" t="s">
        <v>84</v>
      </c>
      <c r="BS692" s="3">
        <v>45814</v>
      </c>
      <c r="BT692" s="4">
        <v>0.40625</v>
      </c>
      <c r="BU692" t="s">
        <v>1106</v>
      </c>
      <c r="BV692" t="s">
        <v>86</v>
      </c>
      <c r="BY692">
        <v>1200</v>
      </c>
      <c r="BZ692" t="s">
        <v>87</v>
      </c>
      <c r="CA692" t="s">
        <v>291</v>
      </c>
      <c r="CC692" t="s">
        <v>92</v>
      </c>
      <c r="CD692">
        <v>7441</v>
      </c>
      <c r="CE692" t="s">
        <v>89</v>
      </c>
      <c r="CF692" s="3">
        <v>45817</v>
      </c>
      <c r="CI692">
        <v>1</v>
      </c>
      <c r="CJ692">
        <v>1</v>
      </c>
      <c r="CK692">
        <v>21</v>
      </c>
      <c r="CL692" t="s">
        <v>90</v>
      </c>
    </row>
    <row r="693" spans="1:90" x14ac:dyDescent="0.3">
      <c r="A693" t="s">
        <v>72</v>
      </c>
      <c r="B693" t="s">
        <v>73</v>
      </c>
      <c r="C693" t="s">
        <v>74</v>
      </c>
      <c r="E693" t="str">
        <f>"080065790781"</f>
        <v>080065790781</v>
      </c>
      <c r="F693" s="3">
        <v>45813</v>
      </c>
      <c r="G693">
        <v>202603</v>
      </c>
      <c r="H693" t="s">
        <v>75</v>
      </c>
      <c r="I693" t="s">
        <v>76</v>
      </c>
      <c r="J693" t="s">
        <v>77</v>
      </c>
      <c r="K693" t="s">
        <v>78</v>
      </c>
      <c r="L693" t="s">
        <v>91</v>
      </c>
      <c r="M693" t="s">
        <v>92</v>
      </c>
      <c r="N693" t="s">
        <v>93</v>
      </c>
      <c r="O693" t="s">
        <v>82</v>
      </c>
      <c r="P693" t="str">
        <f>"4170042476                    "</f>
        <v xml:space="preserve">4170042476                    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20.9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1</v>
      </c>
      <c r="BI693">
        <v>1</v>
      </c>
      <c r="BJ693">
        <v>0.2</v>
      </c>
      <c r="BK693">
        <v>1</v>
      </c>
      <c r="BL693">
        <v>69.5</v>
      </c>
      <c r="BM693">
        <v>10.43</v>
      </c>
      <c r="BN693">
        <v>79.930000000000007</v>
      </c>
      <c r="BO693">
        <v>79.930000000000007</v>
      </c>
      <c r="BQ693" t="s">
        <v>95</v>
      </c>
      <c r="BR693" t="s">
        <v>84</v>
      </c>
      <c r="BS693" s="3">
        <v>45814</v>
      </c>
      <c r="BT693" s="4">
        <v>0.36458333333333331</v>
      </c>
      <c r="BU693" t="s">
        <v>290</v>
      </c>
      <c r="BV693" t="s">
        <v>86</v>
      </c>
      <c r="BY693">
        <v>1200</v>
      </c>
      <c r="BZ693" t="s">
        <v>87</v>
      </c>
      <c r="CA693" t="s">
        <v>291</v>
      </c>
      <c r="CC693" t="s">
        <v>92</v>
      </c>
      <c r="CD693">
        <v>7441</v>
      </c>
      <c r="CE693" t="s">
        <v>89</v>
      </c>
      <c r="CF693" s="3">
        <v>45817</v>
      </c>
      <c r="CI693">
        <v>1</v>
      </c>
      <c r="CJ693">
        <v>1</v>
      </c>
      <c r="CK693">
        <v>21</v>
      </c>
      <c r="CL693" t="s">
        <v>90</v>
      </c>
    </row>
    <row r="694" spans="1:90" x14ac:dyDescent="0.3">
      <c r="A694" t="s">
        <v>72</v>
      </c>
      <c r="B694" t="s">
        <v>73</v>
      </c>
      <c r="C694" t="s">
        <v>74</v>
      </c>
      <c r="E694" t="str">
        <f>"080065790796"</f>
        <v>080065790796</v>
      </c>
      <c r="F694" s="3">
        <v>45813</v>
      </c>
      <c r="G694">
        <v>202603</v>
      </c>
      <c r="H694" t="s">
        <v>75</v>
      </c>
      <c r="I694" t="s">
        <v>76</v>
      </c>
      <c r="J694" t="s">
        <v>77</v>
      </c>
      <c r="K694" t="s">
        <v>78</v>
      </c>
      <c r="L694" t="s">
        <v>159</v>
      </c>
      <c r="M694" t="s">
        <v>160</v>
      </c>
      <c r="N694" t="s">
        <v>1378</v>
      </c>
      <c r="O694" t="s">
        <v>82</v>
      </c>
      <c r="P694" t="str">
        <f>"4170042534                    "</f>
        <v xml:space="preserve">4170042534                    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16.32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1</v>
      </c>
      <c r="BI694">
        <v>1</v>
      </c>
      <c r="BJ694">
        <v>0.2</v>
      </c>
      <c r="BK694">
        <v>1</v>
      </c>
      <c r="BL694">
        <v>54.28</v>
      </c>
      <c r="BM694">
        <v>8.14</v>
      </c>
      <c r="BN694">
        <v>62.42</v>
      </c>
      <c r="BO694">
        <v>62.42</v>
      </c>
      <c r="BQ694" t="s">
        <v>1379</v>
      </c>
      <c r="BR694" t="s">
        <v>84</v>
      </c>
      <c r="BS694" s="3">
        <v>45814</v>
      </c>
      <c r="BT694" s="4">
        <v>0.43611111111111112</v>
      </c>
      <c r="BU694" t="s">
        <v>1380</v>
      </c>
      <c r="BV694" t="s">
        <v>86</v>
      </c>
      <c r="BY694">
        <v>1200</v>
      </c>
      <c r="BZ694" t="s">
        <v>87</v>
      </c>
      <c r="CA694" t="s">
        <v>1381</v>
      </c>
      <c r="CC694" t="s">
        <v>160</v>
      </c>
      <c r="CD694">
        <v>2007</v>
      </c>
      <c r="CE694" t="s">
        <v>89</v>
      </c>
      <c r="CF694" s="3">
        <v>45814</v>
      </c>
      <c r="CI694">
        <v>1</v>
      </c>
      <c r="CJ694">
        <v>1</v>
      </c>
      <c r="CK694">
        <v>22</v>
      </c>
      <c r="CL694" t="s">
        <v>90</v>
      </c>
    </row>
    <row r="695" spans="1:90" x14ac:dyDescent="0.3">
      <c r="A695" t="s">
        <v>72</v>
      </c>
      <c r="B695" t="s">
        <v>73</v>
      </c>
      <c r="C695" t="s">
        <v>74</v>
      </c>
      <c r="E695" t="str">
        <f>"080065790797"</f>
        <v>080065790797</v>
      </c>
      <c r="F695" s="3">
        <v>45813</v>
      </c>
      <c r="G695">
        <v>202603</v>
      </c>
      <c r="H695" t="s">
        <v>75</v>
      </c>
      <c r="I695" t="s">
        <v>76</v>
      </c>
      <c r="J695" t="s">
        <v>77</v>
      </c>
      <c r="K695" t="s">
        <v>78</v>
      </c>
      <c r="L695" t="s">
        <v>628</v>
      </c>
      <c r="M695" t="s">
        <v>629</v>
      </c>
      <c r="N695" t="s">
        <v>630</v>
      </c>
      <c r="O695" t="s">
        <v>82</v>
      </c>
      <c r="P695" t="str">
        <f>"4170042330                    "</f>
        <v xml:space="preserve">4170042330                    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20.9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1</v>
      </c>
      <c r="BI695">
        <v>1</v>
      </c>
      <c r="BJ695">
        <v>0.2</v>
      </c>
      <c r="BK695">
        <v>1</v>
      </c>
      <c r="BL695">
        <v>69.5</v>
      </c>
      <c r="BM695">
        <v>10.43</v>
      </c>
      <c r="BN695">
        <v>79.930000000000007</v>
      </c>
      <c r="BO695">
        <v>79.930000000000007</v>
      </c>
      <c r="BQ695" t="s">
        <v>631</v>
      </c>
      <c r="BR695" t="s">
        <v>84</v>
      </c>
      <c r="BS695" s="3">
        <v>45814</v>
      </c>
      <c r="BT695" s="4">
        <v>0.43263888888888891</v>
      </c>
      <c r="BU695" t="s">
        <v>1382</v>
      </c>
      <c r="BV695" t="s">
        <v>86</v>
      </c>
      <c r="BY695">
        <v>1200</v>
      </c>
      <c r="BZ695" t="s">
        <v>87</v>
      </c>
      <c r="CA695" t="s">
        <v>223</v>
      </c>
      <c r="CC695" t="s">
        <v>629</v>
      </c>
      <c r="CD695">
        <v>6220</v>
      </c>
      <c r="CE695" t="s">
        <v>89</v>
      </c>
      <c r="CF695" s="3">
        <v>45814</v>
      </c>
      <c r="CI695">
        <v>1</v>
      </c>
      <c r="CJ695">
        <v>1</v>
      </c>
      <c r="CK695">
        <v>21</v>
      </c>
      <c r="CL695" t="s">
        <v>90</v>
      </c>
    </row>
    <row r="696" spans="1:90" x14ac:dyDescent="0.3">
      <c r="A696" t="s">
        <v>72</v>
      </c>
      <c r="B696" t="s">
        <v>73</v>
      </c>
      <c r="C696" t="s">
        <v>74</v>
      </c>
      <c r="E696" t="str">
        <f>"080065790818"</f>
        <v>080065790818</v>
      </c>
      <c r="F696" s="3">
        <v>45813</v>
      </c>
      <c r="G696">
        <v>202603</v>
      </c>
      <c r="H696" t="s">
        <v>75</v>
      </c>
      <c r="I696" t="s">
        <v>76</v>
      </c>
      <c r="J696" t="s">
        <v>77</v>
      </c>
      <c r="K696" t="s">
        <v>78</v>
      </c>
      <c r="L696" t="s">
        <v>628</v>
      </c>
      <c r="M696" t="s">
        <v>629</v>
      </c>
      <c r="N696" t="s">
        <v>630</v>
      </c>
      <c r="O696" t="s">
        <v>82</v>
      </c>
      <c r="P696" t="str">
        <f>"4170042329                    "</f>
        <v xml:space="preserve">4170042329                    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20.9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1</v>
      </c>
      <c r="BI696">
        <v>1</v>
      </c>
      <c r="BJ696">
        <v>0.2</v>
      </c>
      <c r="BK696">
        <v>1</v>
      </c>
      <c r="BL696">
        <v>69.5</v>
      </c>
      <c r="BM696">
        <v>10.43</v>
      </c>
      <c r="BN696">
        <v>79.930000000000007</v>
      </c>
      <c r="BO696">
        <v>79.930000000000007</v>
      </c>
      <c r="BQ696" t="s">
        <v>631</v>
      </c>
      <c r="BR696" t="s">
        <v>84</v>
      </c>
      <c r="BS696" s="3">
        <v>45814</v>
      </c>
      <c r="BT696" s="4">
        <v>0.43263888888888891</v>
      </c>
      <c r="BU696" t="s">
        <v>1382</v>
      </c>
      <c r="BV696" t="s">
        <v>86</v>
      </c>
      <c r="BY696">
        <v>1200</v>
      </c>
      <c r="BZ696" t="s">
        <v>87</v>
      </c>
      <c r="CA696" t="s">
        <v>223</v>
      </c>
      <c r="CC696" t="s">
        <v>629</v>
      </c>
      <c r="CD696">
        <v>6220</v>
      </c>
      <c r="CE696" t="s">
        <v>89</v>
      </c>
      <c r="CF696" s="3">
        <v>45814</v>
      </c>
      <c r="CI696">
        <v>1</v>
      </c>
      <c r="CJ696">
        <v>1</v>
      </c>
      <c r="CK696">
        <v>21</v>
      </c>
      <c r="CL696" t="s">
        <v>90</v>
      </c>
    </row>
    <row r="697" spans="1:90" x14ac:dyDescent="0.3">
      <c r="A697" t="s">
        <v>72</v>
      </c>
      <c r="B697" t="s">
        <v>73</v>
      </c>
      <c r="C697" t="s">
        <v>74</v>
      </c>
      <c r="E697" t="str">
        <f>"080065790822"</f>
        <v>080065790822</v>
      </c>
      <c r="F697" s="3">
        <v>45813</v>
      </c>
      <c r="G697">
        <v>202603</v>
      </c>
      <c r="H697" t="s">
        <v>75</v>
      </c>
      <c r="I697" t="s">
        <v>76</v>
      </c>
      <c r="J697" t="s">
        <v>77</v>
      </c>
      <c r="K697" t="s">
        <v>78</v>
      </c>
      <c r="L697" t="s">
        <v>116</v>
      </c>
      <c r="M697" t="s">
        <v>117</v>
      </c>
      <c r="N697" t="s">
        <v>183</v>
      </c>
      <c r="O697" t="s">
        <v>82</v>
      </c>
      <c r="P697" t="str">
        <f>"4170042429                    "</f>
        <v xml:space="preserve">4170042429                    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125.3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1</v>
      </c>
      <c r="BI697">
        <v>12</v>
      </c>
      <c r="BJ697">
        <v>5</v>
      </c>
      <c r="BK697">
        <v>12</v>
      </c>
      <c r="BL697">
        <v>416.7</v>
      </c>
      <c r="BM697">
        <v>62.51</v>
      </c>
      <c r="BN697">
        <v>479.21</v>
      </c>
      <c r="BO697">
        <v>479.21</v>
      </c>
      <c r="BQ697" t="s">
        <v>184</v>
      </c>
      <c r="BR697" t="s">
        <v>84</v>
      </c>
      <c r="BS697" s="3">
        <v>45814</v>
      </c>
      <c r="BT697" s="4">
        <v>0.47916666666666669</v>
      </c>
      <c r="BU697" t="s">
        <v>1278</v>
      </c>
      <c r="BV697" t="s">
        <v>86</v>
      </c>
      <c r="BY697">
        <v>24882</v>
      </c>
      <c r="BZ697" t="s">
        <v>87</v>
      </c>
      <c r="CA697" t="s">
        <v>186</v>
      </c>
      <c r="CC697" t="s">
        <v>117</v>
      </c>
      <c r="CD697">
        <v>3212</v>
      </c>
      <c r="CE697" t="s">
        <v>99</v>
      </c>
      <c r="CF697" s="3">
        <v>45815</v>
      </c>
      <c r="CI697">
        <v>2</v>
      </c>
      <c r="CJ697">
        <v>1</v>
      </c>
      <c r="CK697">
        <v>21</v>
      </c>
      <c r="CL697" t="s">
        <v>90</v>
      </c>
    </row>
    <row r="698" spans="1:90" x14ac:dyDescent="0.3">
      <c r="A698" t="s">
        <v>72</v>
      </c>
      <c r="B698" t="s">
        <v>73</v>
      </c>
      <c r="C698" t="s">
        <v>74</v>
      </c>
      <c r="E698" t="str">
        <f>"080065790845"</f>
        <v>080065790845</v>
      </c>
      <c r="F698" s="3">
        <v>45813</v>
      </c>
      <c r="G698">
        <v>202603</v>
      </c>
      <c r="H698" t="s">
        <v>75</v>
      </c>
      <c r="I698" t="s">
        <v>76</v>
      </c>
      <c r="J698" t="s">
        <v>77</v>
      </c>
      <c r="K698" t="s">
        <v>78</v>
      </c>
      <c r="L698" t="s">
        <v>266</v>
      </c>
      <c r="M698" t="s">
        <v>267</v>
      </c>
      <c r="N698" t="s">
        <v>561</v>
      </c>
      <c r="O698" t="s">
        <v>82</v>
      </c>
      <c r="P698" t="str">
        <f>"4170042478                    "</f>
        <v xml:space="preserve">4170042478                    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20.9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1</v>
      </c>
      <c r="BI698">
        <v>1</v>
      </c>
      <c r="BJ698">
        <v>0.2</v>
      </c>
      <c r="BK698">
        <v>1</v>
      </c>
      <c r="BL698">
        <v>69.5</v>
      </c>
      <c r="BM698">
        <v>10.43</v>
      </c>
      <c r="BN698">
        <v>79.930000000000007</v>
      </c>
      <c r="BO698">
        <v>79.930000000000007</v>
      </c>
      <c r="BQ698" t="s">
        <v>562</v>
      </c>
      <c r="BR698" t="s">
        <v>84</v>
      </c>
      <c r="BS698" s="3">
        <v>45814</v>
      </c>
      <c r="BT698" s="4">
        <v>0.37916666666666665</v>
      </c>
      <c r="BU698" t="s">
        <v>1383</v>
      </c>
      <c r="BV698" t="s">
        <v>86</v>
      </c>
      <c r="BY698">
        <v>1200</v>
      </c>
      <c r="BZ698" t="s">
        <v>87</v>
      </c>
      <c r="CA698" t="s">
        <v>271</v>
      </c>
      <c r="CC698" t="s">
        <v>267</v>
      </c>
      <c r="CD698">
        <v>6230</v>
      </c>
      <c r="CE698" t="s">
        <v>89</v>
      </c>
      <c r="CF698" s="3">
        <v>45814</v>
      </c>
      <c r="CI698">
        <v>1</v>
      </c>
      <c r="CJ698">
        <v>1</v>
      </c>
      <c r="CK698">
        <v>21</v>
      </c>
      <c r="CL698" t="s">
        <v>90</v>
      </c>
    </row>
    <row r="699" spans="1:90" x14ac:dyDescent="0.3">
      <c r="A699" t="s">
        <v>72</v>
      </c>
      <c r="B699" t="s">
        <v>73</v>
      </c>
      <c r="C699" t="s">
        <v>74</v>
      </c>
      <c r="E699" t="str">
        <f>"080065790890"</f>
        <v>080065790890</v>
      </c>
      <c r="F699" s="3">
        <v>45813</v>
      </c>
      <c r="G699">
        <v>202603</v>
      </c>
      <c r="H699" t="s">
        <v>75</v>
      </c>
      <c r="I699" t="s">
        <v>76</v>
      </c>
      <c r="J699" t="s">
        <v>77</v>
      </c>
      <c r="K699" t="s">
        <v>78</v>
      </c>
      <c r="L699" t="s">
        <v>106</v>
      </c>
      <c r="M699" t="s">
        <v>107</v>
      </c>
      <c r="N699" t="s">
        <v>495</v>
      </c>
      <c r="O699" t="s">
        <v>82</v>
      </c>
      <c r="P699" t="str">
        <f>"4170042443                    "</f>
        <v xml:space="preserve">4170042443                    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20.9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1</v>
      </c>
      <c r="BI699">
        <v>1</v>
      </c>
      <c r="BJ699">
        <v>0.2</v>
      </c>
      <c r="BK699">
        <v>1</v>
      </c>
      <c r="BL699">
        <v>69.5</v>
      </c>
      <c r="BM699">
        <v>10.43</v>
      </c>
      <c r="BN699">
        <v>79.930000000000007</v>
      </c>
      <c r="BO699">
        <v>79.930000000000007</v>
      </c>
      <c r="BQ699" t="s">
        <v>496</v>
      </c>
      <c r="BR699" t="s">
        <v>84</v>
      </c>
      <c r="BS699" s="3">
        <v>45814</v>
      </c>
      <c r="BT699" s="4">
        <v>0.4201388888888889</v>
      </c>
      <c r="BU699" t="s">
        <v>1384</v>
      </c>
      <c r="BV699" t="s">
        <v>86</v>
      </c>
      <c r="BY699">
        <v>1200</v>
      </c>
      <c r="BZ699" t="s">
        <v>87</v>
      </c>
      <c r="CA699" t="s">
        <v>1376</v>
      </c>
      <c r="CC699" t="s">
        <v>107</v>
      </c>
      <c r="CD699">
        <v>2</v>
      </c>
      <c r="CE699" t="s">
        <v>89</v>
      </c>
      <c r="CF699" s="3">
        <v>45814</v>
      </c>
      <c r="CI699">
        <v>1</v>
      </c>
      <c r="CJ699">
        <v>1</v>
      </c>
      <c r="CK699">
        <v>21</v>
      </c>
      <c r="CL699" t="s">
        <v>90</v>
      </c>
    </row>
    <row r="700" spans="1:90" x14ac:dyDescent="0.3">
      <c r="A700" t="s">
        <v>72</v>
      </c>
      <c r="B700" t="s">
        <v>73</v>
      </c>
      <c r="C700" t="s">
        <v>74</v>
      </c>
      <c r="E700" t="str">
        <f>"080065790911"</f>
        <v>080065790911</v>
      </c>
      <c r="F700" s="3">
        <v>45813</v>
      </c>
      <c r="G700">
        <v>202603</v>
      </c>
      <c r="H700" t="s">
        <v>75</v>
      </c>
      <c r="I700" t="s">
        <v>76</v>
      </c>
      <c r="J700" t="s">
        <v>77</v>
      </c>
      <c r="K700" t="s">
        <v>78</v>
      </c>
      <c r="L700" t="s">
        <v>106</v>
      </c>
      <c r="M700" t="s">
        <v>107</v>
      </c>
      <c r="N700" t="s">
        <v>1141</v>
      </c>
      <c r="O700" t="s">
        <v>82</v>
      </c>
      <c r="P700" t="str">
        <f>"4170042282                    "</f>
        <v xml:space="preserve">4170042282                    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20.9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1</v>
      </c>
      <c r="BI700">
        <v>2</v>
      </c>
      <c r="BJ700">
        <v>1.4</v>
      </c>
      <c r="BK700">
        <v>2</v>
      </c>
      <c r="BL700">
        <v>69.5</v>
      </c>
      <c r="BM700">
        <v>10.43</v>
      </c>
      <c r="BN700">
        <v>79.930000000000007</v>
      </c>
      <c r="BO700">
        <v>79.930000000000007</v>
      </c>
      <c r="BQ700" t="s">
        <v>1142</v>
      </c>
      <c r="BR700" t="s">
        <v>84</v>
      </c>
      <c r="BS700" s="3">
        <v>45814</v>
      </c>
      <c r="BT700" s="4">
        <v>0.38194444444444442</v>
      </c>
      <c r="BU700" t="s">
        <v>1143</v>
      </c>
      <c r="BV700" t="s">
        <v>86</v>
      </c>
      <c r="BY700">
        <v>7000</v>
      </c>
      <c r="BZ700" t="s">
        <v>87</v>
      </c>
      <c r="CA700" t="s">
        <v>1072</v>
      </c>
      <c r="CC700" t="s">
        <v>107</v>
      </c>
      <c r="CD700">
        <v>184</v>
      </c>
      <c r="CE700" t="s">
        <v>99</v>
      </c>
      <c r="CF700" s="3">
        <v>45814</v>
      </c>
      <c r="CI700">
        <v>1</v>
      </c>
      <c r="CJ700">
        <v>1</v>
      </c>
      <c r="CK700">
        <v>21</v>
      </c>
      <c r="CL700" t="s">
        <v>90</v>
      </c>
    </row>
    <row r="701" spans="1:90" x14ac:dyDescent="0.3">
      <c r="A701" t="s">
        <v>72</v>
      </c>
      <c r="B701" t="s">
        <v>73</v>
      </c>
      <c r="C701" t="s">
        <v>74</v>
      </c>
      <c r="E701" t="str">
        <f>"080065791032"</f>
        <v>080065791032</v>
      </c>
      <c r="F701" s="3">
        <v>45813</v>
      </c>
      <c r="G701">
        <v>202603</v>
      </c>
      <c r="H701" t="s">
        <v>75</v>
      </c>
      <c r="I701" t="s">
        <v>76</v>
      </c>
      <c r="J701" t="s">
        <v>77</v>
      </c>
      <c r="K701" t="s">
        <v>78</v>
      </c>
      <c r="L701" t="s">
        <v>100</v>
      </c>
      <c r="M701" t="s">
        <v>101</v>
      </c>
      <c r="N701" t="s">
        <v>1078</v>
      </c>
      <c r="O701" t="s">
        <v>82</v>
      </c>
      <c r="P701" t="str">
        <f>"4170042489                    "</f>
        <v xml:space="preserve">4170042489                    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20.9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1</v>
      </c>
      <c r="BI701">
        <v>1</v>
      </c>
      <c r="BJ701">
        <v>1.7</v>
      </c>
      <c r="BK701">
        <v>2</v>
      </c>
      <c r="BL701">
        <v>69.5</v>
      </c>
      <c r="BM701">
        <v>10.43</v>
      </c>
      <c r="BN701">
        <v>79.930000000000007</v>
      </c>
      <c r="BO701">
        <v>79.930000000000007</v>
      </c>
      <c r="BQ701" t="s">
        <v>1079</v>
      </c>
      <c r="BR701" t="s">
        <v>84</v>
      </c>
      <c r="BS701" s="3">
        <v>45814</v>
      </c>
      <c r="BT701" s="4">
        <v>0.41666666666666669</v>
      </c>
      <c r="BU701" t="s">
        <v>1385</v>
      </c>
      <c r="BV701" t="s">
        <v>86</v>
      </c>
      <c r="BY701">
        <v>8550</v>
      </c>
      <c r="BZ701" t="s">
        <v>87</v>
      </c>
      <c r="CA701" t="s">
        <v>271</v>
      </c>
      <c r="CC701" t="s">
        <v>101</v>
      </c>
      <c r="CD701">
        <v>6001</v>
      </c>
      <c r="CE701" t="s">
        <v>99</v>
      </c>
      <c r="CF701" s="3">
        <v>45814</v>
      </c>
      <c r="CI701">
        <v>1</v>
      </c>
      <c r="CJ701">
        <v>1</v>
      </c>
      <c r="CK701">
        <v>21</v>
      </c>
      <c r="CL701" t="s">
        <v>90</v>
      </c>
    </row>
    <row r="702" spans="1:90" x14ac:dyDescent="0.3">
      <c r="A702" t="s">
        <v>72</v>
      </c>
      <c r="B702" t="s">
        <v>73</v>
      </c>
      <c r="C702" t="s">
        <v>74</v>
      </c>
      <c r="E702" t="str">
        <f>"080065791094"</f>
        <v>080065791094</v>
      </c>
      <c r="F702" s="3">
        <v>45813</v>
      </c>
      <c r="G702">
        <v>202603</v>
      </c>
      <c r="H702" t="s">
        <v>75</v>
      </c>
      <c r="I702" t="s">
        <v>76</v>
      </c>
      <c r="J702" t="s">
        <v>77</v>
      </c>
      <c r="K702" t="s">
        <v>78</v>
      </c>
      <c r="L702" t="s">
        <v>79</v>
      </c>
      <c r="M702" t="s">
        <v>80</v>
      </c>
      <c r="N702" t="s">
        <v>1386</v>
      </c>
      <c r="O702" t="s">
        <v>82</v>
      </c>
      <c r="P702" t="str">
        <f>"4170042501                    "</f>
        <v xml:space="preserve">4170042501                    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29.39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16.739999999999998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1</v>
      </c>
      <c r="BI702">
        <v>1</v>
      </c>
      <c r="BJ702">
        <v>1.9</v>
      </c>
      <c r="BK702">
        <v>2</v>
      </c>
      <c r="BL702">
        <v>114.48</v>
      </c>
      <c r="BM702">
        <v>17.170000000000002</v>
      </c>
      <c r="BN702">
        <v>131.65</v>
      </c>
      <c r="BO702">
        <v>131.65</v>
      </c>
      <c r="BQ702" t="s">
        <v>1387</v>
      </c>
      <c r="BR702" t="s">
        <v>84</v>
      </c>
      <c r="BS702" s="3">
        <v>45814</v>
      </c>
      <c r="BT702" s="4">
        <v>0.51458333333333328</v>
      </c>
      <c r="BU702" t="s">
        <v>1388</v>
      </c>
      <c r="BV702" t="s">
        <v>86</v>
      </c>
      <c r="BY702">
        <v>9600</v>
      </c>
      <c r="BZ702" t="s">
        <v>431</v>
      </c>
      <c r="CC702" t="s">
        <v>80</v>
      </c>
      <c r="CD702">
        <v>1723</v>
      </c>
      <c r="CE702" t="s">
        <v>99</v>
      </c>
      <c r="CF702" s="3">
        <v>45817</v>
      </c>
      <c r="CI702">
        <v>1</v>
      </c>
      <c r="CJ702">
        <v>1</v>
      </c>
      <c r="CK702">
        <v>24</v>
      </c>
      <c r="CL702" t="s">
        <v>90</v>
      </c>
    </row>
    <row r="703" spans="1:90" x14ac:dyDescent="0.3">
      <c r="A703" t="s">
        <v>72</v>
      </c>
      <c r="B703" t="s">
        <v>73</v>
      </c>
      <c r="C703" t="s">
        <v>74</v>
      </c>
      <c r="E703" t="str">
        <f>"080065791168"</f>
        <v>080065791168</v>
      </c>
      <c r="F703" s="3">
        <v>45813</v>
      </c>
      <c r="G703">
        <v>202603</v>
      </c>
      <c r="H703" t="s">
        <v>75</v>
      </c>
      <c r="I703" t="s">
        <v>76</v>
      </c>
      <c r="J703" t="s">
        <v>77</v>
      </c>
      <c r="K703" t="s">
        <v>78</v>
      </c>
      <c r="L703" t="s">
        <v>369</v>
      </c>
      <c r="M703" t="s">
        <v>370</v>
      </c>
      <c r="N703" t="s">
        <v>371</v>
      </c>
      <c r="O703" t="s">
        <v>82</v>
      </c>
      <c r="P703" t="str">
        <f>"4170042385                    "</f>
        <v xml:space="preserve">4170042385                    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40.49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1</v>
      </c>
      <c r="BI703">
        <v>2</v>
      </c>
      <c r="BJ703">
        <v>1.1000000000000001</v>
      </c>
      <c r="BK703">
        <v>2</v>
      </c>
      <c r="BL703">
        <v>134.65</v>
      </c>
      <c r="BM703">
        <v>20.2</v>
      </c>
      <c r="BN703">
        <v>154.85</v>
      </c>
      <c r="BO703">
        <v>154.85</v>
      </c>
      <c r="BQ703" t="s">
        <v>372</v>
      </c>
      <c r="BR703" t="s">
        <v>84</v>
      </c>
      <c r="BS703" s="3">
        <v>45814</v>
      </c>
      <c r="BT703" s="4">
        <v>0.40625</v>
      </c>
      <c r="BU703" t="s">
        <v>1282</v>
      </c>
      <c r="BV703" t="s">
        <v>86</v>
      </c>
      <c r="BY703">
        <v>5320</v>
      </c>
      <c r="BZ703" t="s">
        <v>87</v>
      </c>
      <c r="CA703" t="s">
        <v>374</v>
      </c>
      <c r="CC703" t="s">
        <v>370</v>
      </c>
      <c r="CD703">
        <v>7130</v>
      </c>
      <c r="CE703" t="s">
        <v>99</v>
      </c>
      <c r="CF703" s="3">
        <v>45817</v>
      </c>
      <c r="CI703">
        <v>1</v>
      </c>
      <c r="CJ703">
        <v>1</v>
      </c>
      <c r="CK703">
        <v>23</v>
      </c>
      <c r="CL703" t="s">
        <v>90</v>
      </c>
    </row>
    <row r="704" spans="1:90" x14ac:dyDescent="0.3">
      <c r="A704" t="s">
        <v>72</v>
      </c>
      <c r="B704" t="s">
        <v>73</v>
      </c>
      <c r="C704" t="s">
        <v>74</v>
      </c>
      <c r="E704" t="str">
        <f>"080065791239"</f>
        <v>080065791239</v>
      </c>
      <c r="F704" s="3">
        <v>45813</v>
      </c>
      <c r="G704">
        <v>202603</v>
      </c>
      <c r="H704" t="s">
        <v>75</v>
      </c>
      <c r="I704" t="s">
        <v>76</v>
      </c>
      <c r="J704" t="s">
        <v>77</v>
      </c>
      <c r="K704" t="s">
        <v>78</v>
      </c>
      <c r="L704" t="s">
        <v>100</v>
      </c>
      <c r="M704" t="s">
        <v>101</v>
      </c>
      <c r="N704" t="s">
        <v>492</v>
      </c>
      <c r="O704" t="s">
        <v>82</v>
      </c>
      <c r="P704" t="str">
        <f>"4170042361                    "</f>
        <v xml:space="preserve">4170042361                    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78.319999999999993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1</v>
      </c>
      <c r="BI704">
        <v>3</v>
      </c>
      <c r="BJ704">
        <v>7.1</v>
      </c>
      <c r="BK704">
        <v>7.5</v>
      </c>
      <c r="BL704">
        <v>260.45999999999998</v>
      </c>
      <c r="BM704">
        <v>39.07</v>
      </c>
      <c r="BN704">
        <v>299.52999999999997</v>
      </c>
      <c r="BO704">
        <v>299.52999999999997</v>
      </c>
      <c r="BQ704" t="s">
        <v>493</v>
      </c>
      <c r="BR704" t="s">
        <v>84</v>
      </c>
      <c r="BS704" s="3">
        <v>45814</v>
      </c>
      <c r="BT704" s="4">
        <v>0.55069444444444449</v>
      </c>
      <c r="BU704" t="s">
        <v>1389</v>
      </c>
      <c r="BV704" t="s">
        <v>90</v>
      </c>
      <c r="BY704">
        <v>35568</v>
      </c>
      <c r="BZ704" t="s">
        <v>87</v>
      </c>
      <c r="CC704" t="s">
        <v>101</v>
      </c>
      <c r="CD704">
        <v>6001</v>
      </c>
      <c r="CE704" t="s">
        <v>166</v>
      </c>
      <c r="CF704" s="3">
        <v>45817</v>
      </c>
      <c r="CI704">
        <v>1</v>
      </c>
      <c r="CJ704">
        <v>1</v>
      </c>
      <c r="CK704">
        <v>21</v>
      </c>
      <c r="CL704" t="s">
        <v>90</v>
      </c>
    </row>
    <row r="705" spans="1:90" x14ac:dyDescent="0.3">
      <c r="A705" t="s">
        <v>72</v>
      </c>
      <c r="B705" t="s">
        <v>73</v>
      </c>
      <c r="C705" t="s">
        <v>74</v>
      </c>
      <c r="E705" t="str">
        <f>"080065791374"</f>
        <v>080065791374</v>
      </c>
      <c r="F705" s="3">
        <v>45813</v>
      </c>
      <c r="G705">
        <v>202603</v>
      </c>
      <c r="H705" t="s">
        <v>75</v>
      </c>
      <c r="I705" t="s">
        <v>76</v>
      </c>
      <c r="J705" t="s">
        <v>77</v>
      </c>
      <c r="K705" t="s">
        <v>78</v>
      </c>
      <c r="L705" t="s">
        <v>350</v>
      </c>
      <c r="M705" t="s">
        <v>351</v>
      </c>
      <c r="N705" t="s">
        <v>933</v>
      </c>
      <c r="O705" t="s">
        <v>94</v>
      </c>
      <c r="P705" t="str">
        <f>"4170042251                    "</f>
        <v xml:space="preserve">4170042251                    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40.409999999999997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1</v>
      </c>
      <c r="BI705">
        <v>5</v>
      </c>
      <c r="BJ705">
        <v>2</v>
      </c>
      <c r="BK705">
        <v>5</v>
      </c>
      <c r="BL705">
        <v>139.96</v>
      </c>
      <c r="BM705">
        <v>20.99</v>
      </c>
      <c r="BN705">
        <v>160.94999999999999</v>
      </c>
      <c r="BO705">
        <v>160.94999999999999</v>
      </c>
      <c r="BQ705" t="s">
        <v>934</v>
      </c>
      <c r="BR705" t="s">
        <v>84</v>
      </c>
      <c r="BS705" s="3">
        <v>45814</v>
      </c>
      <c r="BT705" s="4">
        <v>0.38472222222222224</v>
      </c>
      <c r="BU705" t="s">
        <v>935</v>
      </c>
      <c r="BV705" t="s">
        <v>86</v>
      </c>
      <c r="BY705">
        <v>10032</v>
      </c>
      <c r="BZ705" t="s">
        <v>97</v>
      </c>
      <c r="CA705" t="s">
        <v>515</v>
      </c>
      <c r="CC705" t="s">
        <v>351</v>
      </c>
      <c r="CD705">
        <v>157</v>
      </c>
      <c r="CE705" t="s">
        <v>166</v>
      </c>
      <c r="CF705" s="3">
        <v>45814</v>
      </c>
      <c r="CI705">
        <v>1</v>
      </c>
      <c r="CJ705">
        <v>1</v>
      </c>
      <c r="CK705">
        <v>41</v>
      </c>
      <c r="CL705" t="s">
        <v>90</v>
      </c>
    </row>
    <row r="706" spans="1:90" x14ac:dyDescent="0.3">
      <c r="A706" t="s">
        <v>72</v>
      </c>
      <c r="B706" t="s">
        <v>73</v>
      </c>
      <c r="C706" t="s">
        <v>74</v>
      </c>
      <c r="E706" t="str">
        <f>"080065791404"</f>
        <v>080065791404</v>
      </c>
      <c r="F706" s="3">
        <v>45813</v>
      </c>
      <c r="G706">
        <v>202603</v>
      </c>
      <c r="H706" t="s">
        <v>75</v>
      </c>
      <c r="I706" t="s">
        <v>76</v>
      </c>
      <c r="J706" t="s">
        <v>77</v>
      </c>
      <c r="K706" t="s">
        <v>78</v>
      </c>
      <c r="L706" t="s">
        <v>100</v>
      </c>
      <c r="M706" t="s">
        <v>101</v>
      </c>
      <c r="N706" t="s">
        <v>585</v>
      </c>
      <c r="O706" t="s">
        <v>82</v>
      </c>
      <c r="P706" t="str">
        <f>"4170042529                    "</f>
        <v xml:space="preserve">4170042529                    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20.9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1</v>
      </c>
      <c r="BI706">
        <v>1</v>
      </c>
      <c r="BJ706">
        <v>1.4</v>
      </c>
      <c r="BK706">
        <v>1.5</v>
      </c>
      <c r="BL706">
        <v>69.5</v>
      </c>
      <c r="BM706">
        <v>10.43</v>
      </c>
      <c r="BN706">
        <v>79.930000000000007</v>
      </c>
      <c r="BO706">
        <v>79.930000000000007</v>
      </c>
      <c r="BQ706" t="s">
        <v>586</v>
      </c>
      <c r="BR706" t="s">
        <v>84</v>
      </c>
      <c r="BS706" s="3">
        <v>45814</v>
      </c>
      <c r="BT706" s="4">
        <v>0.39930555555555558</v>
      </c>
      <c r="BU706" t="s">
        <v>1390</v>
      </c>
      <c r="BV706" t="s">
        <v>86</v>
      </c>
      <c r="BY706">
        <v>6760</v>
      </c>
      <c r="BZ706" t="s">
        <v>87</v>
      </c>
      <c r="CA706" t="s">
        <v>589</v>
      </c>
      <c r="CC706" t="s">
        <v>101</v>
      </c>
      <c r="CD706">
        <v>6001</v>
      </c>
      <c r="CE706" t="s">
        <v>166</v>
      </c>
      <c r="CF706" s="3">
        <v>45814</v>
      </c>
      <c r="CI706">
        <v>1</v>
      </c>
      <c r="CJ706">
        <v>1</v>
      </c>
      <c r="CK706">
        <v>21</v>
      </c>
      <c r="CL706" t="s">
        <v>90</v>
      </c>
    </row>
    <row r="707" spans="1:90" x14ac:dyDescent="0.3">
      <c r="A707" t="s">
        <v>72</v>
      </c>
      <c r="B707" t="s">
        <v>73</v>
      </c>
      <c r="C707" t="s">
        <v>74</v>
      </c>
      <c r="E707" t="str">
        <f>"080065791413"</f>
        <v>080065791413</v>
      </c>
      <c r="F707" s="3">
        <v>45813</v>
      </c>
      <c r="G707">
        <v>202603</v>
      </c>
      <c r="H707" t="s">
        <v>75</v>
      </c>
      <c r="I707" t="s">
        <v>76</v>
      </c>
      <c r="J707" t="s">
        <v>77</v>
      </c>
      <c r="K707" t="s">
        <v>78</v>
      </c>
      <c r="L707" t="s">
        <v>79</v>
      </c>
      <c r="M707" t="s">
        <v>80</v>
      </c>
      <c r="N707" t="s">
        <v>236</v>
      </c>
      <c r="O707" t="s">
        <v>94</v>
      </c>
      <c r="P707" t="str">
        <f>"4170042406                    "</f>
        <v xml:space="preserve">4170042406                    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66.77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1</v>
      </c>
      <c r="BI707">
        <v>19</v>
      </c>
      <c r="BJ707">
        <v>33.1</v>
      </c>
      <c r="BK707">
        <v>34</v>
      </c>
      <c r="BL707">
        <v>227.62</v>
      </c>
      <c r="BM707">
        <v>34.14</v>
      </c>
      <c r="BN707">
        <v>261.76</v>
      </c>
      <c r="BO707">
        <v>261.76</v>
      </c>
      <c r="BQ707" t="s">
        <v>237</v>
      </c>
      <c r="BR707" t="s">
        <v>84</v>
      </c>
      <c r="BS707" s="3">
        <v>45814</v>
      </c>
      <c r="BT707" s="4">
        <v>0.45347222222222222</v>
      </c>
      <c r="BU707" t="s">
        <v>1391</v>
      </c>
      <c r="BV707" t="s">
        <v>86</v>
      </c>
      <c r="BY707">
        <v>165600</v>
      </c>
      <c r="BZ707" t="s">
        <v>97</v>
      </c>
      <c r="CA707" t="s">
        <v>1392</v>
      </c>
      <c r="CC707" t="s">
        <v>80</v>
      </c>
      <c r="CD707">
        <v>1754</v>
      </c>
      <c r="CE707" t="s">
        <v>99</v>
      </c>
      <c r="CF707" s="3">
        <v>45815</v>
      </c>
      <c r="CI707">
        <v>1</v>
      </c>
      <c r="CJ707">
        <v>1</v>
      </c>
      <c r="CK707">
        <v>44</v>
      </c>
      <c r="CL707" t="s">
        <v>90</v>
      </c>
    </row>
    <row r="708" spans="1:90" x14ac:dyDescent="0.3">
      <c r="A708" t="s">
        <v>72</v>
      </c>
      <c r="B708" t="s">
        <v>73</v>
      </c>
      <c r="C708" t="s">
        <v>74</v>
      </c>
      <c r="E708" t="str">
        <f>"080065791426"</f>
        <v>080065791426</v>
      </c>
      <c r="F708" s="3">
        <v>45813</v>
      </c>
      <c r="G708">
        <v>202603</v>
      </c>
      <c r="H708" t="s">
        <v>75</v>
      </c>
      <c r="I708" t="s">
        <v>76</v>
      </c>
      <c r="J708" t="s">
        <v>77</v>
      </c>
      <c r="K708" t="s">
        <v>78</v>
      </c>
      <c r="L708" t="s">
        <v>106</v>
      </c>
      <c r="M708" t="s">
        <v>107</v>
      </c>
      <c r="N708" t="s">
        <v>1393</v>
      </c>
      <c r="O708" t="s">
        <v>82</v>
      </c>
      <c r="P708" t="str">
        <f>"4170042464                    "</f>
        <v xml:space="preserve">4170042464                    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20.9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1</v>
      </c>
      <c r="BI708">
        <v>1</v>
      </c>
      <c r="BJ708">
        <v>1.1000000000000001</v>
      </c>
      <c r="BK708">
        <v>1.5</v>
      </c>
      <c r="BL708">
        <v>69.5</v>
      </c>
      <c r="BM708">
        <v>10.43</v>
      </c>
      <c r="BN708">
        <v>79.930000000000007</v>
      </c>
      <c r="BO708">
        <v>79.930000000000007</v>
      </c>
      <c r="BQ708" t="s">
        <v>1394</v>
      </c>
      <c r="BR708" t="s">
        <v>84</v>
      </c>
      <c r="BS708" s="3">
        <v>45814</v>
      </c>
      <c r="BT708" s="4">
        <v>0.41944444444444445</v>
      </c>
      <c r="BU708" t="s">
        <v>1395</v>
      </c>
      <c r="BV708" t="s">
        <v>86</v>
      </c>
      <c r="BY708">
        <v>5320</v>
      </c>
      <c r="BZ708" t="s">
        <v>87</v>
      </c>
      <c r="CA708" t="s">
        <v>1396</v>
      </c>
      <c r="CC708" t="s">
        <v>107</v>
      </c>
      <c r="CD708">
        <v>2</v>
      </c>
      <c r="CE708" t="s">
        <v>99</v>
      </c>
      <c r="CF708" s="3">
        <v>45817</v>
      </c>
      <c r="CI708">
        <v>1</v>
      </c>
      <c r="CJ708">
        <v>1</v>
      </c>
      <c r="CK708">
        <v>21</v>
      </c>
      <c r="CL708" t="s">
        <v>90</v>
      </c>
    </row>
    <row r="709" spans="1:90" x14ac:dyDescent="0.3">
      <c r="A709" t="s">
        <v>72</v>
      </c>
      <c r="B709" t="s">
        <v>73</v>
      </c>
      <c r="C709" t="s">
        <v>74</v>
      </c>
      <c r="E709" t="str">
        <f>"080065791435"</f>
        <v>080065791435</v>
      </c>
      <c r="F709" s="3">
        <v>45813</v>
      </c>
      <c r="G709">
        <v>202603</v>
      </c>
      <c r="H709" t="s">
        <v>75</v>
      </c>
      <c r="I709" t="s">
        <v>76</v>
      </c>
      <c r="J709" t="s">
        <v>77</v>
      </c>
      <c r="K709" t="s">
        <v>78</v>
      </c>
      <c r="L709" t="s">
        <v>100</v>
      </c>
      <c r="M709" t="s">
        <v>101</v>
      </c>
      <c r="N709" t="s">
        <v>581</v>
      </c>
      <c r="O709" t="s">
        <v>82</v>
      </c>
      <c r="P709" t="str">
        <f>"4170042456                    "</f>
        <v xml:space="preserve">4170042456                    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20.9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1</v>
      </c>
      <c r="BI709">
        <v>1</v>
      </c>
      <c r="BJ709">
        <v>1.1000000000000001</v>
      </c>
      <c r="BK709">
        <v>1.5</v>
      </c>
      <c r="BL709">
        <v>69.5</v>
      </c>
      <c r="BM709">
        <v>10.43</v>
      </c>
      <c r="BN709">
        <v>79.930000000000007</v>
      </c>
      <c r="BO709">
        <v>79.930000000000007</v>
      </c>
      <c r="BQ709" t="s">
        <v>582</v>
      </c>
      <c r="BR709" t="s">
        <v>84</v>
      </c>
      <c r="BS709" s="3">
        <v>45814</v>
      </c>
      <c r="BT709" s="4">
        <v>0.41041666666666665</v>
      </c>
      <c r="BU709" t="s">
        <v>1068</v>
      </c>
      <c r="BV709" t="s">
        <v>86</v>
      </c>
      <c r="BY709">
        <v>5640</v>
      </c>
      <c r="BZ709" t="s">
        <v>87</v>
      </c>
      <c r="CA709" t="s">
        <v>235</v>
      </c>
      <c r="CC709" t="s">
        <v>101</v>
      </c>
      <c r="CD709">
        <v>6056</v>
      </c>
      <c r="CE709" t="s">
        <v>99</v>
      </c>
      <c r="CF709" s="3">
        <v>45814</v>
      </c>
      <c r="CI709">
        <v>1</v>
      </c>
      <c r="CJ709">
        <v>1</v>
      </c>
      <c r="CK709">
        <v>21</v>
      </c>
      <c r="CL709" t="s">
        <v>90</v>
      </c>
    </row>
    <row r="710" spans="1:90" x14ac:dyDescent="0.3">
      <c r="A710" t="s">
        <v>72</v>
      </c>
      <c r="B710" t="s">
        <v>73</v>
      </c>
      <c r="C710" t="s">
        <v>74</v>
      </c>
      <c r="E710" t="str">
        <f>"080065791445"</f>
        <v>080065791445</v>
      </c>
      <c r="F710" s="3">
        <v>45813</v>
      </c>
      <c r="G710">
        <v>202603</v>
      </c>
      <c r="H710" t="s">
        <v>75</v>
      </c>
      <c r="I710" t="s">
        <v>76</v>
      </c>
      <c r="J710" t="s">
        <v>77</v>
      </c>
      <c r="K710" t="s">
        <v>78</v>
      </c>
      <c r="L710" t="s">
        <v>154</v>
      </c>
      <c r="M710" t="s">
        <v>154</v>
      </c>
      <c r="N710" t="s">
        <v>1397</v>
      </c>
      <c r="O710" t="s">
        <v>94</v>
      </c>
      <c r="P710" t="str">
        <f>"4170042444                    "</f>
        <v xml:space="preserve">4170042444                    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71.55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1</v>
      </c>
      <c r="BI710">
        <v>20</v>
      </c>
      <c r="BJ710">
        <v>0.6</v>
      </c>
      <c r="BK710">
        <v>20</v>
      </c>
      <c r="BL710">
        <v>243.52</v>
      </c>
      <c r="BM710">
        <v>36.53</v>
      </c>
      <c r="BN710">
        <v>280.05</v>
      </c>
      <c r="BO710">
        <v>280.05</v>
      </c>
      <c r="BQ710" t="s">
        <v>1398</v>
      </c>
      <c r="BR710" t="s">
        <v>84</v>
      </c>
      <c r="BS710" s="3">
        <v>45817</v>
      </c>
      <c r="BT710" s="4">
        <v>0.58125000000000004</v>
      </c>
      <c r="BU710" t="s">
        <v>1399</v>
      </c>
      <c r="BV710" t="s">
        <v>86</v>
      </c>
      <c r="BY710">
        <v>2944</v>
      </c>
      <c r="CA710" t="s">
        <v>158</v>
      </c>
      <c r="CC710" t="s">
        <v>154</v>
      </c>
      <c r="CD710">
        <v>7646</v>
      </c>
      <c r="CE710" t="s">
        <v>687</v>
      </c>
      <c r="CF710" s="3">
        <v>45818</v>
      </c>
      <c r="CI710">
        <v>3</v>
      </c>
      <c r="CJ710">
        <v>2</v>
      </c>
      <c r="CK710">
        <v>43</v>
      </c>
      <c r="CL710" t="s">
        <v>90</v>
      </c>
    </row>
    <row r="711" spans="1:90" x14ac:dyDescent="0.3">
      <c r="A711" t="s">
        <v>72</v>
      </c>
      <c r="B711" t="s">
        <v>73</v>
      </c>
      <c r="C711" t="s">
        <v>74</v>
      </c>
      <c r="E711" t="str">
        <f>"080065791455"</f>
        <v>080065791455</v>
      </c>
      <c r="F711" s="3">
        <v>45813</v>
      </c>
      <c r="G711">
        <v>202603</v>
      </c>
      <c r="H711" t="s">
        <v>75</v>
      </c>
      <c r="I711" t="s">
        <v>76</v>
      </c>
      <c r="J711" t="s">
        <v>77</v>
      </c>
      <c r="K711" t="s">
        <v>78</v>
      </c>
      <c r="L711" t="s">
        <v>91</v>
      </c>
      <c r="M711" t="s">
        <v>92</v>
      </c>
      <c r="N711" t="s">
        <v>540</v>
      </c>
      <c r="O711" t="s">
        <v>82</v>
      </c>
      <c r="P711" t="str">
        <f>"4170042536                    "</f>
        <v xml:space="preserve">4170042536                    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31.34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1</v>
      </c>
      <c r="BI711">
        <v>2</v>
      </c>
      <c r="BJ711">
        <v>2.7</v>
      </c>
      <c r="BK711">
        <v>3</v>
      </c>
      <c r="BL711">
        <v>104.22</v>
      </c>
      <c r="BM711">
        <v>15.63</v>
      </c>
      <c r="BN711">
        <v>119.85</v>
      </c>
      <c r="BO711">
        <v>119.85</v>
      </c>
      <c r="BQ711" t="s">
        <v>541</v>
      </c>
      <c r="BR711" t="s">
        <v>84</v>
      </c>
      <c r="BS711" s="3">
        <v>45814</v>
      </c>
      <c r="BT711" s="4">
        <v>0.40625</v>
      </c>
      <c r="BU711" t="s">
        <v>1106</v>
      </c>
      <c r="BV711" t="s">
        <v>86</v>
      </c>
      <c r="BY711">
        <v>13720</v>
      </c>
      <c r="BZ711" t="s">
        <v>87</v>
      </c>
      <c r="CA711" t="s">
        <v>291</v>
      </c>
      <c r="CC711" t="s">
        <v>92</v>
      </c>
      <c r="CD711">
        <v>7441</v>
      </c>
      <c r="CE711" t="s">
        <v>166</v>
      </c>
      <c r="CF711" s="3">
        <v>45817</v>
      </c>
      <c r="CI711">
        <v>1</v>
      </c>
      <c r="CJ711">
        <v>1</v>
      </c>
      <c r="CK711">
        <v>21</v>
      </c>
      <c r="CL711" t="s">
        <v>90</v>
      </c>
    </row>
    <row r="712" spans="1:90" x14ac:dyDescent="0.3">
      <c r="A712" t="s">
        <v>72</v>
      </c>
      <c r="B712" t="s">
        <v>73</v>
      </c>
      <c r="C712" t="s">
        <v>74</v>
      </c>
      <c r="E712" t="str">
        <f>"080065791471"</f>
        <v>080065791471</v>
      </c>
      <c r="F712" s="3">
        <v>45813</v>
      </c>
      <c r="G712">
        <v>202603</v>
      </c>
      <c r="H712" t="s">
        <v>75</v>
      </c>
      <c r="I712" t="s">
        <v>76</v>
      </c>
      <c r="J712" t="s">
        <v>77</v>
      </c>
      <c r="K712" t="s">
        <v>78</v>
      </c>
      <c r="L712" t="s">
        <v>870</v>
      </c>
      <c r="M712" t="s">
        <v>871</v>
      </c>
      <c r="N712" t="s">
        <v>872</v>
      </c>
      <c r="O712" t="s">
        <v>94</v>
      </c>
      <c r="P712" t="str">
        <f>"4170042469                    "</f>
        <v xml:space="preserve">4170042469                    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106.49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1</v>
      </c>
      <c r="BI712">
        <v>12</v>
      </c>
      <c r="BJ712">
        <v>31.6</v>
      </c>
      <c r="BK712">
        <v>32</v>
      </c>
      <c r="BL712">
        <v>359.7</v>
      </c>
      <c r="BM712">
        <v>53.96</v>
      </c>
      <c r="BN712">
        <v>413.66</v>
      </c>
      <c r="BO712">
        <v>413.66</v>
      </c>
      <c r="BQ712" t="s">
        <v>873</v>
      </c>
      <c r="BR712" t="s">
        <v>84</v>
      </c>
      <c r="BS712" s="3">
        <v>45817</v>
      </c>
      <c r="BT712" s="4">
        <v>0.65763888888888888</v>
      </c>
      <c r="BU712" t="s">
        <v>874</v>
      </c>
      <c r="BV712" t="s">
        <v>86</v>
      </c>
      <c r="BY712">
        <v>157920</v>
      </c>
      <c r="CA712" t="s">
        <v>877</v>
      </c>
      <c r="CC712" t="s">
        <v>871</v>
      </c>
      <c r="CD712">
        <v>7299</v>
      </c>
      <c r="CE712" t="s">
        <v>687</v>
      </c>
      <c r="CF712" s="3">
        <v>45818</v>
      </c>
      <c r="CI712">
        <v>3</v>
      </c>
      <c r="CJ712">
        <v>2</v>
      </c>
      <c r="CK712">
        <v>43</v>
      </c>
      <c r="CL712" t="s">
        <v>90</v>
      </c>
    </row>
    <row r="713" spans="1:90" x14ac:dyDescent="0.3">
      <c r="A713" t="s">
        <v>72</v>
      </c>
      <c r="B713" t="s">
        <v>73</v>
      </c>
      <c r="C713" t="s">
        <v>74</v>
      </c>
      <c r="E713" t="str">
        <f>"080065791584"</f>
        <v>080065791584</v>
      </c>
      <c r="F713" s="3">
        <v>45813</v>
      </c>
      <c r="G713">
        <v>202603</v>
      </c>
      <c r="H713" t="s">
        <v>75</v>
      </c>
      <c r="I713" t="s">
        <v>76</v>
      </c>
      <c r="J713" t="s">
        <v>77</v>
      </c>
      <c r="K713" t="s">
        <v>78</v>
      </c>
      <c r="L713" t="s">
        <v>461</v>
      </c>
      <c r="M713" t="s">
        <v>462</v>
      </c>
      <c r="N713" t="s">
        <v>1400</v>
      </c>
      <c r="O713" t="s">
        <v>94</v>
      </c>
      <c r="P713" t="str">
        <f>"4170042254                    "</f>
        <v xml:space="preserve">4170042254                    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90.44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3</v>
      </c>
      <c r="BI713">
        <v>46</v>
      </c>
      <c r="BJ713">
        <v>79.5</v>
      </c>
      <c r="BK713">
        <v>80</v>
      </c>
      <c r="BL713">
        <v>306.33</v>
      </c>
      <c r="BM713">
        <v>45.95</v>
      </c>
      <c r="BN713">
        <v>352.28</v>
      </c>
      <c r="BO713">
        <v>352.28</v>
      </c>
      <c r="BQ713" t="s">
        <v>1401</v>
      </c>
      <c r="BR713" t="s">
        <v>84</v>
      </c>
      <c r="BS713" s="3">
        <v>45814</v>
      </c>
      <c r="BT713" s="4">
        <v>0.42986111111111114</v>
      </c>
      <c r="BU713" t="s">
        <v>1177</v>
      </c>
      <c r="BV713" t="s">
        <v>86</v>
      </c>
      <c r="BY713">
        <v>397440</v>
      </c>
      <c r="BZ713" t="s">
        <v>97</v>
      </c>
      <c r="CC713" t="s">
        <v>462</v>
      </c>
      <c r="CD713">
        <v>1684</v>
      </c>
      <c r="CE713" t="s">
        <v>99</v>
      </c>
      <c r="CF713" s="3">
        <v>45815</v>
      </c>
      <c r="CI713">
        <v>1</v>
      </c>
      <c r="CJ713">
        <v>1</v>
      </c>
      <c r="CK713">
        <v>42</v>
      </c>
      <c r="CL713" t="s">
        <v>90</v>
      </c>
    </row>
    <row r="714" spans="1:90" x14ac:dyDescent="0.3">
      <c r="A714" t="s">
        <v>72</v>
      </c>
      <c r="B714" t="s">
        <v>73</v>
      </c>
      <c r="C714" t="s">
        <v>74</v>
      </c>
      <c r="E714" t="str">
        <f>"080065791726"</f>
        <v>080065791726</v>
      </c>
      <c r="F714" s="3">
        <v>45813</v>
      </c>
      <c r="G714">
        <v>202603</v>
      </c>
      <c r="H714" t="s">
        <v>75</v>
      </c>
      <c r="I714" t="s">
        <v>76</v>
      </c>
      <c r="J714" t="s">
        <v>77</v>
      </c>
      <c r="K714" t="s">
        <v>78</v>
      </c>
      <c r="L714" t="s">
        <v>91</v>
      </c>
      <c r="M714" t="s">
        <v>92</v>
      </c>
      <c r="N714" t="s">
        <v>540</v>
      </c>
      <c r="O714" t="s">
        <v>82</v>
      </c>
      <c r="P714" t="str">
        <f>"4170042354                    "</f>
        <v xml:space="preserve">4170042354                    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20.9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1</v>
      </c>
      <c r="BI714">
        <v>1</v>
      </c>
      <c r="BJ714">
        <v>0.2</v>
      </c>
      <c r="BK714">
        <v>1</v>
      </c>
      <c r="BL714">
        <v>69.5</v>
      </c>
      <c r="BM714">
        <v>10.43</v>
      </c>
      <c r="BN714">
        <v>79.930000000000007</v>
      </c>
      <c r="BO714">
        <v>79.930000000000007</v>
      </c>
      <c r="BQ714" t="s">
        <v>541</v>
      </c>
      <c r="BR714" t="s">
        <v>84</v>
      </c>
      <c r="BS714" s="3">
        <v>45814</v>
      </c>
      <c r="BT714" s="4">
        <v>0.40625</v>
      </c>
      <c r="BU714" t="s">
        <v>1106</v>
      </c>
      <c r="BV714" t="s">
        <v>86</v>
      </c>
      <c r="BY714">
        <v>1200</v>
      </c>
      <c r="BZ714" t="s">
        <v>87</v>
      </c>
      <c r="CA714" t="s">
        <v>291</v>
      </c>
      <c r="CC714" t="s">
        <v>92</v>
      </c>
      <c r="CD714">
        <v>7441</v>
      </c>
      <c r="CE714" t="s">
        <v>89</v>
      </c>
      <c r="CF714" s="3">
        <v>45817</v>
      </c>
      <c r="CI714">
        <v>1</v>
      </c>
      <c r="CJ714">
        <v>1</v>
      </c>
      <c r="CK714">
        <v>21</v>
      </c>
      <c r="CL714" t="s">
        <v>90</v>
      </c>
    </row>
    <row r="715" spans="1:90" x14ac:dyDescent="0.3">
      <c r="A715" t="s">
        <v>72</v>
      </c>
      <c r="B715" t="s">
        <v>73</v>
      </c>
      <c r="C715" t="s">
        <v>74</v>
      </c>
      <c r="E715" t="str">
        <f>"080065791744"</f>
        <v>080065791744</v>
      </c>
      <c r="F715" s="3">
        <v>45813</v>
      </c>
      <c r="G715">
        <v>202603</v>
      </c>
      <c r="H715" t="s">
        <v>75</v>
      </c>
      <c r="I715" t="s">
        <v>76</v>
      </c>
      <c r="J715" t="s">
        <v>77</v>
      </c>
      <c r="K715" t="s">
        <v>78</v>
      </c>
      <c r="L715" t="s">
        <v>331</v>
      </c>
      <c r="M715" t="s">
        <v>332</v>
      </c>
      <c r="N715" t="s">
        <v>484</v>
      </c>
      <c r="O715" t="s">
        <v>82</v>
      </c>
      <c r="P715" t="str">
        <f>"4170042327                    "</f>
        <v xml:space="preserve">4170042327                    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52.22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1</v>
      </c>
      <c r="BI715">
        <v>5</v>
      </c>
      <c r="BJ715">
        <v>1.9</v>
      </c>
      <c r="BK715">
        <v>5</v>
      </c>
      <c r="BL715">
        <v>173.66</v>
      </c>
      <c r="BM715">
        <v>26.05</v>
      </c>
      <c r="BN715">
        <v>199.71</v>
      </c>
      <c r="BO715">
        <v>199.71</v>
      </c>
      <c r="BQ715" t="s">
        <v>485</v>
      </c>
      <c r="BR715" t="s">
        <v>84</v>
      </c>
      <c r="BS715" s="3">
        <v>45814</v>
      </c>
      <c r="BT715" s="4">
        <v>0.46111111111111114</v>
      </c>
      <c r="BU715" t="s">
        <v>1324</v>
      </c>
      <c r="BV715" t="s">
        <v>90</v>
      </c>
      <c r="BY715">
        <v>9600</v>
      </c>
      <c r="BZ715" t="s">
        <v>87</v>
      </c>
      <c r="CA715" t="s">
        <v>418</v>
      </c>
      <c r="CC715" t="s">
        <v>332</v>
      </c>
      <c r="CD715">
        <v>4052</v>
      </c>
      <c r="CE715" t="s">
        <v>99</v>
      </c>
      <c r="CF715" s="3">
        <v>45814</v>
      </c>
      <c r="CI715">
        <v>1</v>
      </c>
      <c r="CJ715">
        <v>1</v>
      </c>
      <c r="CK715">
        <v>21</v>
      </c>
      <c r="CL715" t="s">
        <v>90</v>
      </c>
    </row>
    <row r="716" spans="1:90" x14ac:dyDescent="0.3">
      <c r="A716" t="s">
        <v>72</v>
      </c>
      <c r="B716" t="s">
        <v>73</v>
      </c>
      <c r="C716" t="s">
        <v>74</v>
      </c>
      <c r="E716" t="str">
        <f>"080065791769"</f>
        <v>080065791769</v>
      </c>
      <c r="F716" s="3">
        <v>45813</v>
      </c>
      <c r="G716">
        <v>202603</v>
      </c>
      <c r="H716" t="s">
        <v>75</v>
      </c>
      <c r="I716" t="s">
        <v>76</v>
      </c>
      <c r="J716" t="s">
        <v>77</v>
      </c>
      <c r="K716" t="s">
        <v>78</v>
      </c>
      <c r="L716" t="s">
        <v>100</v>
      </c>
      <c r="M716" t="s">
        <v>101</v>
      </c>
      <c r="N716" t="s">
        <v>492</v>
      </c>
      <c r="O716" t="s">
        <v>82</v>
      </c>
      <c r="P716" t="str">
        <f>"4170042362                    "</f>
        <v xml:space="preserve">4170042362                    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20.9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1</v>
      </c>
      <c r="BI716">
        <v>1</v>
      </c>
      <c r="BJ716">
        <v>0.2</v>
      </c>
      <c r="BK716">
        <v>1</v>
      </c>
      <c r="BL716">
        <v>69.5</v>
      </c>
      <c r="BM716">
        <v>10.43</v>
      </c>
      <c r="BN716">
        <v>79.930000000000007</v>
      </c>
      <c r="BO716">
        <v>79.930000000000007</v>
      </c>
      <c r="BQ716" t="s">
        <v>493</v>
      </c>
      <c r="BR716" t="s">
        <v>84</v>
      </c>
      <c r="BS716" s="3">
        <v>45814</v>
      </c>
      <c r="BT716" s="4">
        <v>0.42986111111111114</v>
      </c>
      <c r="BU716" t="s">
        <v>1213</v>
      </c>
      <c r="BV716" t="s">
        <v>86</v>
      </c>
      <c r="BY716">
        <v>1200</v>
      </c>
      <c r="BZ716" t="s">
        <v>87</v>
      </c>
      <c r="CA716" t="s">
        <v>394</v>
      </c>
      <c r="CC716" t="s">
        <v>101</v>
      </c>
      <c r="CD716">
        <v>6001</v>
      </c>
      <c r="CE716" t="s">
        <v>89</v>
      </c>
      <c r="CF716" s="3">
        <v>45814</v>
      </c>
      <c r="CI716">
        <v>1</v>
      </c>
      <c r="CJ716">
        <v>1</v>
      </c>
      <c r="CK716">
        <v>21</v>
      </c>
      <c r="CL716" t="s">
        <v>90</v>
      </c>
    </row>
    <row r="717" spans="1:90" x14ac:dyDescent="0.3">
      <c r="A717" t="s">
        <v>72</v>
      </c>
      <c r="B717" t="s">
        <v>73</v>
      </c>
      <c r="C717" t="s">
        <v>74</v>
      </c>
      <c r="E717" t="str">
        <f>"080065791775"</f>
        <v>080065791775</v>
      </c>
      <c r="F717" s="3">
        <v>45813</v>
      </c>
      <c r="G717">
        <v>202603</v>
      </c>
      <c r="H717" t="s">
        <v>75</v>
      </c>
      <c r="I717" t="s">
        <v>76</v>
      </c>
      <c r="J717" t="s">
        <v>77</v>
      </c>
      <c r="K717" t="s">
        <v>78</v>
      </c>
      <c r="L717" t="s">
        <v>100</v>
      </c>
      <c r="M717" t="s">
        <v>101</v>
      </c>
      <c r="N717" t="s">
        <v>102</v>
      </c>
      <c r="O717" t="s">
        <v>82</v>
      </c>
      <c r="P717" t="str">
        <f>"4170042411                    "</f>
        <v xml:space="preserve">4170042411                    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57.44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1</v>
      </c>
      <c r="BI717">
        <v>5</v>
      </c>
      <c r="BJ717">
        <v>5.3</v>
      </c>
      <c r="BK717">
        <v>5.5</v>
      </c>
      <c r="BL717">
        <v>191.02</v>
      </c>
      <c r="BM717">
        <v>28.65</v>
      </c>
      <c r="BN717">
        <v>219.67</v>
      </c>
      <c r="BO717">
        <v>219.67</v>
      </c>
      <c r="BQ717" t="s">
        <v>103</v>
      </c>
      <c r="BR717" t="s">
        <v>84</v>
      </c>
      <c r="BS717" s="3">
        <v>45814</v>
      </c>
      <c r="BT717" s="4">
        <v>0.45347222222222222</v>
      </c>
      <c r="BU717" t="s">
        <v>709</v>
      </c>
      <c r="BV717" t="s">
        <v>90</v>
      </c>
      <c r="BY717">
        <v>26448</v>
      </c>
      <c r="BZ717" t="s">
        <v>87</v>
      </c>
      <c r="CA717" t="s">
        <v>235</v>
      </c>
      <c r="CC717" t="s">
        <v>101</v>
      </c>
      <c r="CD717">
        <v>6056</v>
      </c>
      <c r="CE717" t="s">
        <v>99</v>
      </c>
      <c r="CF717" s="3">
        <v>45814</v>
      </c>
      <c r="CI717">
        <v>1</v>
      </c>
      <c r="CJ717">
        <v>1</v>
      </c>
      <c r="CK717">
        <v>21</v>
      </c>
      <c r="CL717" t="s">
        <v>90</v>
      </c>
    </row>
    <row r="718" spans="1:90" x14ac:dyDescent="0.3">
      <c r="A718" t="s">
        <v>72</v>
      </c>
      <c r="B718" t="s">
        <v>73</v>
      </c>
      <c r="C718" t="s">
        <v>74</v>
      </c>
      <c r="E718" t="str">
        <f>"080065791781"</f>
        <v>080065791781</v>
      </c>
      <c r="F718" s="3">
        <v>45813</v>
      </c>
      <c r="G718">
        <v>202603</v>
      </c>
      <c r="H718" t="s">
        <v>75</v>
      </c>
      <c r="I718" t="s">
        <v>76</v>
      </c>
      <c r="J718" t="s">
        <v>77</v>
      </c>
      <c r="K718" t="s">
        <v>78</v>
      </c>
      <c r="L718" t="s">
        <v>130</v>
      </c>
      <c r="M718" t="s">
        <v>131</v>
      </c>
      <c r="N718" t="s">
        <v>422</v>
      </c>
      <c r="O718" t="s">
        <v>82</v>
      </c>
      <c r="P718" t="str">
        <f>"4170042513                    "</f>
        <v xml:space="preserve">4170042513                    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16.32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1</v>
      </c>
      <c r="BI718">
        <v>1</v>
      </c>
      <c r="BJ718">
        <v>0.2</v>
      </c>
      <c r="BK718">
        <v>1</v>
      </c>
      <c r="BL718">
        <v>54.28</v>
      </c>
      <c r="BM718">
        <v>8.14</v>
      </c>
      <c r="BN718">
        <v>62.42</v>
      </c>
      <c r="BO718">
        <v>62.42</v>
      </c>
      <c r="BQ718" t="s">
        <v>423</v>
      </c>
      <c r="BR718" t="s">
        <v>84</v>
      </c>
      <c r="BS718" s="3">
        <v>45814</v>
      </c>
      <c r="BT718" s="4">
        <v>0.34166666666666667</v>
      </c>
      <c r="BU718" t="s">
        <v>508</v>
      </c>
      <c r="BV718" t="s">
        <v>86</v>
      </c>
      <c r="BY718">
        <v>1200</v>
      </c>
      <c r="BZ718" t="s">
        <v>87</v>
      </c>
      <c r="CA718" t="s">
        <v>425</v>
      </c>
      <c r="CC718" t="s">
        <v>131</v>
      </c>
      <c r="CD718">
        <v>1459</v>
      </c>
      <c r="CE718" t="s">
        <v>89</v>
      </c>
      <c r="CF718" s="3">
        <v>45814</v>
      </c>
      <c r="CI718">
        <v>1</v>
      </c>
      <c r="CJ718">
        <v>1</v>
      </c>
      <c r="CK718">
        <v>22</v>
      </c>
      <c r="CL718" t="s">
        <v>90</v>
      </c>
    </row>
    <row r="719" spans="1:90" x14ac:dyDescent="0.3">
      <c r="A719" t="s">
        <v>72</v>
      </c>
      <c r="B719" t="s">
        <v>73</v>
      </c>
      <c r="C719" t="s">
        <v>74</v>
      </c>
      <c r="E719" t="str">
        <f>"080065791800"</f>
        <v>080065791800</v>
      </c>
      <c r="F719" s="3">
        <v>45813</v>
      </c>
      <c r="G719">
        <v>202603</v>
      </c>
      <c r="H719" t="s">
        <v>75</v>
      </c>
      <c r="I719" t="s">
        <v>76</v>
      </c>
      <c r="J719" t="s">
        <v>77</v>
      </c>
      <c r="K719" t="s">
        <v>78</v>
      </c>
      <c r="L719" t="s">
        <v>239</v>
      </c>
      <c r="M719" t="s">
        <v>240</v>
      </c>
      <c r="N719" t="s">
        <v>241</v>
      </c>
      <c r="O719" t="s">
        <v>82</v>
      </c>
      <c r="P719" t="str">
        <f>"4170042522                    "</f>
        <v xml:space="preserve">4170042522                    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40.49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1</v>
      </c>
      <c r="BI719">
        <v>1</v>
      </c>
      <c r="BJ719">
        <v>0.2</v>
      </c>
      <c r="BK719">
        <v>1</v>
      </c>
      <c r="BL719">
        <v>134.65</v>
      </c>
      <c r="BM719">
        <v>20.2</v>
      </c>
      <c r="BN719">
        <v>154.85</v>
      </c>
      <c r="BO719">
        <v>154.85</v>
      </c>
      <c r="BQ719" t="s">
        <v>242</v>
      </c>
      <c r="BR719" t="s">
        <v>84</v>
      </c>
      <c r="BS719" s="3">
        <v>45814</v>
      </c>
      <c r="BT719" s="4">
        <v>0.40833333333333333</v>
      </c>
      <c r="BU719" t="s">
        <v>1361</v>
      </c>
      <c r="BV719" t="s">
        <v>86</v>
      </c>
      <c r="BY719">
        <v>1200</v>
      </c>
      <c r="BZ719" t="s">
        <v>87</v>
      </c>
      <c r="CA719" t="s">
        <v>1261</v>
      </c>
      <c r="CC719" t="s">
        <v>240</v>
      </c>
      <c r="CD719">
        <v>2531</v>
      </c>
      <c r="CE719" t="s">
        <v>89</v>
      </c>
      <c r="CF719" s="3">
        <v>45817</v>
      </c>
      <c r="CI719">
        <v>1</v>
      </c>
      <c r="CJ719">
        <v>1</v>
      </c>
      <c r="CK719">
        <v>23</v>
      </c>
      <c r="CL719" t="s">
        <v>90</v>
      </c>
    </row>
    <row r="720" spans="1:90" x14ac:dyDescent="0.3">
      <c r="A720" t="s">
        <v>72</v>
      </c>
      <c r="B720" t="s">
        <v>73</v>
      </c>
      <c r="C720" t="s">
        <v>74</v>
      </c>
      <c r="E720" t="str">
        <f>"080065791810"</f>
        <v>080065791810</v>
      </c>
      <c r="F720" s="3">
        <v>45813</v>
      </c>
      <c r="G720">
        <v>202603</v>
      </c>
      <c r="H720" t="s">
        <v>75</v>
      </c>
      <c r="I720" t="s">
        <v>76</v>
      </c>
      <c r="J720" t="s">
        <v>77</v>
      </c>
      <c r="K720" t="s">
        <v>78</v>
      </c>
      <c r="L720" t="s">
        <v>91</v>
      </c>
      <c r="M720" t="s">
        <v>92</v>
      </c>
      <c r="N720" t="s">
        <v>93</v>
      </c>
      <c r="O720" t="s">
        <v>82</v>
      </c>
      <c r="P720" t="str">
        <f>"4170042347                    "</f>
        <v xml:space="preserve">4170042347                    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20.9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1</v>
      </c>
      <c r="BI720">
        <v>1</v>
      </c>
      <c r="BJ720">
        <v>0.2</v>
      </c>
      <c r="BK720">
        <v>1</v>
      </c>
      <c r="BL720">
        <v>69.5</v>
      </c>
      <c r="BM720">
        <v>10.43</v>
      </c>
      <c r="BN720">
        <v>79.930000000000007</v>
      </c>
      <c r="BO720">
        <v>79.930000000000007</v>
      </c>
      <c r="BQ720" t="s">
        <v>95</v>
      </c>
      <c r="BR720" t="s">
        <v>84</v>
      </c>
      <c r="BS720" s="3">
        <v>45814</v>
      </c>
      <c r="BT720" s="4">
        <v>0.36458333333333331</v>
      </c>
      <c r="BU720" t="s">
        <v>290</v>
      </c>
      <c r="BV720" t="s">
        <v>86</v>
      </c>
      <c r="BY720">
        <v>1200</v>
      </c>
      <c r="BZ720" t="s">
        <v>87</v>
      </c>
      <c r="CA720" t="s">
        <v>291</v>
      </c>
      <c r="CC720" t="s">
        <v>92</v>
      </c>
      <c r="CD720">
        <v>7441</v>
      </c>
      <c r="CE720" t="s">
        <v>89</v>
      </c>
      <c r="CF720" s="3">
        <v>45817</v>
      </c>
      <c r="CI720">
        <v>1</v>
      </c>
      <c r="CJ720">
        <v>1</v>
      </c>
      <c r="CK720">
        <v>21</v>
      </c>
      <c r="CL720" t="s">
        <v>90</v>
      </c>
    </row>
    <row r="721" spans="1:90" x14ac:dyDescent="0.3">
      <c r="A721" t="s">
        <v>72</v>
      </c>
      <c r="B721" t="s">
        <v>73</v>
      </c>
      <c r="C721" t="s">
        <v>74</v>
      </c>
      <c r="E721" t="str">
        <f>"080065791825"</f>
        <v>080065791825</v>
      </c>
      <c r="F721" s="3">
        <v>45813</v>
      </c>
      <c r="G721">
        <v>202603</v>
      </c>
      <c r="H721" t="s">
        <v>75</v>
      </c>
      <c r="I721" t="s">
        <v>76</v>
      </c>
      <c r="J721" t="s">
        <v>77</v>
      </c>
      <c r="K721" t="s">
        <v>78</v>
      </c>
      <c r="L721" t="s">
        <v>100</v>
      </c>
      <c r="M721" t="s">
        <v>101</v>
      </c>
      <c r="N721" t="s">
        <v>581</v>
      </c>
      <c r="O721" t="s">
        <v>82</v>
      </c>
      <c r="P721" t="str">
        <f>"4170042270                    "</f>
        <v xml:space="preserve">4170042270                    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20.9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1</v>
      </c>
      <c r="BI721">
        <v>1</v>
      </c>
      <c r="BJ721">
        <v>0.2</v>
      </c>
      <c r="BK721">
        <v>1</v>
      </c>
      <c r="BL721">
        <v>69.5</v>
      </c>
      <c r="BM721">
        <v>10.43</v>
      </c>
      <c r="BN721">
        <v>79.930000000000007</v>
      </c>
      <c r="BO721">
        <v>79.930000000000007</v>
      </c>
      <c r="BQ721" t="s">
        <v>582</v>
      </c>
      <c r="BR721" t="s">
        <v>84</v>
      </c>
      <c r="BS721" s="3">
        <v>45814</v>
      </c>
      <c r="BT721" s="4">
        <v>0.41041666666666665</v>
      </c>
      <c r="BU721" t="s">
        <v>1068</v>
      </c>
      <c r="BV721" t="s">
        <v>86</v>
      </c>
      <c r="BY721">
        <v>1200</v>
      </c>
      <c r="BZ721" t="s">
        <v>87</v>
      </c>
      <c r="CA721" t="s">
        <v>235</v>
      </c>
      <c r="CC721" t="s">
        <v>101</v>
      </c>
      <c r="CD721">
        <v>6056</v>
      </c>
      <c r="CE721" t="s">
        <v>89</v>
      </c>
      <c r="CF721" s="3">
        <v>45814</v>
      </c>
      <c r="CI721">
        <v>1</v>
      </c>
      <c r="CJ721">
        <v>1</v>
      </c>
      <c r="CK721">
        <v>21</v>
      </c>
      <c r="CL721" t="s">
        <v>90</v>
      </c>
    </row>
    <row r="722" spans="1:90" x14ac:dyDescent="0.3">
      <c r="A722" t="s">
        <v>72</v>
      </c>
      <c r="B722" t="s">
        <v>73</v>
      </c>
      <c r="C722" t="s">
        <v>74</v>
      </c>
      <c r="E722" t="str">
        <f>"080065791848"</f>
        <v>080065791848</v>
      </c>
      <c r="F722" s="3">
        <v>45813</v>
      </c>
      <c r="G722">
        <v>202603</v>
      </c>
      <c r="H722" t="s">
        <v>75</v>
      </c>
      <c r="I722" t="s">
        <v>76</v>
      </c>
      <c r="J722" t="s">
        <v>77</v>
      </c>
      <c r="K722" t="s">
        <v>78</v>
      </c>
      <c r="L722" t="s">
        <v>100</v>
      </c>
      <c r="M722" t="s">
        <v>101</v>
      </c>
      <c r="N722" t="s">
        <v>492</v>
      </c>
      <c r="O722" t="s">
        <v>82</v>
      </c>
      <c r="P722" t="str">
        <f>"4170042321                    "</f>
        <v xml:space="preserve">4170042321                    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20.9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1</v>
      </c>
      <c r="BI722">
        <v>1</v>
      </c>
      <c r="BJ722">
        <v>0.2</v>
      </c>
      <c r="BK722">
        <v>1</v>
      </c>
      <c r="BL722">
        <v>69.5</v>
      </c>
      <c r="BM722">
        <v>10.43</v>
      </c>
      <c r="BN722">
        <v>79.930000000000007</v>
      </c>
      <c r="BO722">
        <v>79.930000000000007</v>
      </c>
      <c r="BQ722" t="s">
        <v>493</v>
      </c>
      <c r="BR722" t="s">
        <v>84</v>
      </c>
      <c r="BS722" s="3">
        <v>45814</v>
      </c>
      <c r="BT722" s="4">
        <v>0.42986111111111114</v>
      </c>
      <c r="BU722" t="s">
        <v>1213</v>
      </c>
      <c r="BV722" t="s">
        <v>86</v>
      </c>
      <c r="BY722">
        <v>1200</v>
      </c>
      <c r="BZ722" t="s">
        <v>87</v>
      </c>
      <c r="CA722" t="s">
        <v>394</v>
      </c>
      <c r="CC722" t="s">
        <v>101</v>
      </c>
      <c r="CD722">
        <v>6001</v>
      </c>
      <c r="CE722" t="s">
        <v>89</v>
      </c>
      <c r="CF722" s="3">
        <v>45814</v>
      </c>
      <c r="CI722">
        <v>1</v>
      </c>
      <c r="CJ722">
        <v>1</v>
      </c>
      <c r="CK722">
        <v>21</v>
      </c>
      <c r="CL722" t="s">
        <v>90</v>
      </c>
    </row>
    <row r="723" spans="1:90" x14ac:dyDescent="0.3">
      <c r="A723" t="s">
        <v>72</v>
      </c>
      <c r="B723" t="s">
        <v>73</v>
      </c>
      <c r="C723" t="s">
        <v>74</v>
      </c>
      <c r="E723" t="str">
        <f>"080065791861"</f>
        <v>080065791861</v>
      </c>
      <c r="F723" s="3">
        <v>45813</v>
      </c>
      <c r="G723">
        <v>202603</v>
      </c>
      <c r="H723" t="s">
        <v>75</v>
      </c>
      <c r="I723" t="s">
        <v>76</v>
      </c>
      <c r="J723" t="s">
        <v>77</v>
      </c>
      <c r="K723" t="s">
        <v>78</v>
      </c>
      <c r="L723" t="s">
        <v>100</v>
      </c>
      <c r="M723" t="s">
        <v>101</v>
      </c>
      <c r="N723" t="s">
        <v>1402</v>
      </c>
      <c r="O723" t="s">
        <v>82</v>
      </c>
      <c r="P723" t="str">
        <f>"4170042531                    "</f>
        <v xml:space="preserve">4170042531                    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20.9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1</v>
      </c>
      <c r="BI723">
        <v>1</v>
      </c>
      <c r="BJ723">
        <v>0.2</v>
      </c>
      <c r="BK723">
        <v>1</v>
      </c>
      <c r="BL723">
        <v>69.5</v>
      </c>
      <c r="BM723">
        <v>10.43</v>
      </c>
      <c r="BN723">
        <v>79.930000000000007</v>
      </c>
      <c r="BO723">
        <v>79.930000000000007</v>
      </c>
      <c r="BQ723" t="s">
        <v>1403</v>
      </c>
      <c r="BR723" t="s">
        <v>84</v>
      </c>
      <c r="BS723" s="3">
        <v>45814</v>
      </c>
      <c r="BT723" s="4">
        <v>0.4152777777777778</v>
      </c>
      <c r="BU723" t="s">
        <v>1404</v>
      </c>
      <c r="BV723" t="s">
        <v>86</v>
      </c>
      <c r="BY723">
        <v>1200</v>
      </c>
      <c r="BZ723" t="s">
        <v>87</v>
      </c>
      <c r="CA723" t="s">
        <v>394</v>
      </c>
      <c r="CC723" t="s">
        <v>101</v>
      </c>
      <c r="CD723">
        <v>6000</v>
      </c>
      <c r="CE723" t="s">
        <v>1405</v>
      </c>
      <c r="CF723" s="3">
        <v>45814</v>
      </c>
      <c r="CI723">
        <v>1</v>
      </c>
      <c r="CJ723">
        <v>1</v>
      </c>
      <c r="CK723">
        <v>21</v>
      </c>
      <c r="CL723" t="s">
        <v>90</v>
      </c>
    </row>
    <row r="724" spans="1:90" x14ac:dyDescent="0.3">
      <c r="A724" t="s">
        <v>72</v>
      </c>
      <c r="B724" t="s">
        <v>73</v>
      </c>
      <c r="C724" t="s">
        <v>74</v>
      </c>
      <c r="E724" t="str">
        <f>"080065791872"</f>
        <v>080065791872</v>
      </c>
      <c r="F724" s="3">
        <v>45813</v>
      </c>
      <c r="G724">
        <v>202603</v>
      </c>
      <c r="H724" t="s">
        <v>75</v>
      </c>
      <c r="I724" t="s">
        <v>76</v>
      </c>
      <c r="J724" t="s">
        <v>77</v>
      </c>
      <c r="K724" t="s">
        <v>78</v>
      </c>
      <c r="L724" t="s">
        <v>100</v>
      </c>
      <c r="M724" t="s">
        <v>101</v>
      </c>
      <c r="N724" t="s">
        <v>581</v>
      </c>
      <c r="O724" t="s">
        <v>82</v>
      </c>
      <c r="P724" t="str">
        <f>"4170042288                    "</f>
        <v xml:space="preserve">4170042288                    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20.9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1</v>
      </c>
      <c r="BI724">
        <v>1</v>
      </c>
      <c r="BJ724">
        <v>0.2</v>
      </c>
      <c r="BK724">
        <v>1</v>
      </c>
      <c r="BL724">
        <v>69.5</v>
      </c>
      <c r="BM724">
        <v>10.43</v>
      </c>
      <c r="BN724">
        <v>79.930000000000007</v>
      </c>
      <c r="BO724">
        <v>79.930000000000007</v>
      </c>
      <c r="BQ724" t="s">
        <v>582</v>
      </c>
      <c r="BR724" t="s">
        <v>84</v>
      </c>
      <c r="BS724" s="3">
        <v>45814</v>
      </c>
      <c r="BT724" s="4">
        <v>0.41041666666666665</v>
      </c>
      <c r="BU724" t="s">
        <v>1068</v>
      </c>
      <c r="BV724" t="s">
        <v>86</v>
      </c>
      <c r="BY724">
        <v>1200</v>
      </c>
      <c r="BZ724" t="s">
        <v>87</v>
      </c>
      <c r="CA724" t="s">
        <v>235</v>
      </c>
      <c r="CC724" t="s">
        <v>101</v>
      </c>
      <c r="CD724">
        <v>6056</v>
      </c>
      <c r="CE724" t="s">
        <v>89</v>
      </c>
      <c r="CF724" s="3">
        <v>45814</v>
      </c>
      <c r="CI724">
        <v>1</v>
      </c>
      <c r="CJ724">
        <v>1</v>
      </c>
      <c r="CK724">
        <v>21</v>
      </c>
      <c r="CL724" t="s">
        <v>90</v>
      </c>
    </row>
    <row r="725" spans="1:90" x14ac:dyDescent="0.3">
      <c r="A725" t="s">
        <v>72</v>
      </c>
      <c r="B725" t="s">
        <v>73</v>
      </c>
      <c r="C725" t="s">
        <v>74</v>
      </c>
      <c r="E725" t="str">
        <f>"080065791891"</f>
        <v>080065791891</v>
      </c>
      <c r="F725" s="3">
        <v>45813</v>
      </c>
      <c r="G725">
        <v>202603</v>
      </c>
      <c r="H725" t="s">
        <v>75</v>
      </c>
      <c r="I725" t="s">
        <v>76</v>
      </c>
      <c r="J725" t="s">
        <v>77</v>
      </c>
      <c r="K725" t="s">
        <v>78</v>
      </c>
      <c r="L725" t="s">
        <v>266</v>
      </c>
      <c r="M725" t="s">
        <v>267</v>
      </c>
      <c r="N725" t="s">
        <v>561</v>
      </c>
      <c r="O725" t="s">
        <v>82</v>
      </c>
      <c r="P725" t="str">
        <f>"4170042318                    "</f>
        <v xml:space="preserve">4170042318                    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20.9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1</v>
      </c>
      <c r="BI725">
        <v>1</v>
      </c>
      <c r="BJ725">
        <v>0.2</v>
      </c>
      <c r="BK725">
        <v>1</v>
      </c>
      <c r="BL725">
        <v>69.5</v>
      </c>
      <c r="BM725">
        <v>10.43</v>
      </c>
      <c r="BN725">
        <v>79.930000000000007</v>
      </c>
      <c r="BO725">
        <v>79.930000000000007</v>
      </c>
      <c r="BQ725" t="s">
        <v>562</v>
      </c>
      <c r="BR725" t="s">
        <v>84</v>
      </c>
      <c r="BS725" s="3">
        <v>45814</v>
      </c>
      <c r="BT725" s="4">
        <v>0.37916666666666665</v>
      </c>
      <c r="BU725" t="s">
        <v>1383</v>
      </c>
      <c r="BV725" t="s">
        <v>86</v>
      </c>
      <c r="BY725">
        <v>1200</v>
      </c>
      <c r="BZ725" t="s">
        <v>87</v>
      </c>
      <c r="CA725" t="s">
        <v>271</v>
      </c>
      <c r="CC725" t="s">
        <v>267</v>
      </c>
      <c r="CD725">
        <v>6230</v>
      </c>
      <c r="CE725" t="s">
        <v>89</v>
      </c>
      <c r="CF725" s="3">
        <v>45814</v>
      </c>
      <c r="CI725">
        <v>1</v>
      </c>
      <c r="CJ725">
        <v>1</v>
      </c>
      <c r="CK725">
        <v>21</v>
      </c>
      <c r="CL725" t="s">
        <v>90</v>
      </c>
    </row>
    <row r="726" spans="1:90" x14ac:dyDescent="0.3">
      <c r="A726" t="s">
        <v>72</v>
      </c>
      <c r="B726" t="s">
        <v>73</v>
      </c>
      <c r="C726" t="s">
        <v>74</v>
      </c>
      <c r="E726" t="str">
        <f>"080065791903"</f>
        <v>080065791903</v>
      </c>
      <c r="F726" s="3">
        <v>45813</v>
      </c>
      <c r="G726">
        <v>202603</v>
      </c>
      <c r="H726" t="s">
        <v>75</v>
      </c>
      <c r="I726" t="s">
        <v>76</v>
      </c>
      <c r="J726" t="s">
        <v>77</v>
      </c>
      <c r="K726" t="s">
        <v>78</v>
      </c>
      <c r="L726" t="s">
        <v>413</v>
      </c>
      <c r="M726" t="s">
        <v>414</v>
      </c>
      <c r="N726" t="s">
        <v>1321</v>
      </c>
      <c r="O726" t="s">
        <v>82</v>
      </c>
      <c r="P726" t="str">
        <f>"4170042518                    "</f>
        <v xml:space="preserve">4170042518                    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20.9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1</v>
      </c>
      <c r="BI726">
        <v>1</v>
      </c>
      <c r="BJ726">
        <v>0.2</v>
      </c>
      <c r="BK726">
        <v>1</v>
      </c>
      <c r="BL726">
        <v>69.5</v>
      </c>
      <c r="BM726">
        <v>10.43</v>
      </c>
      <c r="BN726">
        <v>79.930000000000007</v>
      </c>
      <c r="BO726">
        <v>79.930000000000007</v>
      </c>
      <c r="BQ726" t="s">
        <v>1322</v>
      </c>
      <c r="BR726" t="s">
        <v>84</v>
      </c>
      <c r="BS726" s="3">
        <v>45818</v>
      </c>
      <c r="BT726" s="4">
        <v>0.36805555555555558</v>
      </c>
      <c r="BU726" t="s">
        <v>383</v>
      </c>
      <c r="BV726" t="s">
        <v>90</v>
      </c>
      <c r="BY726">
        <v>1200</v>
      </c>
      <c r="CA726" t="s">
        <v>385</v>
      </c>
      <c r="CC726" t="s">
        <v>414</v>
      </c>
      <c r="CD726">
        <v>4113</v>
      </c>
      <c r="CE726" t="s">
        <v>215</v>
      </c>
      <c r="CI726">
        <v>1</v>
      </c>
      <c r="CJ726">
        <v>3</v>
      </c>
      <c r="CK726">
        <v>21</v>
      </c>
      <c r="CL726" t="s">
        <v>90</v>
      </c>
    </row>
    <row r="727" spans="1:90" x14ac:dyDescent="0.3">
      <c r="A727" t="s">
        <v>72</v>
      </c>
      <c r="B727" t="s">
        <v>73</v>
      </c>
      <c r="C727" t="s">
        <v>74</v>
      </c>
      <c r="E727" t="str">
        <f>"080065791917"</f>
        <v>080065791917</v>
      </c>
      <c r="F727" s="3">
        <v>45813</v>
      </c>
      <c r="G727">
        <v>202603</v>
      </c>
      <c r="H727" t="s">
        <v>75</v>
      </c>
      <c r="I727" t="s">
        <v>76</v>
      </c>
      <c r="J727" t="s">
        <v>77</v>
      </c>
      <c r="K727" t="s">
        <v>78</v>
      </c>
      <c r="L727" t="s">
        <v>870</v>
      </c>
      <c r="M727" t="s">
        <v>871</v>
      </c>
      <c r="N727" t="s">
        <v>872</v>
      </c>
      <c r="O727" t="s">
        <v>82</v>
      </c>
      <c r="P727" t="str">
        <f>"4170042521                    "</f>
        <v xml:space="preserve">4170042521                    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40.49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1</v>
      </c>
      <c r="BI727">
        <v>1</v>
      </c>
      <c r="BJ727">
        <v>0.2</v>
      </c>
      <c r="BK727">
        <v>1</v>
      </c>
      <c r="BL727">
        <v>134.65</v>
      </c>
      <c r="BM727">
        <v>20.2</v>
      </c>
      <c r="BN727">
        <v>154.85</v>
      </c>
      <c r="BO727">
        <v>154.85</v>
      </c>
      <c r="BQ727" t="s">
        <v>873</v>
      </c>
      <c r="BR727" t="s">
        <v>84</v>
      </c>
      <c r="BS727" s="3">
        <v>45814</v>
      </c>
      <c r="BT727" s="4">
        <v>0.60763888888888884</v>
      </c>
      <c r="BU727" t="s">
        <v>1406</v>
      </c>
      <c r="BV727" t="s">
        <v>86</v>
      </c>
      <c r="BY727">
        <v>1200</v>
      </c>
      <c r="BZ727" t="s">
        <v>87</v>
      </c>
      <c r="CC727" t="s">
        <v>871</v>
      </c>
      <c r="CD727">
        <v>7299</v>
      </c>
      <c r="CE727" t="s">
        <v>89</v>
      </c>
      <c r="CF727" s="3">
        <v>45817</v>
      </c>
      <c r="CI727">
        <v>1</v>
      </c>
      <c r="CJ727">
        <v>1</v>
      </c>
      <c r="CK727">
        <v>23</v>
      </c>
      <c r="CL727" t="s">
        <v>90</v>
      </c>
    </row>
    <row r="728" spans="1:90" x14ac:dyDescent="0.3">
      <c r="A728" t="s">
        <v>72</v>
      </c>
      <c r="B728" t="s">
        <v>73</v>
      </c>
      <c r="C728" t="s">
        <v>74</v>
      </c>
      <c r="E728" t="str">
        <f>"080065791920"</f>
        <v>080065791920</v>
      </c>
      <c r="F728" s="3">
        <v>45813</v>
      </c>
      <c r="G728">
        <v>202603</v>
      </c>
      <c r="H728" t="s">
        <v>75</v>
      </c>
      <c r="I728" t="s">
        <v>76</v>
      </c>
      <c r="J728" t="s">
        <v>77</v>
      </c>
      <c r="K728" t="s">
        <v>78</v>
      </c>
      <c r="L728" t="s">
        <v>239</v>
      </c>
      <c r="M728" t="s">
        <v>240</v>
      </c>
      <c r="N728" t="s">
        <v>241</v>
      </c>
      <c r="O728" t="s">
        <v>82</v>
      </c>
      <c r="P728" t="str">
        <f>"4170042520                    "</f>
        <v xml:space="preserve">4170042520                    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40.49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1</v>
      </c>
      <c r="BI728">
        <v>2</v>
      </c>
      <c r="BJ728">
        <v>1.1000000000000001</v>
      </c>
      <c r="BK728">
        <v>2</v>
      </c>
      <c r="BL728">
        <v>134.65</v>
      </c>
      <c r="BM728">
        <v>20.2</v>
      </c>
      <c r="BN728">
        <v>154.85</v>
      </c>
      <c r="BO728">
        <v>154.85</v>
      </c>
      <c r="BQ728" t="s">
        <v>242</v>
      </c>
      <c r="BR728" t="s">
        <v>84</v>
      </c>
      <c r="BS728" s="3">
        <v>45814</v>
      </c>
      <c r="BT728" s="4">
        <v>0.40763888888888888</v>
      </c>
      <c r="BU728" t="s">
        <v>1260</v>
      </c>
      <c r="BV728" t="s">
        <v>86</v>
      </c>
      <c r="BY728">
        <v>5320</v>
      </c>
      <c r="BZ728" t="s">
        <v>87</v>
      </c>
      <c r="CA728" t="s">
        <v>1261</v>
      </c>
      <c r="CC728" t="s">
        <v>240</v>
      </c>
      <c r="CD728">
        <v>2531</v>
      </c>
      <c r="CE728" t="s">
        <v>99</v>
      </c>
      <c r="CF728" s="3">
        <v>45817</v>
      </c>
      <c r="CI728">
        <v>1</v>
      </c>
      <c r="CJ728">
        <v>1</v>
      </c>
      <c r="CK728">
        <v>23</v>
      </c>
      <c r="CL728" t="s">
        <v>90</v>
      </c>
    </row>
    <row r="729" spans="1:90" x14ac:dyDescent="0.3">
      <c r="A729" t="s">
        <v>72</v>
      </c>
      <c r="B729" t="s">
        <v>73</v>
      </c>
      <c r="C729" t="s">
        <v>74</v>
      </c>
      <c r="E729" t="str">
        <f>"080065791937"</f>
        <v>080065791937</v>
      </c>
      <c r="F729" s="3">
        <v>45813</v>
      </c>
      <c r="G729">
        <v>202603</v>
      </c>
      <c r="H729" t="s">
        <v>75</v>
      </c>
      <c r="I729" t="s">
        <v>76</v>
      </c>
      <c r="J729" t="s">
        <v>77</v>
      </c>
      <c r="K729" t="s">
        <v>78</v>
      </c>
      <c r="L729" t="s">
        <v>293</v>
      </c>
      <c r="M729" t="s">
        <v>294</v>
      </c>
      <c r="N729" t="s">
        <v>1407</v>
      </c>
      <c r="O729" t="s">
        <v>82</v>
      </c>
      <c r="P729" t="str">
        <f>"4170042349                    "</f>
        <v xml:space="preserve">4170042349                    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40.49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1</v>
      </c>
      <c r="BI729">
        <v>1</v>
      </c>
      <c r="BJ729">
        <v>0.6</v>
      </c>
      <c r="BK729">
        <v>1</v>
      </c>
      <c r="BL729">
        <v>134.65</v>
      </c>
      <c r="BM729">
        <v>20.2</v>
      </c>
      <c r="BN729">
        <v>154.85</v>
      </c>
      <c r="BO729">
        <v>154.85</v>
      </c>
      <c r="BQ729" t="s">
        <v>1408</v>
      </c>
      <c r="BR729" t="s">
        <v>84</v>
      </c>
      <c r="BS729" s="3">
        <v>45814</v>
      </c>
      <c r="BT729" s="4">
        <v>0.38541666666666669</v>
      </c>
      <c r="BU729" t="s">
        <v>1409</v>
      </c>
      <c r="BV729" t="s">
        <v>86</v>
      </c>
      <c r="BY729">
        <v>3192</v>
      </c>
      <c r="BZ729" t="s">
        <v>87</v>
      </c>
      <c r="CA729" t="s">
        <v>298</v>
      </c>
      <c r="CC729" t="s">
        <v>294</v>
      </c>
      <c r="CD729">
        <v>1939</v>
      </c>
      <c r="CE729" t="s">
        <v>99</v>
      </c>
      <c r="CF729" s="3">
        <v>45817</v>
      </c>
      <c r="CI729">
        <v>1</v>
      </c>
      <c r="CJ729">
        <v>1</v>
      </c>
      <c r="CK729">
        <v>23</v>
      </c>
      <c r="CL729" t="s">
        <v>90</v>
      </c>
    </row>
    <row r="730" spans="1:90" x14ac:dyDescent="0.3">
      <c r="A730" t="s">
        <v>72</v>
      </c>
      <c r="B730" t="s">
        <v>73</v>
      </c>
      <c r="C730" t="s">
        <v>74</v>
      </c>
      <c r="E730" t="str">
        <f>"080065791951"</f>
        <v>080065791951</v>
      </c>
      <c r="F730" s="3">
        <v>45813</v>
      </c>
      <c r="G730">
        <v>202603</v>
      </c>
      <c r="H730" t="s">
        <v>75</v>
      </c>
      <c r="I730" t="s">
        <v>76</v>
      </c>
      <c r="J730" t="s">
        <v>77</v>
      </c>
      <c r="K730" t="s">
        <v>78</v>
      </c>
      <c r="L730" t="s">
        <v>100</v>
      </c>
      <c r="M730" t="s">
        <v>101</v>
      </c>
      <c r="N730" t="s">
        <v>581</v>
      </c>
      <c r="O730" t="s">
        <v>82</v>
      </c>
      <c r="P730" t="str">
        <f>"4170042450                    "</f>
        <v xml:space="preserve">4170042450                    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36.56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1</v>
      </c>
      <c r="BI730">
        <v>3</v>
      </c>
      <c r="BJ730">
        <v>3.2</v>
      </c>
      <c r="BK730">
        <v>3.5</v>
      </c>
      <c r="BL730">
        <v>121.58</v>
      </c>
      <c r="BM730">
        <v>18.239999999999998</v>
      </c>
      <c r="BN730">
        <v>139.82</v>
      </c>
      <c r="BO730">
        <v>139.82</v>
      </c>
      <c r="BQ730" t="s">
        <v>582</v>
      </c>
      <c r="BR730" t="s">
        <v>84</v>
      </c>
      <c r="BS730" s="3">
        <v>45814</v>
      </c>
      <c r="BT730" s="4">
        <v>0.41041666666666665</v>
      </c>
      <c r="BU730" t="s">
        <v>1068</v>
      </c>
      <c r="BV730" t="s">
        <v>86</v>
      </c>
      <c r="BY730">
        <v>16240</v>
      </c>
      <c r="BZ730" t="s">
        <v>87</v>
      </c>
      <c r="CA730" t="s">
        <v>235</v>
      </c>
      <c r="CC730" t="s">
        <v>101</v>
      </c>
      <c r="CD730">
        <v>6056</v>
      </c>
      <c r="CE730" t="s">
        <v>166</v>
      </c>
      <c r="CF730" s="3">
        <v>45814</v>
      </c>
      <c r="CI730">
        <v>1</v>
      </c>
      <c r="CJ730">
        <v>1</v>
      </c>
      <c r="CK730">
        <v>21</v>
      </c>
      <c r="CL730" t="s">
        <v>90</v>
      </c>
    </row>
    <row r="731" spans="1:90" x14ac:dyDescent="0.3">
      <c r="A731" t="s">
        <v>72</v>
      </c>
      <c r="B731" t="s">
        <v>73</v>
      </c>
      <c r="C731" t="s">
        <v>74</v>
      </c>
      <c r="E731" t="str">
        <f>"080065791978"</f>
        <v>080065791978</v>
      </c>
      <c r="F731" s="3">
        <v>45813</v>
      </c>
      <c r="G731">
        <v>202603</v>
      </c>
      <c r="H731" t="s">
        <v>75</v>
      </c>
      <c r="I731" t="s">
        <v>76</v>
      </c>
      <c r="J731" t="s">
        <v>77</v>
      </c>
      <c r="K731" t="s">
        <v>78</v>
      </c>
      <c r="L731" t="s">
        <v>136</v>
      </c>
      <c r="M731" t="s">
        <v>137</v>
      </c>
      <c r="N731" t="s">
        <v>317</v>
      </c>
      <c r="O731" t="s">
        <v>82</v>
      </c>
      <c r="P731" t="str">
        <f>"4170042432                    "</f>
        <v xml:space="preserve">4170042432                    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41.78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1</v>
      </c>
      <c r="BI731">
        <v>4</v>
      </c>
      <c r="BJ731">
        <v>3.4</v>
      </c>
      <c r="BK731">
        <v>4</v>
      </c>
      <c r="BL731">
        <v>138.94</v>
      </c>
      <c r="BM731">
        <v>20.84</v>
      </c>
      <c r="BN731">
        <v>159.78</v>
      </c>
      <c r="BO731">
        <v>159.78</v>
      </c>
      <c r="BQ731" t="s">
        <v>318</v>
      </c>
      <c r="BR731" t="s">
        <v>84</v>
      </c>
      <c r="BS731" s="3">
        <v>45814</v>
      </c>
      <c r="BT731" s="4">
        <v>0.50208333333333333</v>
      </c>
      <c r="BU731" t="s">
        <v>1410</v>
      </c>
      <c r="BV731" t="s">
        <v>90</v>
      </c>
      <c r="BY731">
        <v>16965</v>
      </c>
      <c r="CA731" t="s">
        <v>320</v>
      </c>
      <c r="CC731" t="s">
        <v>137</v>
      </c>
      <c r="CD731">
        <v>5201</v>
      </c>
      <c r="CE731" t="s">
        <v>687</v>
      </c>
      <c r="CF731" s="3">
        <v>45814</v>
      </c>
      <c r="CI731">
        <v>1</v>
      </c>
      <c r="CJ731">
        <v>1</v>
      </c>
      <c r="CK731">
        <v>21</v>
      </c>
      <c r="CL731" t="s">
        <v>90</v>
      </c>
    </row>
    <row r="732" spans="1:90" x14ac:dyDescent="0.3">
      <c r="A732" t="s">
        <v>72</v>
      </c>
      <c r="B732" t="s">
        <v>73</v>
      </c>
      <c r="C732" t="s">
        <v>74</v>
      </c>
      <c r="E732" t="str">
        <f>"080065791993"</f>
        <v>080065791993</v>
      </c>
      <c r="F732" s="3">
        <v>45813</v>
      </c>
      <c r="G732">
        <v>202603</v>
      </c>
      <c r="H732" t="s">
        <v>75</v>
      </c>
      <c r="I732" t="s">
        <v>76</v>
      </c>
      <c r="J732" t="s">
        <v>77</v>
      </c>
      <c r="K732" t="s">
        <v>78</v>
      </c>
      <c r="L732" t="s">
        <v>350</v>
      </c>
      <c r="M732" t="s">
        <v>351</v>
      </c>
      <c r="N732" t="s">
        <v>512</v>
      </c>
      <c r="O732" t="s">
        <v>82</v>
      </c>
      <c r="P732" t="str">
        <f>"4170042512                    "</f>
        <v xml:space="preserve">4170042512                    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20.9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1</v>
      </c>
      <c r="BI732">
        <v>1</v>
      </c>
      <c r="BJ732">
        <v>0.2</v>
      </c>
      <c r="BK732">
        <v>1</v>
      </c>
      <c r="BL732">
        <v>69.5</v>
      </c>
      <c r="BM732">
        <v>10.43</v>
      </c>
      <c r="BN732">
        <v>79.930000000000007</v>
      </c>
      <c r="BO732">
        <v>79.930000000000007</v>
      </c>
      <c r="BQ732" t="s">
        <v>513</v>
      </c>
      <c r="BR732" t="s">
        <v>84</v>
      </c>
      <c r="BS732" s="3">
        <v>45814</v>
      </c>
      <c r="BT732" s="4">
        <v>0.38055555555555554</v>
      </c>
      <c r="BU732" t="s">
        <v>514</v>
      </c>
      <c r="BV732" t="s">
        <v>86</v>
      </c>
      <c r="BY732">
        <v>1200</v>
      </c>
      <c r="BZ732" t="s">
        <v>87</v>
      </c>
      <c r="CA732" t="s">
        <v>515</v>
      </c>
      <c r="CC732" t="s">
        <v>351</v>
      </c>
      <c r="CD732">
        <v>157</v>
      </c>
      <c r="CE732" t="s">
        <v>89</v>
      </c>
      <c r="CF732" s="3">
        <v>45814</v>
      </c>
      <c r="CI732">
        <v>1</v>
      </c>
      <c r="CJ732">
        <v>1</v>
      </c>
      <c r="CK732">
        <v>21</v>
      </c>
      <c r="CL732" t="s">
        <v>90</v>
      </c>
    </row>
    <row r="733" spans="1:90" x14ac:dyDescent="0.3">
      <c r="A733" t="s">
        <v>72</v>
      </c>
      <c r="B733" t="s">
        <v>73</v>
      </c>
      <c r="C733" t="s">
        <v>74</v>
      </c>
      <c r="E733" t="str">
        <f>"080065792046"</f>
        <v>080065792046</v>
      </c>
      <c r="F733" s="3">
        <v>45813</v>
      </c>
      <c r="G733">
        <v>202603</v>
      </c>
      <c r="H733" t="s">
        <v>75</v>
      </c>
      <c r="I733" t="s">
        <v>76</v>
      </c>
      <c r="J733" t="s">
        <v>77</v>
      </c>
      <c r="K733" t="s">
        <v>78</v>
      </c>
      <c r="L733" t="s">
        <v>663</v>
      </c>
      <c r="M733" t="s">
        <v>664</v>
      </c>
      <c r="N733" t="s">
        <v>723</v>
      </c>
      <c r="O733" t="s">
        <v>82</v>
      </c>
      <c r="P733" t="str">
        <f>"4170042504                    "</f>
        <v xml:space="preserve">4170042504                    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40.49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1</v>
      </c>
      <c r="BI733">
        <v>1</v>
      </c>
      <c r="BJ733">
        <v>0.2</v>
      </c>
      <c r="BK733">
        <v>1</v>
      </c>
      <c r="BL733">
        <v>134.65</v>
      </c>
      <c r="BM733">
        <v>20.2</v>
      </c>
      <c r="BN733">
        <v>154.85</v>
      </c>
      <c r="BO733">
        <v>154.85</v>
      </c>
      <c r="BQ733" t="s">
        <v>724</v>
      </c>
      <c r="BR733" t="s">
        <v>84</v>
      </c>
      <c r="BS733" s="3">
        <v>45814</v>
      </c>
      <c r="BT733" s="4">
        <v>0.41666666666666669</v>
      </c>
      <c r="BU733" t="s">
        <v>725</v>
      </c>
      <c r="BV733" t="s">
        <v>86</v>
      </c>
      <c r="BY733">
        <v>1200</v>
      </c>
      <c r="BZ733" t="s">
        <v>87</v>
      </c>
      <c r="CC733" t="s">
        <v>664</v>
      </c>
      <c r="CD733">
        <v>1947</v>
      </c>
      <c r="CE733" t="s">
        <v>89</v>
      </c>
      <c r="CF733" s="3">
        <v>45814</v>
      </c>
      <c r="CI733">
        <v>1</v>
      </c>
      <c r="CJ733">
        <v>1</v>
      </c>
      <c r="CK733">
        <v>23</v>
      </c>
      <c r="CL733" t="s">
        <v>90</v>
      </c>
    </row>
    <row r="734" spans="1:90" x14ac:dyDescent="0.3">
      <c r="A734" t="s">
        <v>72</v>
      </c>
      <c r="B734" t="s">
        <v>73</v>
      </c>
      <c r="C734" t="s">
        <v>74</v>
      </c>
      <c r="E734" t="str">
        <f>"080065792054"</f>
        <v>080065792054</v>
      </c>
      <c r="F734" s="3">
        <v>45813</v>
      </c>
      <c r="G734">
        <v>202603</v>
      </c>
      <c r="H734" t="s">
        <v>75</v>
      </c>
      <c r="I734" t="s">
        <v>76</v>
      </c>
      <c r="J734" t="s">
        <v>77</v>
      </c>
      <c r="K734" t="s">
        <v>78</v>
      </c>
      <c r="L734" t="s">
        <v>159</v>
      </c>
      <c r="M734" t="s">
        <v>160</v>
      </c>
      <c r="N734" t="s">
        <v>409</v>
      </c>
      <c r="O734" t="s">
        <v>82</v>
      </c>
      <c r="P734" t="str">
        <f>"4170042272                    "</f>
        <v xml:space="preserve">4170042272                    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16.32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1</v>
      </c>
      <c r="BI734">
        <v>1</v>
      </c>
      <c r="BJ734">
        <v>0.9</v>
      </c>
      <c r="BK734">
        <v>1</v>
      </c>
      <c r="BL734">
        <v>54.28</v>
      </c>
      <c r="BM734">
        <v>8.14</v>
      </c>
      <c r="BN734">
        <v>62.42</v>
      </c>
      <c r="BO734">
        <v>62.42</v>
      </c>
      <c r="BQ734" t="s">
        <v>410</v>
      </c>
      <c r="BR734" t="s">
        <v>84</v>
      </c>
      <c r="BS734" s="3">
        <v>45814</v>
      </c>
      <c r="BT734" s="4">
        <v>0.38263888888888886</v>
      </c>
      <c r="BU734" t="s">
        <v>967</v>
      </c>
      <c r="BV734" t="s">
        <v>86</v>
      </c>
      <c r="BY734">
        <v>4275</v>
      </c>
      <c r="BZ734" t="s">
        <v>87</v>
      </c>
      <c r="CA734" t="s">
        <v>444</v>
      </c>
      <c r="CC734" t="s">
        <v>160</v>
      </c>
      <c r="CD734">
        <v>2091</v>
      </c>
      <c r="CE734" t="s">
        <v>180</v>
      </c>
      <c r="CF734" s="3">
        <v>45815</v>
      </c>
      <c r="CI734">
        <v>1</v>
      </c>
      <c r="CJ734">
        <v>1</v>
      </c>
      <c r="CK734">
        <v>22</v>
      </c>
      <c r="CL734" t="s">
        <v>90</v>
      </c>
    </row>
    <row r="735" spans="1:90" x14ac:dyDescent="0.3">
      <c r="A735" t="s">
        <v>72</v>
      </c>
      <c r="B735" t="s">
        <v>73</v>
      </c>
      <c r="C735" t="s">
        <v>74</v>
      </c>
      <c r="E735" t="str">
        <f>"080065792076"</f>
        <v>080065792076</v>
      </c>
      <c r="F735" s="3">
        <v>45813</v>
      </c>
      <c r="G735">
        <v>202603</v>
      </c>
      <c r="H735" t="s">
        <v>75</v>
      </c>
      <c r="I735" t="s">
        <v>76</v>
      </c>
      <c r="J735" t="s">
        <v>77</v>
      </c>
      <c r="K735" t="s">
        <v>78</v>
      </c>
      <c r="L735" t="s">
        <v>91</v>
      </c>
      <c r="M735" t="s">
        <v>92</v>
      </c>
      <c r="N735" t="s">
        <v>341</v>
      </c>
      <c r="O735" t="s">
        <v>82</v>
      </c>
      <c r="P735" t="str">
        <f>"4170042295                    "</f>
        <v xml:space="preserve">4170042295                    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20.9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1</v>
      </c>
      <c r="BI735">
        <v>1</v>
      </c>
      <c r="BJ735">
        <v>0.2</v>
      </c>
      <c r="BK735">
        <v>1</v>
      </c>
      <c r="BL735">
        <v>69.5</v>
      </c>
      <c r="BM735">
        <v>10.43</v>
      </c>
      <c r="BN735">
        <v>79.930000000000007</v>
      </c>
      <c r="BO735">
        <v>79.930000000000007</v>
      </c>
      <c r="BQ735" t="s">
        <v>342</v>
      </c>
      <c r="BR735" t="s">
        <v>84</v>
      </c>
      <c r="BS735" s="3">
        <v>45814</v>
      </c>
      <c r="BT735" s="4">
        <v>0.38263888888888886</v>
      </c>
      <c r="BU735" t="s">
        <v>1411</v>
      </c>
      <c r="BV735" t="s">
        <v>86</v>
      </c>
      <c r="BY735">
        <v>1200</v>
      </c>
      <c r="BZ735" t="s">
        <v>87</v>
      </c>
      <c r="CA735" t="s">
        <v>1350</v>
      </c>
      <c r="CC735" t="s">
        <v>92</v>
      </c>
      <c r="CD735">
        <v>7535</v>
      </c>
      <c r="CE735" t="s">
        <v>89</v>
      </c>
      <c r="CF735" s="3">
        <v>45817</v>
      </c>
      <c r="CI735">
        <v>1</v>
      </c>
      <c r="CJ735">
        <v>1</v>
      </c>
      <c r="CK735">
        <v>21</v>
      </c>
      <c r="CL735" t="s">
        <v>90</v>
      </c>
    </row>
    <row r="736" spans="1:90" x14ac:dyDescent="0.3">
      <c r="A736" t="s">
        <v>72</v>
      </c>
      <c r="B736" t="s">
        <v>73</v>
      </c>
      <c r="C736" t="s">
        <v>74</v>
      </c>
      <c r="E736" t="str">
        <f>"080065792084"</f>
        <v>080065792084</v>
      </c>
      <c r="F736" s="3">
        <v>45813</v>
      </c>
      <c r="G736">
        <v>202603</v>
      </c>
      <c r="H736" t="s">
        <v>75</v>
      </c>
      <c r="I736" t="s">
        <v>76</v>
      </c>
      <c r="J736" t="s">
        <v>77</v>
      </c>
      <c r="K736" t="s">
        <v>78</v>
      </c>
      <c r="L736" t="s">
        <v>331</v>
      </c>
      <c r="M736" t="s">
        <v>332</v>
      </c>
      <c r="N736" t="s">
        <v>484</v>
      </c>
      <c r="O736" t="s">
        <v>82</v>
      </c>
      <c r="P736" t="str">
        <f>"4170042496                    "</f>
        <v xml:space="preserve">4170042496                    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41.78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1</v>
      </c>
      <c r="BI736">
        <v>4</v>
      </c>
      <c r="BJ736">
        <v>1.7</v>
      </c>
      <c r="BK736">
        <v>4</v>
      </c>
      <c r="BL736">
        <v>138.94</v>
      </c>
      <c r="BM736">
        <v>20.84</v>
      </c>
      <c r="BN736">
        <v>159.78</v>
      </c>
      <c r="BO736">
        <v>159.78</v>
      </c>
      <c r="BQ736" t="s">
        <v>485</v>
      </c>
      <c r="BR736" t="s">
        <v>84</v>
      </c>
      <c r="BS736" s="3">
        <v>45814</v>
      </c>
      <c r="BT736" s="4">
        <v>0.46111111111111114</v>
      </c>
      <c r="BU736" t="s">
        <v>1324</v>
      </c>
      <c r="BV736" t="s">
        <v>90</v>
      </c>
      <c r="BY736">
        <v>8512</v>
      </c>
      <c r="BZ736" t="s">
        <v>87</v>
      </c>
      <c r="CA736" t="s">
        <v>418</v>
      </c>
      <c r="CC736" t="s">
        <v>332</v>
      </c>
      <c r="CD736">
        <v>4052</v>
      </c>
      <c r="CE736" t="s">
        <v>99</v>
      </c>
      <c r="CF736" s="3">
        <v>45814</v>
      </c>
      <c r="CI736">
        <v>1</v>
      </c>
      <c r="CJ736">
        <v>1</v>
      </c>
      <c r="CK736">
        <v>21</v>
      </c>
      <c r="CL736" t="s">
        <v>90</v>
      </c>
    </row>
    <row r="737" spans="1:90" x14ac:dyDescent="0.3">
      <c r="A737" t="s">
        <v>72</v>
      </c>
      <c r="B737" t="s">
        <v>73</v>
      </c>
      <c r="C737" t="s">
        <v>74</v>
      </c>
      <c r="E737" t="str">
        <f>"080065792096"</f>
        <v>080065792096</v>
      </c>
      <c r="F737" s="3">
        <v>45813</v>
      </c>
      <c r="G737">
        <v>202603</v>
      </c>
      <c r="H737" t="s">
        <v>75</v>
      </c>
      <c r="I737" t="s">
        <v>76</v>
      </c>
      <c r="J737" t="s">
        <v>77</v>
      </c>
      <c r="K737" t="s">
        <v>78</v>
      </c>
      <c r="L737" t="s">
        <v>116</v>
      </c>
      <c r="M737" t="s">
        <v>117</v>
      </c>
      <c r="N737" t="s">
        <v>1412</v>
      </c>
      <c r="O737" t="s">
        <v>82</v>
      </c>
      <c r="P737" t="str">
        <f>"4170042495                    "</f>
        <v xml:space="preserve">4170042495                    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20.9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16.739999999999998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1</v>
      </c>
      <c r="BI737">
        <v>1</v>
      </c>
      <c r="BJ737">
        <v>0.2</v>
      </c>
      <c r="BK737">
        <v>1</v>
      </c>
      <c r="BL737">
        <v>86.24</v>
      </c>
      <c r="BM737">
        <v>12.94</v>
      </c>
      <c r="BN737">
        <v>99.18</v>
      </c>
      <c r="BO737">
        <v>99.18</v>
      </c>
      <c r="BQ737" t="s">
        <v>1413</v>
      </c>
      <c r="BR737" t="s">
        <v>84</v>
      </c>
      <c r="BS737" s="3">
        <v>45814</v>
      </c>
      <c r="BT737" s="4">
        <v>0.63263888888888886</v>
      </c>
      <c r="BU737" t="s">
        <v>1414</v>
      </c>
      <c r="BV737" t="s">
        <v>86</v>
      </c>
      <c r="BY737">
        <v>1200</v>
      </c>
      <c r="BZ737" t="s">
        <v>431</v>
      </c>
      <c r="CA737" t="s">
        <v>1415</v>
      </c>
      <c r="CC737" t="s">
        <v>117</v>
      </c>
      <c r="CD737">
        <v>3699</v>
      </c>
      <c r="CE737" t="s">
        <v>89</v>
      </c>
      <c r="CF737" s="3">
        <v>45815</v>
      </c>
      <c r="CI737">
        <v>1</v>
      </c>
      <c r="CJ737">
        <v>1</v>
      </c>
      <c r="CK737">
        <v>21</v>
      </c>
      <c r="CL737" t="s">
        <v>90</v>
      </c>
    </row>
    <row r="738" spans="1:90" x14ac:dyDescent="0.3">
      <c r="A738" t="s">
        <v>72</v>
      </c>
      <c r="B738" t="s">
        <v>73</v>
      </c>
      <c r="C738" t="s">
        <v>74</v>
      </c>
      <c r="E738" t="str">
        <f>"080065792106"</f>
        <v>080065792106</v>
      </c>
      <c r="F738" s="3">
        <v>45813</v>
      </c>
      <c r="G738">
        <v>202603</v>
      </c>
      <c r="H738" t="s">
        <v>75</v>
      </c>
      <c r="I738" t="s">
        <v>76</v>
      </c>
      <c r="J738" t="s">
        <v>77</v>
      </c>
      <c r="K738" t="s">
        <v>78</v>
      </c>
      <c r="L738" t="s">
        <v>100</v>
      </c>
      <c r="M738" t="s">
        <v>101</v>
      </c>
      <c r="N738" t="s">
        <v>492</v>
      </c>
      <c r="O738" t="s">
        <v>82</v>
      </c>
      <c r="P738" t="str">
        <f>"4170042516                    "</f>
        <v xml:space="preserve">4170042516                    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20.9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1</v>
      </c>
      <c r="BI738">
        <v>1</v>
      </c>
      <c r="BJ738">
        <v>0.9</v>
      </c>
      <c r="BK738">
        <v>1</v>
      </c>
      <c r="BL738">
        <v>69.5</v>
      </c>
      <c r="BM738">
        <v>10.43</v>
      </c>
      <c r="BN738">
        <v>79.930000000000007</v>
      </c>
      <c r="BO738">
        <v>79.930000000000007</v>
      </c>
      <c r="BQ738" t="s">
        <v>493</v>
      </c>
      <c r="BR738" t="s">
        <v>84</v>
      </c>
      <c r="BS738" s="3">
        <v>45814</v>
      </c>
      <c r="BT738" s="4">
        <v>0.3888888888888889</v>
      </c>
      <c r="BU738" t="s">
        <v>494</v>
      </c>
      <c r="BV738" t="s">
        <v>86</v>
      </c>
      <c r="BY738">
        <v>4560</v>
      </c>
      <c r="BZ738" t="s">
        <v>87</v>
      </c>
      <c r="CA738" t="s">
        <v>348</v>
      </c>
      <c r="CC738" t="s">
        <v>101</v>
      </c>
      <c r="CD738">
        <v>6001</v>
      </c>
      <c r="CE738" t="s">
        <v>99</v>
      </c>
      <c r="CF738" s="3">
        <v>45814</v>
      </c>
      <c r="CI738">
        <v>1</v>
      </c>
      <c r="CJ738">
        <v>1</v>
      </c>
      <c r="CK738">
        <v>21</v>
      </c>
      <c r="CL738" t="s">
        <v>90</v>
      </c>
    </row>
    <row r="739" spans="1:90" x14ac:dyDescent="0.3">
      <c r="A739" t="s">
        <v>72</v>
      </c>
      <c r="B739" t="s">
        <v>73</v>
      </c>
      <c r="C739" t="s">
        <v>74</v>
      </c>
      <c r="E739" t="str">
        <f>"080065792114"</f>
        <v>080065792114</v>
      </c>
      <c r="F739" s="3">
        <v>45813</v>
      </c>
      <c r="G739">
        <v>202603</v>
      </c>
      <c r="H739" t="s">
        <v>75</v>
      </c>
      <c r="I739" t="s">
        <v>76</v>
      </c>
      <c r="J739" t="s">
        <v>77</v>
      </c>
      <c r="K739" t="s">
        <v>78</v>
      </c>
      <c r="L739" t="s">
        <v>1416</v>
      </c>
      <c r="M739" t="s">
        <v>1417</v>
      </c>
      <c r="N739" t="s">
        <v>1418</v>
      </c>
      <c r="O739" t="s">
        <v>82</v>
      </c>
      <c r="P739" t="str">
        <f>"4170042505                    "</f>
        <v xml:space="preserve">4170042505                    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16.32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1</v>
      </c>
      <c r="BI739">
        <v>1</v>
      </c>
      <c r="BJ739">
        <v>0.2</v>
      </c>
      <c r="BK739">
        <v>1</v>
      </c>
      <c r="BL739">
        <v>54.28</v>
      </c>
      <c r="BM739">
        <v>8.14</v>
      </c>
      <c r="BN739">
        <v>62.42</v>
      </c>
      <c r="BO739">
        <v>62.42</v>
      </c>
      <c r="BQ739" t="s">
        <v>1419</v>
      </c>
      <c r="BR739" t="s">
        <v>84</v>
      </c>
      <c r="BS739" s="3">
        <v>45814</v>
      </c>
      <c r="BT739" s="4">
        <v>0.35069444444444442</v>
      </c>
      <c r="BU739" t="s">
        <v>1420</v>
      </c>
      <c r="BV739" t="s">
        <v>86</v>
      </c>
      <c r="BY739">
        <v>1200</v>
      </c>
      <c r="BZ739" t="s">
        <v>87</v>
      </c>
      <c r="CA739" t="s">
        <v>1421</v>
      </c>
      <c r="CC739" t="s">
        <v>1417</v>
      </c>
      <c r="CD739">
        <v>1724</v>
      </c>
      <c r="CE739" t="s">
        <v>89</v>
      </c>
      <c r="CF739" s="3">
        <v>45814</v>
      </c>
      <c r="CI739">
        <v>1</v>
      </c>
      <c r="CJ739">
        <v>1</v>
      </c>
      <c r="CK739">
        <v>22</v>
      </c>
      <c r="CL739" t="s">
        <v>90</v>
      </c>
    </row>
    <row r="740" spans="1:90" x14ac:dyDescent="0.3">
      <c r="A740" t="s">
        <v>72</v>
      </c>
      <c r="B740" t="s">
        <v>73</v>
      </c>
      <c r="C740" t="s">
        <v>74</v>
      </c>
      <c r="E740" t="str">
        <f>"080065792125"</f>
        <v>080065792125</v>
      </c>
      <c r="F740" s="3">
        <v>45813</v>
      </c>
      <c r="G740">
        <v>202603</v>
      </c>
      <c r="H740" t="s">
        <v>75</v>
      </c>
      <c r="I740" t="s">
        <v>76</v>
      </c>
      <c r="J740" t="s">
        <v>77</v>
      </c>
      <c r="K740" t="s">
        <v>78</v>
      </c>
      <c r="L740" t="s">
        <v>75</v>
      </c>
      <c r="M740" t="s">
        <v>76</v>
      </c>
      <c r="N740" t="s">
        <v>692</v>
      </c>
      <c r="O740" t="s">
        <v>94</v>
      </c>
      <c r="P740" t="str">
        <f>"4170041867                    "</f>
        <v xml:space="preserve">4170041867                    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31.18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1</v>
      </c>
      <c r="BI740">
        <v>13</v>
      </c>
      <c r="BJ740">
        <v>11.3</v>
      </c>
      <c r="BK740">
        <v>13</v>
      </c>
      <c r="BL740">
        <v>109.27</v>
      </c>
      <c r="BM740">
        <v>16.39</v>
      </c>
      <c r="BN740">
        <v>125.66</v>
      </c>
      <c r="BO740">
        <v>125.66</v>
      </c>
      <c r="BQ740" t="s">
        <v>693</v>
      </c>
      <c r="BR740" t="s">
        <v>84</v>
      </c>
      <c r="BS740" s="3">
        <v>45814</v>
      </c>
      <c r="BT740" s="4">
        <v>0.3576388888888889</v>
      </c>
      <c r="BU740" t="s">
        <v>1422</v>
      </c>
      <c r="BV740" t="s">
        <v>86</v>
      </c>
      <c r="BY740">
        <v>56420</v>
      </c>
      <c r="BZ740" t="s">
        <v>97</v>
      </c>
      <c r="CA740" t="s">
        <v>193</v>
      </c>
      <c r="CC740" t="s">
        <v>76</v>
      </c>
      <c r="CD740">
        <v>1601</v>
      </c>
      <c r="CE740" t="s">
        <v>166</v>
      </c>
      <c r="CF740" s="3">
        <v>45814</v>
      </c>
      <c r="CI740">
        <v>1</v>
      </c>
      <c r="CJ740">
        <v>1</v>
      </c>
      <c r="CK740">
        <v>42</v>
      </c>
      <c r="CL740" t="s">
        <v>90</v>
      </c>
    </row>
    <row r="741" spans="1:90" x14ac:dyDescent="0.3">
      <c r="A741" t="s">
        <v>72</v>
      </c>
      <c r="B741" t="s">
        <v>73</v>
      </c>
      <c r="C741" t="s">
        <v>74</v>
      </c>
      <c r="E741" t="str">
        <f>"080065792127"</f>
        <v>080065792127</v>
      </c>
      <c r="F741" s="3">
        <v>45813</v>
      </c>
      <c r="G741">
        <v>202603</v>
      </c>
      <c r="H741" t="s">
        <v>75</v>
      </c>
      <c r="I741" t="s">
        <v>76</v>
      </c>
      <c r="J741" t="s">
        <v>77</v>
      </c>
      <c r="K741" t="s">
        <v>78</v>
      </c>
      <c r="L741" t="s">
        <v>100</v>
      </c>
      <c r="M741" t="s">
        <v>101</v>
      </c>
      <c r="N741" t="s">
        <v>492</v>
      </c>
      <c r="O741" t="s">
        <v>82</v>
      </c>
      <c r="P741" t="str">
        <f>"4170042515                    "</f>
        <v xml:space="preserve">4170042515                    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20.9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1</v>
      </c>
      <c r="BI741">
        <v>1</v>
      </c>
      <c r="BJ741">
        <v>0.2</v>
      </c>
      <c r="BK741">
        <v>1</v>
      </c>
      <c r="BL741">
        <v>69.5</v>
      </c>
      <c r="BM741">
        <v>10.43</v>
      </c>
      <c r="BN741">
        <v>79.930000000000007</v>
      </c>
      <c r="BO741">
        <v>79.930000000000007</v>
      </c>
      <c r="BQ741" t="s">
        <v>493</v>
      </c>
      <c r="BR741" t="s">
        <v>84</v>
      </c>
      <c r="BS741" s="3">
        <v>45814</v>
      </c>
      <c r="BT741" s="4">
        <v>0.42986111111111114</v>
      </c>
      <c r="BU741" t="s">
        <v>1213</v>
      </c>
      <c r="BV741" t="s">
        <v>86</v>
      </c>
      <c r="BY741">
        <v>1200</v>
      </c>
      <c r="BZ741" t="s">
        <v>87</v>
      </c>
      <c r="CA741" t="s">
        <v>394</v>
      </c>
      <c r="CC741" t="s">
        <v>101</v>
      </c>
      <c r="CD741">
        <v>6001</v>
      </c>
      <c r="CE741" t="s">
        <v>89</v>
      </c>
      <c r="CF741" s="3">
        <v>45814</v>
      </c>
      <c r="CI741">
        <v>1</v>
      </c>
      <c r="CJ741">
        <v>1</v>
      </c>
      <c r="CK741">
        <v>21</v>
      </c>
      <c r="CL741" t="s">
        <v>90</v>
      </c>
    </row>
    <row r="742" spans="1:90" x14ac:dyDescent="0.3">
      <c r="A742" t="s">
        <v>72</v>
      </c>
      <c r="B742" t="s">
        <v>73</v>
      </c>
      <c r="C742" t="s">
        <v>74</v>
      </c>
      <c r="E742" t="str">
        <f>"080065792148"</f>
        <v>080065792148</v>
      </c>
      <c r="F742" s="3">
        <v>45813</v>
      </c>
      <c r="G742">
        <v>202603</v>
      </c>
      <c r="H742" t="s">
        <v>75</v>
      </c>
      <c r="I742" t="s">
        <v>76</v>
      </c>
      <c r="J742" t="s">
        <v>77</v>
      </c>
      <c r="K742" t="s">
        <v>78</v>
      </c>
      <c r="L742" t="s">
        <v>75</v>
      </c>
      <c r="M742" t="s">
        <v>76</v>
      </c>
      <c r="N742" t="s">
        <v>656</v>
      </c>
      <c r="O742" t="s">
        <v>82</v>
      </c>
      <c r="P742" t="str">
        <f>"4170042525                    "</f>
        <v xml:space="preserve">4170042525                    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16.32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1</v>
      </c>
      <c r="BI742">
        <v>1</v>
      </c>
      <c r="BJ742">
        <v>0.2</v>
      </c>
      <c r="BK742">
        <v>1</v>
      </c>
      <c r="BL742">
        <v>54.28</v>
      </c>
      <c r="BM742">
        <v>8.14</v>
      </c>
      <c r="BN742">
        <v>62.42</v>
      </c>
      <c r="BO742">
        <v>62.42</v>
      </c>
      <c r="BQ742" t="s">
        <v>657</v>
      </c>
      <c r="BR742" t="s">
        <v>84</v>
      </c>
      <c r="BS742" s="3">
        <v>45814</v>
      </c>
      <c r="BT742" s="4">
        <v>0.40347222222222223</v>
      </c>
      <c r="BU742" t="s">
        <v>770</v>
      </c>
      <c r="BV742" t="s">
        <v>86</v>
      </c>
      <c r="BY742">
        <v>1200</v>
      </c>
      <c r="BZ742" t="s">
        <v>87</v>
      </c>
      <c r="CA742" t="s">
        <v>1087</v>
      </c>
      <c r="CC742" t="s">
        <v>76</v>
      </c>
      <c r="CD742">
        <v>1619</v>
      </c>
      <c r="CE742" t="s">
        <v>89</v>
      </c>
      <c r="CF742" s="3">
        <v>45814</v>
      </c>
      <c r="CI742">
        <v>1</v>
      </c>
      <c r="CJ742">
        <v>1</v>
      </c>
      <c r="CK742">
        <v>22</v>
      </c>
      <c r="CL742" t="s">
        <v>90</v>
      </c>
    </row>
    <row r="743" spans="1:90" x14ac:dyDescent="0.3">
      <c r="A743" t="s">
        <v>72</v>
      </c>
      <c r="B743" t="s">
        <v>73</v>
      </c>
      <c r="C743" t="s">
        <v>74</v>
      </c>
      <c r="E743" t="str">
        <f>"080065792153"</f>
        <v>080065792153</v>
      </c>
      <c r="F743" s="3">
        <v>45813</v>
      </c>
      <c r="G743">
        <v>202603</v>
      </c>
      <c r="H743" t="s">
        <v>75</v>
      </c>
      <c r="I743" t="s">
        <v>76</v>
      </c>
      <c r="J743" t="s">
        <v>77</v>
      </c>
      <c r="K743" t="s">
        <v>78</v>
      </c>
      <c r="L743" t="s">
        <v>91</v>
      </c>
      <c r="M743" t="s">
        <v>92</v>
      </c>
      <c r="N743" t="s">
        <v>150</v>
      </c>
      <c r="O743" t="s">
        <v>82</v>
      </c>
      <c r="P743" t="str">
        <f>"4170042242                    "</f>
        <v xml:space="preserve">4170042242                    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93.98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1</v>
      </c>
      <c r="BI743">
        <v>9</v>
      </c>
      <c r="BJ743">
        <v>8.9</v>
      </c>
      <c r="BK743">
        <v>9</v>
      </c>
      <c r="BL743">
        <v>312.54000000000002</v>
      </c>
      <c r="BM743">
        <v>46.88</v>
      </c>
      <c r="BN743">
        <v>359.42</v>
      </c>
      <c r="BO743">
        <v>359.42</v>
      </c>
      <c r="BQ743" t="s">
        <v>151</v>
      </c>
      <c r="BR743" t="s">
        <v>84</v>
      </c>
      <c r="BS743" s="3">
        <v>45814</v>
      </c>
      <c r="BT743" s="4">
        <v>0.42708333333333331</v>
      </c>
      <c r="BU743" t="s">
        <v>152</v>
      </c>
      <c r="BV743" t="s">
        <v>86</v>
      </c>
      <c r="BY743">
        <v>44640</v>
      </c>
      <c r="BZ743" t="s">
        <v>87</v>
      </c>
      <c r="CC743" t="s">
        <v>92</v>
      </c>
      <c r="CD743">
        <v>7405</v>
      </c>
      <c r="CE743" t="s">
        <v>99</v>
      </c>
      <c r="CF743" s="3">
        <v>45817</v>
      </c>
      <c r="CI743">
        <v>1</v>
      </c>
      <c r="CJ743">
        <v>1</v>
      </c>
      <c r="CK743">
        <v>21</v>
      </c>
      <c r="CL743" t="s">
        <v>90</v>
      </c>
    </row>
    <row r="744" spans="1:90" x14ac:dyDescent="0.3">
      <c r="A744" t="s">
        <v>72</v>
      </c>
      <c r="B744" t="s">
        <v>73</v>
      </c>
      <c r="C744" t="s">
        <v>74</v>
      </c>
      <c r="E744" t="str">
        <f>"080065792182"</f>
        <v>080065792182</v>
      </c>
      <c r="F744" s="3">
        <v>45813</v>
      </c>
      <c r="G744">
        <v>202603</v>
      </c>
      <c r="H744" t="s">
        <v>75</v>
      </c>
      <c r="I744" t="s">
        <v>76</v>
      </c>
      <c r="J744" t="s">
        <v>77</v>
      </c>
      <c r="K744" t="s">
        <v>78</v>
      </c>
      <c r="L744" t="s">
        <v>426</v>
      </c>
      <c r="M744" t="s">
        <v>427</v>
      </c>
      <c r="N744" t="s">
        <v>428</v>
      </c>
      <c r="O744" t="s">
        <v>82</v>
      </c>
      <c r="P744" t="str">
        <f>"4170042326                    "</f>
        <v xml:space="preserve">4170042326                    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29.39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16.739999999999998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1</v>
      </c>
      <c r="BI744">
        <v>1</v>
      </c>
      <c r="BJ744">
        <v>0.2</v>
      </c>
      <c r="BK744">
        <v>1</v>
      </c>
      <c r="BL744">
        <v>114.48</v>
      </c>
      <c r="BM744">
        <v>17.170000000000002</v>
      </c>
      <c r="BN744">
        <v>131.65</v>
      </c>
      <c r="BO744">
        <v>131.65</v>
      </c>
      <c r="BQ744" t="s">
        <v>429</v>
      </c>
      <c r="BR744" t="s">
        <v>84</v>
      </c>
      <c r="BS744" s="3">
        <v>45814</v>
      </c>
      <c r="BT744" s="4">
        <v>0.41666666666666669</v>
      </c>
      <c r="BU744" t="s">
        <v>1277</v>
      </c>
      <c r="BV744" t="s">
        <v>86</v>
      </c>
      <c r="BY744">
        <v>1200</v>
      </c>
      <c r="BZ744" t="s">
        <v>431</v>
      </c>
      <c r="CA744" t="s">
        <v>798</v>
      </c>
      <c r="CC744" t="s">
        <v>427</v>
      </c>
      <c r="CD744">
        <v>1759</v>
      </c>
      <c r="CE744" t="s">
        <v>89</v>
      </c>
      <c r="CF744" s="3">
        <v>45814</v>
      </c>
      <c r="CI744">
        <v>1</v>
      </c>
      <c r="CJ744">
        <v>1</v>
      </c>
      <c r="CK744">
        <v>24</v>
      </c>
      <c r="CL744" t="s">
        <v>90</v>
      </c>
    </row>
    <row r="745" spans="1:90" x14ac:dyDescent="0.3">
      <c r="A745" t="s">
        <v>72</v>
      </c>
      <c r="B745" t="s">
        <v>73</v>
      </c>
      <c r="C745" t="s">
        <v>74</v>
      </c>
      <c r="E745" t="str">
        <f>"080065792231"</f>
        <v>080065792231</v>
      </c>
      <c r="F745" s="3">
        <v>45813</v>
      </c>
      <c r="G745">
        <v>202603</v>
      </c>
      <c r="H745" t="s">
        <v>75</v>
      </c>
      <c r="I745" t="s">
        <v>76</v>
      </c>
      <c r="J745" t="s">
        <v>77</v>
      </c>
      <c r="K745" t="s">
        <v>78</v>
      </c>
      <c r="L745" t="s">
        <v>106</v>
      </c>
      <c r="M745" t="s">
        <v>107</v>
      </c>
      <c r="N745" t="s">
        <v>1393</v>
      </c>
      <c r="O745" t="s">
        <v>82</v>
      </c>
      <c r="P745" t="str">
        <f>"4170042491                    "</f>
        <v xml:space="preserve">4170042491                    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20.9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1</v>
      </c>
      <c r="BI745">
        <v>1</v>
      </c>
      <c r="BJ745">
        <v>0.2</v>
      </c>
      <c r="BK745">
        <v>1</v>
      </c>
      <c r="BL745">
        <v>69.5</v>
      </c>
      <c r="BM745">
        <v>10.43</v>
      </c>
      <c r="BN745">
        <v>79.930000000000007</v>
      </c>
      <c r="BO745">
        <v>79.930000000000007</v>
      </c>
      <c r="BQ745" t="s">
        <v>1394</v>
      </c>
      <c r="BR745" t="s">
        <v>84</v>
      </c>
      <c r="BS745" s="3">
        <v>45814</v>
      </c>
      <c r="BT745" s="4">
        <v>0.41944444444444445</v>
      </c>
      <c r="BU745" t="s">
        <v>1395</v>
      </c>
      <c r="BV745" t="s">
        <v>86</v>
      </c>
      <c r="BY745">
        <v>1200</v>
      </c>
      <c r="BZ745" t="s">
        <v>87</v>
      </c>
      <c r="CA745" t="s">
        <v>1396</v>
      </c>
      <c r="CC745" t="s">
        <v>107</v>
      </c>
      <c r="CD745">
        <v>2</v>
      </c>
      <c r="CE745" t="s">
        <v>89</v>
      </c>
      <c r="CF745" s="3">
        <v>45814</v>
      </c>
      <c r="CI745">
        <v>1</v>
      </c>
      <c r="CJ745">
        <v>1</v>
      </c>
      <c r="CK745">
        <v>21</v>
      </c>
      <c r="CL745" t="s">
        <v>90</v>
      </c>
    </row>
    <row r="746" spans="1:90" x14ac:dyDescent="0.3">
      <c r="A746" t="s">
        <v>72</v>
      </c>
      <c r="B746" t="s">
        <v>73</v>
      </c>
      <c r="C746" t="s">
        <v>74</v>
      </c>
      <c r="E746" t="str">
        <f>"080065792247"</f>
        <v>080065792247</v>
      </c>
      <c r="F746" s="3">
        <v>45813</v>
      </c>
      <c r="G746">
        <v>202603</v>
      </c>
      <c r="H746" t="s">
        <v>75</v>
      </c>
      <c r="I746" t="s">
        <v>76</v>
      </c>
      <c r="J746" t="s">
        <v>77</v>
      </c>
      <c r="K746" t="s">
        <v>78</v>
      </c>
      <c r="L746" t="s">
        <v>504</v>
      </c>
      <c r="M746" t="s">
        <v>505</v>
      </c>
      <c r="N746" t="s">
        <v>506</v>
      </c>
      <c r="O746" t="s">
        <v>82</v>
      </c>
      <c r="P746" t="str">
        <f>"4170042287                    "</f>
        <v xml:space="preserve">4170042287                    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40.49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1</v>
      </c>
      <c r="BI746">
        <v>1</v>
      </c>
      <c r="BJ746">
        <v>0.2</v>
      </c>
      <c r="BK746">
        <v>1</v>
      </c>
      <c r="BL746">
        <v>134.65</v>
      </c>
      <c r="BM746">
        <v>20.2</v>
      </c>
      <c r="BN746">
        <v>154.85</v>
      </c>
      <c r="BO746">
        <v>154.85</v>
      </c>
      <c r="BQ746" t="s">
        <v>507</v>
      </c>
      <c r="BR746" t="s">
        <v>84</v>
      </c>
      <c r="BS746" s="3">
        <v>45814</v>
      </c>
      <c r="BT746" s="4">
        <v>0.31944444444444442</v>
      </c>
      <c r="BU746" t="s">
        <v>508</v>
      </c>
      <c r="BV746" t="s">
        <v>86</v>
      </c>
      <c r="BY746">
        <v>1200</v>
      </c>
      <c r="BZ746" t="s">
        <v>87</v>
      </c>
      <c r="CC746" t="s">
        <v>505</v>
      </c>
      <c r="CD746">
        <v>2740</v>
      </c>
      <c r="CE746" t="s">
        <v>89</v>
      </c>
      <c r="CF746" s="3">
        <v>45817</v>
      </c>
      <c r="CI746">
        <v>1</v>
      </c>
      <c r="CJ746">
        <v>1</v>
      </c>
      <c r="CK746">
        <v>23</v>
      </c>
      <c r="CL746" t="s">
        <v>90</v>
      </c>
    </row>
    <row r="747" spans="1:90" x14ac:dyDescent="0.3">
      <c r="A747" t="s">
        <v>72</v>
      </c>
      <c r="B747" t="s">
        <v>73</v>
      </c>
      <c r="C747" t="s">
        <v>74</v>
      </c>
      <c r="E747" t="str">
        <f>"080065792257"</f>
        <v>080065792257</v>
      </c>
      <c r="F747" s="3">
        <v>45813</v>
      </c>
      <c r="G747">
        <v>202603</v>
      </c>
      <c r="H747" t="s">
        <v>75</v>
      </c>
      <c r="I747" t="s">
        <v>76</v>
      </c>
      <c r="J747" t="s">
        <v>77</v>
      </c>
      <c r="K747" t="s">
        <v>78</v>
      </c>
      <c r="L747" t="s">
        <v>91</v>
      </c>
      <c r="M747" t="s">
        <v>92</v>
      </c>
      <c r="N747" t="s">
        <v>1423</v>
      </c>
      <c r="O747" t="s">
        <v>82</v>
      </c>
      <c r="P747" t="str">
        <f>"4170042497                    "</f>
        <v xml:space="preserve">4170042497                    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20.9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1</v>
      </c>
      <c r="BI747">
        <v>1</v>
      </c>
      <c r="BJ747">
        <v>0.2</v>
      </c>
      <c r="BK747">
        <v>1</v>
      </c>
      <c r="BL747">
        <v>69.5</v>
      </c>
      <c r="BM747">
        <v>10.43</v>
      </c>
      <c r="BN747">
        <v>79.930000000000007</v>
      </c>
      <c r="BO747">
        <v>79.930000000000007</v>
      </c>
      <c r="BQ747" t="s">
        <v>1424</v>
      </c>
      <c r="BR747" t="s">
        <v>84</v>
      </c>
      <c r="BS747" s="3">
        <v>45814</v>
      </c>
      <c r="BT747" s="4">
        <v>0.38333333333333336</v>
      </c>
      <c r="BU747" t="s">
        <v>1425</v>
      </c>
      <c r="BV747" t="s">
        <v>86</v>
      </c>
      <c r="BY747">
        <v>1200</v>
      </c>
      <c r="BZ747" t="s">
        <v>87</v>
      </c>
      <c r="CA747" t="s">
        <v>1165</v>
      </c>
      <c r="CC747" t="s">
        <v>92</v>
      </c>
      <c r="CD747">
        <v>7925</v>
      </c>
      <c r="CE747" t="s">
        <v>89</v>
      </c>
      <c r="CF747" s="3">
        <v>45817</v>
      </c>
      <c r="CI747">
        <v>1</v>
      </c>
      <c r="CJ747">
        <v>1</v>
      </c>
      <c r="CK747">
        <v>21</v>
      </c>
      <c r="CL747" t="s">
        <v>90</v>
      </c>
    </row>
    <row r="748" spans="1:90" x14ac:dyDescent="0.3">
      <c r="A748" t="s">
        <v>72</v>
      </c>
      <c r="B748" t="s">
        <v>73</v>
      </c>
      <c r="C748" t="s">
        <v>74</v>
      </c>
      <c r="E748" t="str">
        <f>"009944129719"</f>
        <v>009944129719</v>
      </c>
      <c r="F748" s="3">
        <v>45813</v>
      </c>
      <c r="G748">
        <v>202603</v>
      </c>
      <c r="H748" t="s">
        <v>91</v>
      </c>
      <c r="I748" t="s">
        <v>92</v>
      </c>
      <c r="J748" t="s">
        <v>1426</v>
      </c>
      <c r="K748" t="s">
        <v>78</v>
      </c>
      <c r="L748" t="s">
        <v>106</v>
      </c>
      <c r="M748" t="s">
        <v>107</v>
      </c>
      <c r="N748" t="s">
        <v>188</v>
      </c>
      <c r="O748" t="s">
        <v>82</v>
      </c>
      <c r="P748" t="str">
        <f>"                              "</f>
        <v xml:space="preserve">                              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20.9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1</v>
      </c>
      <c r="BI748">
        <v>1.1000000000000001</v>
      </c>
      <c r="BJ748">
        <v>1.9</v>
      </c>
      <c r="BK748">
        <v>2</v>
      </c>
      <c r="BL748">
        <v>69.5</v>
      </c>
      <c r="BM748">
        <v>10.43</v>
      </c>
      <c r="BN748">
        <v>79.930000000000007</v>
      </c>
      <c r="BO748">
        <v>79.930000000000007</v>
      </c>
      <c r="BP748" t="s">
        <v>1427</v>
      </c>
      <c r="BQ748" t="s">
        <v>1428</v>
      </c>
      <c r="BS748" s="3">
        <v>45814</v>
      </c>
      <c r="BT748" s="4">
        <v>0.3576388888888889</v>
      </c>
      <c r="BU748" t="s">
        <v>1429</v>
      </c>
      <c r="BV748" t="s">
        <v>86</v>
      </c>
      <c r="BY748">
        <v>9684.36</v>
      </c>
      <c r="BZ748" t="s">
        <v>87</v>
      </c>
      <c r="CA748" t="s">
        <v>1430</v>
      </c>
      <c r="CC748" t="s">
        <v>107</v>
      </c>
      <c r="CD748">
        <v>186</v>
      </c>
      <c r="CE748" t="s">
        <v>1029</v>
      </c>
      <c r="CF748" s="3">
        <v>45814</v>
      </c>
      <c r="CI748">
        <v>1</v>
      </c>
      <c r="CJ748">
        <v>1</v>
      </c>
      <c r="CK748">
        <v>21</v>
      </c>
      <c r="CL748" t="s">
        <v>90</v>
      </c>
    </row>
    <row r="749" spans="1:90" x14ac:dyDescent="0.3">
      <c r="A749" t="s">
        <v>72</v>
      </c>
      <c r="B749" t="s">
        <v>73</v>
      </c>
      <c r="C749" t="s">
        <v>74</v>
      </c>
      <c r="E749" t="str">
        <f>"009944473740"</f>
        <v>009944473740</v>
      </c>
      <c r="F749" s="3">
        <v>45813</v>
      </c>
      <c r="G749">
        <v>202603</v>
      </c>
      <c r="H749" t="s">
        <v>91</v>
      </c>
      <c r="I749" t="s">
        <v>92</v>
      </c>
      <c r="J749" t="s">
        <v>1426</v>
      </c>
      <c r="K749" t="s">
        <v>78</v>
      </c>
      <c r="L749" t="s">
        <v>75</v>
      </c>
      <c r="M749" t="s">
        <v>76</v>
      </c>
      <c r="N749" t="s">
        <v>188</v>
      </c>
      <c r="O749" t="s">
        <v>82</v>
      </c>
      <c r="P749" t="str">
        <f>"                              "</f>
        <v xml:space="preserve">                              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31.34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1</v>
      </c>
      <c r="BI749">
        <v>2.7</v>
      </c>
      <c r="BJ749">
        <v>1.7</v>
      </c>
      <c r="BK749">
        <v>3</v>
      </c>
      <c r="BL749">
        <v>104.22</v>
      </c>
      <c r="BM749">
        <v>15.63</v>
      </c>
      <c r="BN749">
        <v>119.85</v>
      </c>
      <c r="BO749">
        <v>119.85</v>
      </c>
      <c r="BP749" t="s">
        <v>1431</v>
      </c>
      <c r="BQ749" t="s">
        <v>1432</v>
      </c>
      <c r="BS749" s="3">
        <v>45814</v>
      </c>
      <c r="BT749" s="4">
        <v>0.41875000000000001</v>
      </c>
      <c r="BU749" t="s">
        <v>1032</v>
      </c>
      <c r="BV749" t="s">
        <v>86</v>
      </c>
      <c r="BY749">
        <v>8540.5</v>
      </c>
      <c r="BZ749" t="s">
        <v>87</v>
      </c>
      <c r="CA749" t="s">
        <v>193</v>
      </c>
      <c r="CC749" t="s">
        <v>76</v>
      </c>
      <c r="CD749">
        <v>1600</v>
      </c>
      <c r="CE749" t="s">
        <v>1029</v>
      </c>
      <c r="CF749" s="3">
        <v>45814</v>
      </c>
      <c r="CI749">
        <v>1</v>
      </c>
      <c r="CJ749">
        <v>1</v>
      </c>
      <c r="CK749">
        <v>21</v>
      </c>
      <c r="CL749" t="s">
        <v>90</v>
      </c>
    </row>
    <row r="750" spans="1:90" x14ac:dyDescent="0.3">
      <c r="A750" t="s">
        <v>72</v>
      </c>
      <c r="B750" t="s">
        <v>73</v>
      </c>
      <c r="C750" t="s">
        <v>74</v>
      </c>
      <c r="E750" t="str">
        <f>"080011534408"</f>
        <v>080011534408</v>
      </c>
      <c r="F750" s="3">
        <v>45814</v>
      </c>
      <c r="G750">
        <v>202603</v>
      </c>
      <c r="H750" t="s">
        <v>682</v>
      </c>
      <c r="I750" t="s">
        <v>683</v>
      </c>
      <c r="J750" t="s">
        <v>1433</v>
      </c>
      <c r="K750" t="s">
        <v>78</v>
      </c>
      <c r="L750" t="s">
        <v>174</v>
      </c>
      <c r="M750" t="s">
        <v>175</v>
      </c>
      <c r="N750" t="s">
        <v>1434</v>
      </c>
      <c r="O750" t="s">
        <v>82</v>
      </c>
      <c r="P750" t="str">
        <f>"Upliftment 4170041874         "</f>
        <v xml:space="preserve">Upliftment 4170041874         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40.49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1</v>
      </c>
      <c r="BI750">
        <v>1</v>
      </c>
      <c r="BJ750">
        <v>0.2</v>
      </c>
      <c r="BK750">
        <v>1</v>
      </c>
      <c r="BL750">
        <v>134.65</v>
      </c>
      <c r="BM750">
        <v>20.2</v>
      </c>
      <c r="BN750">
        <v>154.85</v>
      </c>
      <c r="BO750">
        <v>154.85</v>
      </c>
      <c r="BP750" t="s">
        <v>189</v>
      </c>
      <c r="BQ750" t="s">
        <v>1435</v>
      </c>
      <c r="BR750" t="s">
        <v>1436</v>
      </c>
      <c r="BS750" s="3">
        <v>45817</v>
      </c>
      <c r="BT750" s="4">
        <v>0.47430555555555554</v>
      </c>
      <c r="BU750" t="s">
        <v>847</v>
      </c>
      <c r="BV750" t="s">
        <v>86</v>
      </c>
      <c r="BY750">
        <v>1200</v>
      </c>
      <c r="BZ750" t="s">
        <v>87</v>
      </c>
      <c r="CA750" t="s">
        <v>359</v>
      </c>
      <c r="CC750" t="s">
        <v>175</v>
      </c>
      <c r="CD750">
        <v>3620</v>
      </c>
      <c r="CE750" t="s">
        <v>1437</v>
      </c>
      <c r="CF750" s="3">
        <v>45817</v>
      </c>
      <c r="CI750">
        <v>2</v>
      </c>
      <c r="CJ750">
        <v>1</v>
      </c>
      <c r="CK750">
        <v>23</v>
      </c>
      <c r="CL750" t="s">
        <v>90</v>
      </c>
    </row>
    <row r="751" spans="1:90" x14ac:dyDescent="0.3">
      <c r="A751" t="s">
        <v>72</v>
      </c>
      <c r="B751" t="s">
        <v>73</v>
      </c>
      <c r="C751" t="s">
        <v>74</v>
      </c>
      <c r="E751" t="str">
        <f>"R080065733159"</f>
        <v>R080065733159</v>
      </c>
      <c r="F751" s="3">
        <v>45814</v>
      </c>
      <c r="G751">
        <v>202603</v>
      </c>
      <c r="H751" t="s">
        <v>375</v>
      </c>
      <c r="I751" t="s">
        <v>376</v>
      </c>
      <c r="J751" t="s">
        <v>498</v>
      </c>
      <c r="K751" t="s">
        <v>78</v>
      </c>
      <c r="L751" t="s">
        <v>375</v>
      </c>
      <c r="M751" t="s">
        <v>376</v>
      </c>
      <c r="N751" t="s">
        <v>1438</v>
      </c>
      <c r="O751" t="s">
        <v>94</v>
      </c>
      <c r="P751" t="str">
        <f>"4170042042                    "</f>
        <v xml:space="preserve">4170042042                    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31.18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1</v>
      </c>
      <c r="BI751">
        <v>1</v>
      </c>
      <c r="BJ751">
        <v>0.6</v>
      </c>
      <c r="BK751">
        <v>1</v>
      </c>
      <c r="BL751">
        <v>109.27</v>
      </c>
      <c r="BM751">
        <v>16.39</v>
      </c>
      <c r="BN751">
        <v>125.66</v>
      </c>
      <c r="BO751">
        <v>125.66</v>
      </c>
      <c r="BQ751" t="s">
        <v>1439</v>
      </c>
      <c r="BR751" t="s">
        <v>499</v>
      </c>
      <c r="BS751" s="3">
        <v>45818</v>
      </c>
      <c r="BT751" s="4">
        <v>0.38194444444444442</v>
      </c>
      <c r="BU751" t="s">
        <v>1440</v>
      </c>
      <c r="BV751" t="s">
        <v>90</v>
      </c>
      <c r="BY751">
        <v>3078</v>
      </c>
      <c r="CC751" t="s">
        <v>376</v>
      </c>
      <c r="CD751">
        <v>1428</v>
      </c>
      <c r="CE751" t="s">
        <v>166</v>
      </c>
      <c r="CF751" s="3">
        <v>45819</v>
      </c>
      <c r="CI751">
        <v>1</v>
      </c>
      <c r="CJ751">
        <v>2</v>
      </c>
      <c r="CK751">
        <v>42</v>
      </c>
      <c r="CL751" t="s">
        <v>90</v>
      </c>
    </row>
    <row r="752" spans="1:90" x14ac:dyDescent="0.3">
      <c r="A752" t="s">
        <v>72</v>
      </c>
      <c r="B752" t="s">
        <v>73</v>
      </c>
      <c r="C752" t="s">
        <v>74</v>
      </c>
      <c r="E752" t="str">
        <f>"080065806738"</f>
        <v>080065806738</v>
      </c>
      <c r="F752" s="3">
        <v>45814</v>
      </c>
      <c r="G752">
        <v>202603</v>
      </c>
      <c r="H752" t="s">
        <v>75</v>
      </c>
      <c r="I752" t="s">
        <v>76</v>
      </c>
      <c r="J752" t="s">
        <v>77</v>
      </c>
      <c r="K752" t="s">
        <v>78</v>
      </c>
      <c r="L752" t="s">
        <v>331</v>
      </c>
      <c r="M752" t="s">
        <v>332</v>
      </c>
      <c r="N752" t="s">
        <v>484</v>
      </c>
      <c r="O752" t="s">
        <v>82</v>
      </c>
      <c r="P752" t="str">
        <f>"4170042725                    "</f>
        <v xml:space="preserve">4170042725                    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20.9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1</v>
      </c>
      <c r="BI752">
        <v>1</v>
      </c>
      <c r="BJ752">
        <v>0.2</v>
      </c>
      <c r="BK752">
        <v>1</v>
      </c>
      <c r="BL752">
        <v>69.5</v>
      </c>
      <c r="BM752">
        <v>10.43</v>
      </c>
      <c r="BN752">
        <v>79.930000000000007</v>
      </c>
      <c r="BO752">
        <v>79.930000000000007</v>
      </c>
      <c r="BQ752" t="s">
        <v>485</v>
      </c>
      <c r="BR752" t="s">
        <v>84</v>
      </c>
      <c r="BS752" s="3">
        <v>45817</v>
      </c>
      <c r="BT752" s="4">
        <v>0.40833333333333333</v>
      </c>
      <c r="BU752" t="s">
        <v>1441</v>
      </c>
      <c r="BV752" t="s">
        <v>86</v>
      </c>
      <c r="BY752">
        <v>1200</v>
      </c>
      <c r="BZ752" t="s">
        <v>87</v>
      </c>
      <c r="CA752" t="s">
        <v>418</v>
      </c>
      <c r="CC752" t="s">
        <v>332</v>
      </c>
      <c r="CD752">
        <v>4052</v>
      </c>
      <c r="CE752" t="s">
        <v>89</v>
      </c>
      <c r="CF752" s="3">
        <v>45817</v>
      </c>
      <c r="CI752">
        <v>1</v>
      </c>
      <c r="CJ752">
        <v>1</v>
      </c>
      <c r="CK752">
        <v>21</v>
      </c>
      <c r="CL752" t="s">
        <v>90</v>
      </c>
    </row>
    <row r="753" spans="1:90" x14ac:dyDescent="0.3">
      <c r="A753" t="s">
        <v>72</v>
      </c>
      <c r="B753" t="s">
        <v>73</v>
      </c>
      <c r="C753" t="s">
        <v>74</v>
      </c>
      <c r="E753" t="str">
        <f>"080065806768"</f>
        <v>080065806768</v>
      </c>
      <c r="F753" s="3">
        <v>45814</v>
      </c>
      <c r="G753">
        <v>202603</v>
      </c>
      <c r="H753" t="s">
        <v>75</v>
      </c>
      <c r="I753" t="s">
        <v>76</v>
      </c>
      <c r="J753" t="s">
        <v>77</v>
      </c>
      <c r="K753" t="s">
        <v>78</v>
      </c>
      <c r="L753" t="s">
        <v>224</v>
      </c>
      <c r="M753" t="s">
        <v>225</v>
      </c>
      <c r="N753" t="s">
        <v>1442</v>
      </c>
      <c r="O753" t="s">
        <v>82</v>
      </c>
      <c r="P753" t="str">
        <f>"4170042794                    "</f>
        <v xml:space="preserve">4170042794                    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40.49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1</v>
      </c>
      <c r="BI753">
        <v>1</v>
      </c>
      <c r="BJ753">
        <v>0.2</v>
      </c>
      <c r="BK753">
        <v>1</v>
      </c>
      <c r="BL753">
        <v>134.65</v>
      </c>
      <c r="BM753">
        <v>20.2</v>
      </c>
      <c r="BN753">
        <v>154.85</v>
      </c>
      <c r="BO753">
        <v>154.85</v>
      </c>
      <c r="BQ753" t="s">
        <v>1443</v>
      </c>
      <c r="BR753" t="s">
        <v>84</v>
      </c>
      <c r="BS753" s="3">
        <v>45818</v>
      </c>
      <c r="BT753" s="4">
        <v>0.37847222222222221</v>
      </c>
      <c r="BU753" t="s">
        <v>1444</v>
      </c>
      <c r="BV753" t="s">
        <v>86</v>
      </c>
      <c r="BY753">
        <v>1200</v>
      </c>
      <c r="CC753" t="s">
        <v>225</v>
      </c>
      <c r="CD753">
        <v>6300</v>
      </c>
      <c r="CE753" t="s">
        <v>215</v>
      </c>
      <c r="CF753" s="3">
        <v>45818</v>
      </c>
      <c r="CI753">
        <v>2</v>
      </c>
      <c r="CJ753">
        <v>2</v>
      </c>
      <c r="CK753">
        <v>23</v>
      </c>
      <c r="CL753" t="s">
        <v>90</v>
      </c>
    </row>
    <row r="754" spans="1:90" x14ac:dyDescent="0.3">
      <c r="A754" t="s">
        <v>72</v>
      </c>
      <c r="B754" t="s">
        <v>73</v>
      </c>
      <c r="C754" t="s">
        <v>74</v>
      </c>
      <c r="E754" t="str">
        <f>"080065806967"</f>
        <v>080065806967</v>
      </c>
      <c r="F754" s="3">
        <v>45814</v>
      </c>
      <c r="G754">
        <v>202603</v>
      </c>
      <c r="H754" t="s">
        <v>75</v>
      </c>
      <c r="I754" t="s">
        <v>76</v>
      </c>
      <c r="J754" t="s">
        <v>77</v>
      </c>
      <c r="K754" t="s">
        <v>78</v>
      </c>
      <c r="L754" t="s">
        <v>710</v>
      </c>
      <c r="M754" t="s">
        <v>711</v>
      </c>
      <c r="N754" t="s">
        <v>1445</v>
      </c>
      <c r="O754" t="s">
        <v>94</v>
      </c>
      <c r="P754" t="str">
        <f>"4170042586                    "</f>
        <v xml:space="preserve">4170042586                    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42.08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1</v>
      </c>
      <c r="BI754">
        <v>16</v>
      </c>
      <c r="BJ754">
        <v>16</v>
      </c>
      <c r="BK754">
        <v>16</v>
      </c>
      <c r="BL754">
        <v>145.51</v>
      </c>
      <c r="BM754">
        <v>21.83</v>
      </c>
      <c r="BN754">
        <v>167.34</v>
      </c>
      <c r="BO754">
        <v>167.34</v>
      </c>
      <c r="BQ754" t="s">
        <v>1446</v>
      </c>
      <c r="BR754" t="s">
        <v>84</v>
      </c>
      <c r="BS754" s="3">
        <v>45817</v>
      </c>
      <c r="BT754" s="4">
        <v>0.37291666666666667</v>
      </c>
      <c r="BU754" t="s">
        <v>1447</v>
      </c>
      <c r="BV754" t="s">
        <v>86</v>
      </c>
      <c r="BY754">
        <v>80199</v>
      </c>
      <c r="BZ754" t="s">
        <v>97</v>
      </c>
      <c r="CA754" t="s">
        <v>715</v>
      </c>
      <c r="CC754" t="s">
        <v>711</v>
      </c>
      <c r="CD754">
        <v>7600</v>
      </c>
      <c r="CE754" t="s">
        <v>122</v>
      </c>
      <c r="CF754" s="3">
        <v>45818</v>
      </c>
      <c r="CI754">
        <v>3</v>
      </c>
      <c r="CJ754">
        <v>1</v>
      </c>
      <c r="CK754">
        <v>41</v>
      </c>
      <c r="CL754" t="s">
        <v>90</v>
      </c>
    </row>
    <row r="755" spans="1:90" x14ac:dyDescent="0.3">
      <c r="A755" t="s">
        <v>72</v>
      </c>
      <c r="B755" t="s">
        <v>73</v>
      </c>
      <c r="C755" t="s">
        <v>74</v>
      </c>
      <c r="E755" t="str">
        <f>"080065807089"</f>
        <v>080065807089</v>
      </c>
      <c r="F755" s="3">
        <v>45814</v>
      </c>
      <c r="G755">
        <v>202603</v>
      </c>
      <c r="H755" t="s">
        <v>75</v>
      </c>
      <c r="I755" t="s">
        <v>76</v>
      </c>
      <c r="J755" t="s">
        <v>77</v>
      </c>
      <c r="K755" t="s">
        <v>78</v>
      </c>
      <c r="L755" t="s">
        <v>575</v>
      </c>
      <c r="M755" t="s">
        <v>576</v>
      </c>
      <c r="N755" t="s">
        <v>1448</v>
      </c>
      <c r="O755" t="s">
        <v>94</v>
      </c>
      <c r="P755" t="str">
        <f>"4170042508                    "</f>
        <v xml:space="preserve">4170042508                    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126.86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2</v>
      </c>
      <c r="BI755">
        <v>24</v>
      </c>
      <c r="BJ755">
        <v>38.5</v>
      </c>
      <c r="BK755">
        <v>39</v>
      </c>
      <c r="BL755">
        <v>427.46</v>
      </c>
      <c r="BM755">
        <v>64.12</v>
      </c>
      <c r="BN755">
        <v>491.58</v>
      </c>
      <c r="BO755">
        <v>491.58</v>
      </c>
      <c r="BQ755" t="s">
        <v>1449</v>
      </c>
      <c r="BR755" t="s">
        <v>84</v>
      </c>
      <c r="BS755" s="3">
        <v>45817</v>
      </c>
      <c r="BT755" s="4">
        <v>0.57152777777777775</v>
      </c>
      <c r="BU755" t="s">
        <v>1450</v>
      </c>
      <c r="BV755" t="s">
        <v>86</v>
      </c>
      <c r="BY755">
        <v>192400</v>
      </c>
      <c r="BZ755" t="s">
        <v>97</v>
      </c>
      <c r="CA755" t="s">
        <v>1451</v>
      </c>
      <c r="CC755" t="s">
        <v>576</v>
      </c>
      <c r="CD755">
        <v>1871</v>
      </c>
      <c r="CE755" t="s">
        <v>166</v>
      </c>
      <c r="CF755" s="3">
        <v>45818</v>
      </c>
      <c r="CI755">
        <v>1</v>
      </c>
      <c r="CJ755">
        <v>1</v>
      </c>
      <c r="CK755">
        <v>43</v>
      </c>
      <c r="CL755" t="s">
        <v>90</v>
      </c>
    </row>
    <row r="756" spans="1:90" x14ac:dyDescent="0.3">
      <c r="A756" t="s">
        <v>72</v>
      </c>
      <c r="B756" t="s">
        <v>73</v>
      </c>
      <c r="C756" t="s">
        <v>74</v>
      </c>
      <c r="E756" t="str">
        <f>"080065807420"</f>
        <v>080065807420</v>
      </c>
      <c r="F756" s="3">
        <v>45814</v>
      </c>
      <c r="G756">
        <v>202603</v>
      </c>
      <c r="H756" t="s">
        <v>75</v>
      </c>
      <c r="I756" t="s">
        <v>76</v>
      </c>
      <c r="J756" t="s">
        <v>77</v>
      </c>
      <c r="K756" t="s">
        <v>78</v>
      </c>
      <c r="L756" t="s">
        <v>1452</v>
      </c>
      <c r="M756" t="s">
        <v>1453</v>
      </c>
      <c r="N756" t="s">
        <v>1454</v>
      </c>
      <c r="O756" t="s">
        <v>82</v>
      </c>
      <c r="P756" t="str">
        <f>"4170042514                    "</f>
        <v xml:space="preserve">4170042514                    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16.32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1</v>
      </c>
      <c r="BI756">
        <v>1</v>
      </c>
      <c r="BJ756">
        <v>0.2</v>
      </c>
      <c r="BK756">
        <v>1</v>
      </c>
      <c r="BL756">
        <v>54.28</v>
      </c>
      <c r="BM756">
        <v>8.14</v>
      </c>
      <c r="BN756">
        <v>62.42</v>
      </c>
      <c r="BO756">
        <v>62.42</v>
      </c>
      <c r="BQ756" t="s">
        <v>1455</v>
      </c>
      <c r="BR756" t="s">
        <v>84</v>
      </c>
      <c r="BS756" s="3">
        <v>45817</v>
      </c>
      <c r="BT756" s="4">
        <v>0.41041666666666665</v>
      </c>
      <c r="BU756" t="s">
        <v>1456</v>
      </c>
      <c r="BV756" t="s">
        <v>86</v>
      </c>
      <c r="BY756">
        <v>1200</v>
      </c>
      <c r="CA756" t="s">
        <v>1457</v>
      </c>
      <c r="CC756" t="s">
        <v>1453</v>
      </c>
      <c r="CD756">
        <v>2163</v>
      </c>
      <c r="CE756" t="s">
        <v>215</v>
      </c>
      <c r="CF756" s="3">
        <v>45817</v>
      </c>
      <c r="CI756">
        <v>1</v>
      </c>
      <c r="CJ756">
        <v>1</v>
      </c>
      <c r="CK756">
        <v>22</v>
      </c>
      <c r="CL756" t="s">
        <v>90</v>
      </c>
    </row>
    <row r="757" spans="1:90" x14ac:dyDescent="0.3">
      <c r="A757" t="s">
        <v>72</v>
      </c>
      <c r="B757" t="s">
        <v>73</v>
      </c>
      <c r="C757" t="s">
        <v>74</v>
      </c>
      <c r="E757" t="str">
        <f>"080065807442"</f>
        <v>080065807442</v>
      </c>
      <c r="F757" s="3">
        <v>45814</v>
      </c>
      <c r="G757">
        <v>202603</v>
      </c>
      <c r="H757" t="s">
        <v>75</v>
      </c>
      <c r="I757" t="s">
        <v>76</v>
      </c>
      <c r="J757" t="s">
        <v>77</v>
      </c>
      <c r="K757" t="s">
        <v>78</v>
      </c>
      <c r="L757" t="s">
        <v>130</v>
      </c>
      <c r="M757" t="s">
        <v>131</v>
      </c>
      <c r="N757" t="s">
        <v>729</v>
      </c>
      <c r="O757" t="s">
        <v>82</v>
      </c>
      <c r="P757" t="str">
        <f>"4170042573                    "</f>
        <v xml:space="preserve">4170042573                    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16.32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1</v>
      </c>
      <c r="BI757">
        <v>1</v>
      </c>
      <c r="BJ757">
        <v>0.2</v>
      </c>
      <c r="BK757">
        <v>1</v>
      </c>
      <c r="BL757">
        <v>54.28</v>
      </c>
      <c r="BM757">
        <v>8.14</v>
      </c>
      <c r="BN757">
        <v>62.42</v>
      </c>
      <c r="BO757">
        <v>62.42</v>
      </c>
      <c r="BQ757" t="s">
        <v>730</v>
      </c>
      <c r="BR757" t="s">
        <v>84</v>
      </c>
      <c r="BS757" s="3">
        <v>45817</v>
      </c>
      <c r="BT757" s="4">
        <v>0.37916666666666665</v>
      </c>
      <c r="BU757" t="s">
        <v>1458</v>
      </c>
      <c r="BV757" t="s">
        <v>86</v>
      </c>
      <c r="BY757">
        <v>1200</v>
      </c>
      <c r="BZ757" t="s">
        <v>87</v>
      </c>
      <c r="CA757" t="s">
        <v>732</v>
      </c>
      <c r="CC757" t="s">
        <v>131</v>
      </c>
      <c r="CD757">
        <v>1459</v>
      </c>
      <c r="CE757" t="s">
        <v>89</v>
      </c>
      <c r="CF757" s="3">
        <v>45818</v>
      </c>
      <c r="CI757">
        <v>1</v>
      </c>
      <c r="CJ757">
        <v>1</v>
      </c>
      <c r="CK757">
        <v>22</v>
      </c>
      <c r="CL757" t="s">
        <v>90</v>
      </c>
    </row>
    <row r="758" spans="1:90" x14ac:dyDescent="0.3">
      <c r="A758" t="s">
        <v>72</v>
      </c>
      <c r="B758" t="s">
        <v>73</v>
      </c>
      <c r="C758" t="s">
        <v>74</v>
      </c>
      <c r="E758" t="str">
        <f>"080065807459"</f>
        <v>080065807459</v>
      </c>
      <c r="F758" s="3">
        <v>45814</v>
      </c>
      <c r="G758">
        <v>202603</v>
      </c>
      <c r="H758" t="s">
        <v>75</v>
      </c>
      <c r="I758" t="s">
        <v>76</v>
      </c>
      <c r="J758" t="s">
        <v>77</v>
      </c>
      <c r="K758" t="s">
        <v>78</v>
      </c>
      <c r="L758" t="s">
        <v>91</v>
      </c>
      <c r="M758" t="s">
        <v>92</v>
      </c>
      <c r="N758" t="s">
        <v>763</v>
      </c>
      <c r="O758" t="s">
        <v>82</v>
      </c>
      <c r="P758" t="str">
        <f>"4170042731                    "</f>
        <v xml:space="preserve">4170042731                    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20.9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1</v>
      </c>
      <c r="BI758">
        <v>1</v>
      </c>
      <c r="BJ758">
        <v>0.2</v>
      </c>
      <c r="BK758">
        <v>1</v>
      </c>
      <c r="BL758">
        <v>69.5</v>
      </c>
      <c r="BM758">
        <v>10.43</v>
      </c>
      <c r="BN758">
        <v>79.930000000000007</v>
      </c>
      <c r="BO758">
        <v>79.930000000000007</v>
      </c>
      <c r="BQ758" t="s">
        <v>764</v>
      </c>
      <c r="BR758" t="s">
        <v>84</v>
      </c>
      <c r="BS758" s="3">
        <v>45817</v>
      </c>
      <c r="BT758" s="4">
        <v>0.62291666666666667</v>
      </c>
      <c r="BU758" t="s">
        <v>1459</v>
      </c>
      <c r="BV758" t="s">
        <v>90</v>
      </c>
      <c r="BW758" t="s">
        <v>875</v>
      </c>
      <c r="BX758" t="s">
        <v>1460</v>
      </c>
      <c r="BY758">
        <v>1200</v>
      </c>
      <c r="CA758" t="s">
        <v>1461</v>
      </c>
      <c r="CC758" t="s">
        <v>92</v>
      </c>
      <c r="CD758">
        <v>7550</v>
      </c>
      <c r="CE758" t="s">
        <v>215</v>
      </c>
      <c r="CF758" s="3">
        <v>45818</v>
      </c>
      <c r="CI758">
        <v>1</v>
      </c>
      <c r="CJ758">
        <v>1</v>
      </c>
      <c r="CK758">
        <v>21</v>
      </c>
      <c r="CL758" t="s">
        <v>90</v>
      </c>
    </row>
    <row r="759" spans="1:90" x14ac:dyDescent="0.3">
      <c r="A759" t="s">
        <v>72</v>
      </c>
      <c r="B759" t="s">
        <v>73</v>
      </c>
      <c r="C759" t="s">
        <v>74</v>
      </c>
      <c r="E759" t="str">
        <f>"080065807476"</f>
        <v>080065807476</v>
      </c>
      <c r="F759" s="3">
        <v>45814</v>
      </c>
      <c r="G759">
        <v>202603</v>
      </c>
      <c r="H759" t="s">
        <v>75</v>
      </c>
      <c r="I759" t="s">
        <v>76</v>
      </c>
      <c r="J759" t="s">
        <v>77</v>
      </c>
      <c r="K759" t="s">
        <v>78</v>
      </c>
      <c r="L759" t="s">
        <v>504</v>
      </c>
      <c r="M759" t="s">
        <v>505</v>
      </c>
      <c r="N759" t="s">
        <v>506</v>
      </c>
      <c r="O759" t="s">
        <v>82</v>
      </c>
      <c r="P759" t="str">
        <f>"4170042722                    "</f>
        <v xml:space="preserve">4170042722                    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40.49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1</v>
      </c>
      <c r="BI759">
        <v>1</v>
      </c>
      <c r="BJ759">
        <v>0.2</v>
      </c>
      <c r="BK759">
        <v>1</v>
      </c>
      <c r="BL759">
        <v>134.65</v>
      </c>
      <c r="BM759">
        <v>20.2</v>
      </c>
      <c r="BN759">
        <v>154.85</v>
      </c>
      <c r="BO759">
        <v>154.85</v>
      </c>
      <c r="BQ759" t="s">
        <v>507</v>
      </c>
      <c r="BR759" t="s">
        <v>84</v>
      </c>
      <c r="BS759" s="3">
        <v>45817</v>
      </c>
      <c r="BT759" s="4">
        <v>0.35416666666666669</v>
      </c>
      <c r="BU759" t="s">
        <v>1062</v>
      </c>
      <c r="BV759" t="s">
        <v>86</v>
      </c>
      <c r="BY759">
        <v>1200</v>
      </c>
      <c r="CA759" t="s">
        <v>1462</v>
      </c>
      <c r="CC759" t="s">
        <v>505</v>
      </c>
      <c r="CD759">
        <v>2740</v>
      </c>
      <c r="CE759" t="s">
        <v>215</v>
      </c>
      <c r="CF759" s="3">
        <v>45818</v>
      </c>
      <c r="CI759">
        <v>1</v>
      </c>
      <c r="CJ759">
        <v>1</v>
      </c>
      <c r="CK759">
        <v>23</v>
      </c>
      <c r="CL759" t="s">
        <v>90</v>
      </c>
    </row>
    <row r="760" spans="1:90" x14ac:dyDescent="0.3">
      <c r="A760" t="s">
        <v>72</v>
      </c>
      <c r="B760" t="s">
        <v>73</v>
      </c>
      <c r="C760" t="s">
        <v>74</v>
      </c>
      <c r="E760" t="str">
        <f>"080065807497"</f>
        <v>080065807497</v>
      </c>
      <c r="F760" s="3">
        <v>45814</v>
      </c>
      <c r="G760">
        <v>202603</v>
      </c>
      <c r="H760" t="s">
        <v>75</v>
      </c>
      <c r="I760" t="s">
        <v>76</v>
      </c>
      <c r="J760" t="s">
        <v>77</v>
      </c>
      <c r="K760" t="s">
        <v>78</v>
      </c>
      <c r="L760" t="s">
        <v>266</v>
      </c>
      <c r="M760" t="s">
        <v>267</v>
      </c>
      <c r="N760" t="s">
        <v>923</v>
      </c>
      <c r="O760" t="s">
        <v>82</v>
      </c>
      <c r="P760" t="str">
        <f>"4170042772                    "</f>
        <v xml:space="preserve">4170042772                    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20.9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1</v>
      </c>
      <c r="BI760">
        <v>1</v>
      </c>
      <c r="BJ760">
        <v>0.2</v>
      </c>
      <c r="BK760">
        <v>1</v>
      </c>
      <c r="BL760">
        <v>69.5</v>
      </c>
      <c r="BM760">
        <v>10.43</v>
      </c>
      <c r="BN760">
        <v>79.930000000000007</v>
      </c>
      <c r="BO760">
        <v>79.930000000000007</v>
      </c>
      <c r="BQ760" t="s">
        <v>924</v>
      </c>
      <c r="BR760" t="s">
        <v>84</v>
      </c>
      <c r="BS760" s="3">
        <v>45818</v>
      </c>
      <c r="BT760" s="4">
        <v>0.36180555555555555</v>
      </c>
      <c r="BU760" t="s">
        <v>1463</v>
      </c>
      <c r="BV760" t="s">
        <v>90</v>
      </c>
      <c r="BW760" t="s">
        <v>416</v>
      </c>
      <c r="BX760" t="s">
        <v>614</v>
      </c>
      <c r="BY760">
        <v>1200</v>
      </c>
      <c r="CA760" t="s">
        <v>271</v>
      </c>
      <c r="CC760" t="s">
        <v>267</v>
      </c>
      <c r="CD760">
        <v>6229</v>
      </c>
      <c r="CE760" t="s">
        <v>215</v>
      </c>
      <c r="CF760" s="3">
        <v>45818</v>
      </c>
      <c r="CI760">
        <v>1</v>
      </c>
      <c r="CJ760">
        <v>2</v>
      </c>
      <c r="CK760">
        <v>21</v>
      </c>
      <c r="CL760" t="s">
        <v>90</v>
      </c>
    </row>
    <row r="761" spans="1:90" x14ac:dyDescent="0.3">
      <c r="A761" t="s">
        <v>72</v>
      </c>
      <c r="B761" t="s">
        <v>73</v>
      </c>
      <c r="C761" t="s">
        <v>74</v>
      </c>
      <c r="E761" t="str">
        <f>"080065807508"</f>
        <v>080065807508</v>
      </c>
      <c r="F761" s="3">
        <v>45814</v>
      </c>
      <c r="G761">
        <v>202603</v>
      </c>
      <c r="H761" t="s">
        <v>75</v>
      </c>
      <c r="I761" t="s">
        <v>76</v>
      </c>
      <c r="J761" t="s">
        <v>77</v>
      </c>
      <c r="K761" t="s">
        <v>78</v>
      </c>
      <c r="L761" t="s">
        <v>575</v>
      </c>
      <c r="M761" t="s">
        <v>576</v>
      </c>
      <c r="N761" t="s">
        <v>1464</v>
      </c>
      <c r="O761" t="s">
        <v>82</v>
      </c>
      <c r="P761" t="str">
        <f>"4170042674                    "</f>
        <v xml:space="preserve">4170042674                    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40.49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1</v>
      </c>
      <c r="BI761">
        <v>1</v>
      </c>
      <c r="BJ761">
        <v>0.2</v>
      </c>
      <c r="BK761">
        <v>1</v>
      </c>
      <c r="BL761">
        <v>134.65</v>
      </c>
      <c r="BM761">
        <v>20.2</v>
      </c>
      <c r="BN761">
        <v>154.85</v>
      </c>
      <c r="BO761">
        <v>154.85</v>
      </c>
      <c r="BQ761" t="s">
        <v>1465</v>
      </c>
      <c r="BR761" t="s">
        <v>84</v>
      </c>
      <c r="BS761" s="3">
        <v>45817</v>
      </c>
      <c r="BT761" s="4">
        <v>0.4201388888888889</v>
      </c>
      <c r="BU761" t="s">
        <v>1466</v>
      </c>
      <c r="BV761" t="s">
        <v>86</v>
      </c>
      <c r="BY761">
        <v>1200</v>
      </c>
      <c r="BZ761" t="s">
        <v>87</v>
      </c>
      <c r="CA761" t="s">
        <v>1451</v>
      </c>
      <c r="CC761" t="s">
        <v>576</v>
      </c>
      <c r="CD761">
        <v>1961</v>
      </c>
      <c r="CE761" t="s">
        <v>89</v>
      </c>
      <c r="CF761" s="3">
        <v>45818</v>
      </c>
      <c r="CI761">
        <v>1</v>
      </c>
      <c r="CJ761">
        <v>1</v>
      </c>
      <c r="CK761">
        <v>23</v>
      </c>
      <c r="CL761" t="s">
        <v>90</v>
      </c>
    </row>
    <row r="762" spans="1:90" x14ac:dyDescent="0.3">
      <c r="A762" t="s">
        <v>72</v>
      </c>
      <c r="B762" t="s">
        <v>73</v>
      </c>
      <c r="C762" t="s">
        <v>74</v>
      </c>
      <c r="E762" t="str">
        <f>"080065807524"</f>
        <v>080065807524</v>
      </c>
      <c r="F762" s="3">
        <v>45814</v>
      </c>
      <c r="G762">
        <v>202603</v>
      </c>
      <c r="H762" t="s">
        <v>75</v>
      </c>
      <c r="I762" t="s">
        <v>76</v>
      </c>
      <c r="J762" t="s">
        <v>77</v>
      </c>
      <c r="K762" t="s">
        <v>78</v>
      </c>
      <c r="L762" t="s">
        <v>100</v>
      </c>
      <c r="M762" t="s">
        <v>101</v>
      </c>
      <c r="N762" t="s">
        <v>1467</v>
      </c>
      <c r="O762" t="s">
        <v>82</v>
      </c>
      <c r="P762" t="str">
        <f>"4170042744                    "</f>
        <v xml:space="preserve">4170042744                    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20.9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1</v>
      </c>
      <c r="BI762">
        <v>1</v>
      </c>
      <c r="BJ762">
        <v>0.2</v>
      </c>
      <c r="BK762">
        <v>1</v>
      </c>
      <c r="BL762">
        <v>69.5</v>
      </c>
      <c r="BM762">
        <v>10.43</v>
      </c>
      <c r="BN762">
        <v>79.930000000000007</v>
      </c>
      <c r="BO762">
        <v>79.930000000000007</v>
      </c>
      <c r="BQ762" t="s">
        <v>1468</v>
      </c>
      <c r="BR762" t="s">
        <v>84</v>
      </c>
      <c r="BS762" s="3">
        <v>45817</v>
      </c>
      <c r="BT762" s="4">
        <v>0.41875000000000001</v>
      </c>
      <c r="BU762" t="s">
        <v>1469</v>
      </c>
      <c r="BV762" t="s">
        <v>86</v>
      </c>
      <c r="BY762">
        <v>1200</v>
      </c>
      <c r="BZ762" t="s">
        <v>87</v>
      </c>
      <c r="CA762" t="s">
        <v>235</v>
      </c>
      <c r="CC762" t="s">
        <v>101</v>
      </c>
      <c r="CD762">
        <v>6001</v>
      </c>
      <c r="CE762" t="s">
        <v>89</v>
      </c>
      <c r="CF762" s="3">
        <v>45817</v>
      </c>
      <c r="CI762">
        <v>1</v>
      </c>
      <c r="CJ762">
        <v>1</v>
      </c>
      <c r="CK762">
        <v>21</v>
      </c>
      <c r="CL762" t="s">
        <v>90</v>
      </c>
    </row>
    <row r="763" spans="1:90" x14ac:dyDescent="0.3">
      <c r="A763" t="s">
        <v>72</v>
      </c>
      <c r="B763" t="s">
        <v>73</v>
      </c>
      <c r="C763" t="s">
        <v>74</v>
      </c>
      <c r="E763" t="str">
        <f>"080065807531"</f>
        <v>080065807531</v>
      </c>
      <c r="F763" s="3">
        <v>45814</v>
      </c>
      <c r="G763">
        <v>202603</v>
      </c>
      <c r="H763" t="s">
        <v>75</v>
      </c>
      <c r="I763" t="s">
        <v>76</v>
      </c>
      <c r="J763" t="s">
        <v>77</v>
      </c>
      <c r="K763" t="s">
        <v>78</v>
      </c>
      <c r="L763" t="s">
        <v>136</v>
      </c>
      <c r="M763" t="s">
        <v>137</v>
      </c>
      <c r="N763" t="s">
        <v>621</v>
      </c>
      <c r="O763" t="s">
        <v>82</v>
      </c>
      <c r="P763" t="str">
        <f>"4170042526                    "</f>
        <v xml:space="preserve">4170042526                    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31.34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1</v>
      </c>
      <c r="BI763">
        <v>3</v>
      </c>
      <c r="BJ763">
        <v>2</v>
      </c>
      <c r="BK763">
        <v>3</v>
      </c>
      <c r="BL763">
        <v>104.22</v>
      </c>
      <c r="BM763">
        <v>15.63</v>
      </c>
      <c r="BN763">
        <v>119.85</v>
      </c>
      <c r="BO763">
        <v>119.85</v>
      </c>
      <c r="BQ763" t="s">
        <v>622</v>
      </c>
      <c r="BR763" t="s">
        <v>84</v>
      </c>
      <c r="BS763" s="3">
        <v>45817</v>
      </c>
      <c r="BT763" s="4">
        <v>0.4375</v>
      </c>
      <c r="BU763" t="s">
        <v>1156</v>
      </c>
      <c r="BV763" t="s">
        <v>86</v>
      </c>
      <c r="BY763">
        <v>9918</v>
      </c>
      <c r="BZ763" t="s">
        <v>87</v>
      </c>
      <c r="CA763" t="s">
        <v>1157</v>
      </c>
      <c r="CC763" t="s">
        <v>137</v>
      </c>
      <c r="CD763">
        <v>5200</v>
      </c>
      <c r="CE763" t="s">
        <v>99</v>
      </c>
      <c r="CF763" s="3">
        <v>45818</v>
      </c>
      <c r="CI763">
        <v>1</v>
      </c>
      <c r="CJ763">
        <v>1</v>
      </c>
      <c r="CK763">
        <v>21</v>
      </c>
      <c r="CL763" t="s">
        <v>90</v>
      </c>
    </row>
    <row r="764" spans="1:90" x14ac:dyDescent="0.3">
      <c r="A764" t="s">
        <v>72</v>
      </c>
      <c r="B764" t="s">
        <v>73</v>
      </c>
      <c r="C764" t="s">
        <v>74</v>
      </c>
      <c r="E764" t="str">
        <f>"080065807540"</f>
        <v>080065807540</v>
      </c>
      <c r="F764" s="3">
        <v>45814</v>
      </c>
      <c r="G764">
        <v>202603</v>
      </c>
      <c r="H764" t="s">
        <v>75</v>
      </c>
      <c r="I764" t="s">
        <v>76</v>
      </c>
      <c r="J764" t="s">
        <v>77</v>
      </c>
      <c r="K764" t="s">
        <v>78</v>
      </c>
      <c r="L764" t="s">
        <v>100</v>
      </c>
      <c r="M764" t="s">
        <v>101</v>
      </c>
      <c r="N764" t="s">
        <v>391</v>
      </c>
      <c r="O764" t="s">
        <v>82</v>
      </c>
      <c r="P764" t="str">
        <f>"4170042654                    "</f>
        <v xml:space="preserve">4170042654                    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20.9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1</v>
      </c>
      <c r="BI764">
        <v>1</v>
      </c>
      <c r="BJ764">
        <v>0.2</v>
      </c>
      <c r="BK764">
        <v>1</v>
      </c>
      <c r="BL764">
        <v>69.5</v>
      </c>
      <c r="BM764">
        <v>10.43</v>
      </c>
      <c r="BN764">
        <v>79.930000000000007</v>
      </c>
      <c r="BO764">
        <v>79.930000000000007</v>
      </c>
      <c r="BQ764" t="s">
        <v>392</v>
      </c>
      <c r="BR764" t="s">
        <v>84</v>
      </c>
      <c r="BS764" s="3">
        <v>45817</v>
      </c>
      <c r="BT764" s="4">
        <v>0.41319444444444442</v>
      </c>
      <c r="BU764" t="s">
        <v>1133</v>
      </c>
      <c r="BV764" t="s">
        <v>86</v>
      </c>
      <c r="BY764">
        <v>1200</v>
      </c>
      <c r="BZ764" t="s">
        <v>87</v>
      </c>
      <c r="CA764" t="s">
        <v>394</v>
      </c>
      <c r="CC764" t="s">
        <v>101</v>
      </c>
      <c r="CD764">
        <v>6001</v>
      </c>
      <c r="CE764" t="s">
        <v>89</v>
      </c>
      <c r="CF764" s="3">
        <v>45817</v>
      </c>
      <c r="CI764">
        <v>1</v>
      </c>
      <c r="CJ764">
        <v>1</v>
      </c>
      <c r="CK764">
        <v>21</v>
      </c>
      <c r="CL764" t="s">
        <v>90</v>
      </c>
    </row>
    <row r="765" spans="1:90" x14ac:dyDescent="0.3">
      <c r="A765" t="s">
        <v>72</v>
      </c>
      <c r="B765" t="s">
        <v>73</v>
      </c>
      <c r="C765" t="s">
        <v>74</v>
      </c>
      <c r="E765" t="str">
        <f>"080065807547"</f>
        <v>080065807547</v>
      </c>
      <c r="F765" s="3">
        <v>45814</v>
      </c>
      <c r="G765">
        <v>202603</v>
      </c>
      <c r="H765" t="s">
        <v>75</v>
      </c>
      <c r="I765" t="s">
        <v>76</v>
      </c>
      <c r="J765" t="s">
        <v>77</v>
      </c>
      <c r="K765" t="s">
        <v>78</v>
      </c>
      <c r="L765" t="s">
        <v>75</v>
      </c>
      <c r="M765" t="s">
        <v>76</v>
      </c>
      <c r="N765" t="s">
        <v>525</v>
      </c>
      <c r="O765" t="s">
        <v>82</v>
      </c>
      <c r="P765" t="str">
        <f>"4170042600                    "</f>
        <v xml:space="preserve">4170042600                    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16.32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1</v>
      </c>
      <c r="BI765">
        <v>1</v>
      </c>
      <c r="BJ765">
        <v>0.2</v>
      </c>
      <c r="BK765">
        <v>1</v>
      </c>
      <c r="BL765">
        <v>54.28</v>
      </c>
      <c r="BM765">
        <v>8.14</v>
      </c>
      <c r="BN765">
        <v>62.42</v>
      </c>
      <c r="BO765">
        <v>62.42</v>
      </c>
      <c r="BQ765" t="s">
        <v>526</v>
      </c>
      <c r="BR765" t="s">
        <v>84</v>
      </c>
      <c r="BS765" s="3">
        <v>45817</v>
      </c>
      <c r="BT765" s="4">
        <v>0.33333333333333331</v>
      </c>
      <c r="BU765" t="s">
        <v>1470</v>
      </c>
      <c r="BV765" t="s">
        <v>86</v>
      </c>
      <c r="BY765">
        <v>1200</v>
      </c>
      <c r="CA765" t="s">
        <v>219</v>
      </c>
      <c r="CC765" t="s">
        <v>76</v>
      </c>
      <c r="CD765">
        <v>1645</v>
      </c>
      <c r="CE765" t="s">
        <v>215</v>
      </c>
      <c r="CF765" s="3">
        <v>45817</v>
      </c>
      <c r="CI765">
        <v>1</v>
      </c>
      <c r="CJ765">
        <v>1</v>
      </c>
      <c r="CK765">
        <v>22</v>
      </c>
      <c r="CL765" t="s">
        <v>90</v>
      </c>
    </row>
    <row r="766" spans="1:90" x14ac:dyDescent="0.3">
      <c r="A766" t="s">
        <v>72</v>
      </c>
      <c r="B766" t="s">
        <v>73</v>
      </c>
      <c r="C766" t="s">
        <v>74</v>
      </c>
      <c r="E766" t="str">
        <f>"080065807556"</f>
        <v>080065807556</v>
      </c>
      <c r="F766" s="3">
        <v>45814</v>
      </c>
      <c r="G766">
        <v>202603</v>
      </c>
      <c r="H766" t="s">
        <v>75</v>
      </c>
      <c r="I766" t="s">
        <v>76</v>
      </c>
      <c r="J766" t="s">
        <v>77</v>
      </c>
      <c r="K766" t="s">
        <v>78</v>
      </c>
      <c r="L766" t="s">
        <v>504</v>
      </c>
      <c r="M766" t="s">
        <v>505</v>
      </c>
      <c r="N766" t="s">
        <v>506</v>
      </c>
      <c r="O766" t="s">
        <v>82</v>
      </c>
      <c r="P766" t="str">
        <f>"4170042696                    "</f>
        <v xml:space="preserve">4170042696                    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40.49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1</v>
      </c>
      <c r="BI766">
        <v>1</v>
      </c>
      <c r="BJ766">
        <v>0.2</v>
      </c>
      <c r="BK766">
        <v>1</v>
      </c>
      <c r="BL766">
        <v>134.65</v>
      </c>
      <c r="BM766">
        <v>20.2</v>
      </c>
      <c r="BN766">
        <v>154.85</v>
      </c>
      <c r="BO766">
        <v>154.85</v>
      </c>
      <c r="BQ766" t="s">
        <v>507</v>
      </c>
      <c r="BR766" t="s">
        <v>84</v>
      </c>
      <c r="BS766" s="3">
        <v>45817</v>
      </c>
      <c r="BT766" s="4">
        <v>0.35416666666666669</v>
      </c>
      <c r="BU766" t="s">
        <v>1062</v>
      </c>
      <c r="BV766" t="s">
        <v>86</v>
      </c>
      <c r="BY766">
        <v>1200</v>
      </c>
      <c r="CA766" t="s">
        <v>1462</v>
      </c>
      <c r="CC766" t="s">
        <v>505</v>
      </c>
      <c r="CD766">
        <v>2740</v>
      </c>
      <c r="CE766" t="s">
        <v>215</v>
      </c>
      <c r="CF766" s="3">
        <v>45818</v>
      </c>
      <c r="CI766">
        <v>1</v>
      </c>
      <c r="CJ766">
        <v>1</v>
      </c>
      <c r="CK766">
        <v>23</v>
      </c>
      <c r="CL766" t="s">
        <v>90</v>
      </c>
    </row>
    <row r="767" spans="1:90" x14ac:dyDescent="0.3">
      <c r="A767" t="s">
        <v>72</v>
      </c>
      <c r="B767" t="s">
        <v>73</v>
      </c>
      <c r="C767" t="s">
        <v>74</v>
      </c>
      <c r="E767" t="str">
        <f>"080065807568"</f>
        <v>080065807568</v>
      </c>
      <c r="F767" s="3">
        <v>45814</v>
      </c>
      <c r="G767">
        <v>202603</v>
      </c>
      <c r="H767" t="s">
        <v>75</v>
      </c>
      <c r="I767" t="s">
        <v>76</v>
      </c>
      <c r="J767" t="s">
        <v>77</v>
      </c>
      <c r="K767" t="s">
        <v>78</v>
      </c>
      <c r="L767" t="s">
        <v>91</v>
      </c>
      <c r="M767" t="s">
        <v>92</v>
      </c>
      <c r="N767" t="s">
        <v>540</v>
      </c>
      <c r="O767" t="s">
        <v>82</v>
      </c>
      <c r="P767" t="str">
        <f>"4170042527                    "</f>
        <v xml:space="preserve">4170042527                    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20.9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1</v>
      </c>
      <c r="BI767">
        <v>2</v>
      </c>
      <c r="BJ767">
        <v>1.6</v>
      </c>
      <c r="BK767">
        <v>2</v>
      </c>
      <c r="BL767">
        <v>69.5</v>
      </c>
      <c r="BM767">
        <v>10.43</v>
      </c>
      <c r="BN767">
        <v>79.930000000000007</v>
      </c>
      <c r="BO767">
        <v>79.930000000000007</v>
      </c>
      <c r="BQ767" t="s">
        <v>541</v>
      </c>
      <c r="BR767" t="s">
        <v>84</v>
      </c>
      <c r="BS767" s="3">
        <v>45817</v>
      </c>
      <c r="BT767" s="4">
        <v>0.42499999999999999</v>
      </c>
      <c r="BU767" t="s">
        <v>1106</v>
      </c>
      <c r="BV767" t="s">
        <v>86</v>
      </c>
      <c r="BY767">
        <v>7840</v>
      </c>
      <c r="BZ767" t="s">
        <v>87</v>
      </c>
      <c r="CA767" t="s">
        <v>291</v>
      </c>
      <c r="CC767" t="s">
        <v>92</v>
      </c>
      <c r="CD767">
        <v>7441</v>
      </c>
      <c r="CE767" t="s">
        <v>166</v>
      </c>
      <c r="CF767" s="3">
        <v>45818</v>
      </c>
      <c r="CI767">
        <v>1</v>
      </c>
      <c r="CJ767">
        <v>1</v>
      </c>
      <c r="CK767">
        <v>21</v>
      </c>
      <c r="CL767" t="s">
        <v>90</v>
      </c>
    </row>
    <row r="768" spans="1:90" x14ac:dyDescent="0.3">
      <c r="A768" t="s">
        <v>72</v>
      </c>
      <c r="B768" t="s">
        <v>73</v>
      </c>
      <c r="C768" t="s">
        <v>74</v>
      </c>
      <c r="E768" t="str">
        <f>"080065807795"</f>
        <v>080065807795</v>
      </c>
      <c r="F768" s="3">
        <v>45814</v>
      </c>
      <c r="G768">
        <v>202603</v>
      </c>
      <c r="H768" t="s">
        <v>75</v>
      </c>
      <c r="I768" t="s">
        <v>76</v>
      </c>
      <c r="J768" t="s">
        <v>77</v>
      </c>
      <c r="K768" t="s">
        <v>78</v>
      </c>
      <c r="L768" t="s">
        <v>445</v>
      </c>
      <c r="M768" t="s">
        <v>446</v>
      </c>
      <c r="N768" t="s">
        <v>447</v>
      </c>
      <c r="O768" t="s">
        <v>82</v>
      </c>
      <c r="P768" t="str">
        <f>"4170042657                    "</f>
        <v xml:space="preserve">4170042657                    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73.099999999999994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1</v>
      </c>
      <c r="BI768">
        <v>7</v>
      </c>
      <c r="BJ768">
        <v>3.1</v>
      </c>
      <c r="BK768">
        <v>7</v>
      </c>
      <c r="BL768">
        <v>243.1</v>
      </c>
      <c r="BM768">
        <v>36.47</v>
      </c>
      <c r="BN768">
        <v>279.57</v>
      </c>
      <c r="BO768">
        <v>279.57</v>
      </c>
      <c r="BQ768" t="s">
        <v>448</v>
      </c>
      <c r="BR768" t="s">
        <v>84</v>
      </c>
      <c r="BS768" s="3">
        <v>45817</v>
      </c>
      <c r="BT768" s="4">
        <v>0.43263888888888891</v>
      </c>
      <c r="BU768" t="s">
        <v>449</v>
      </c>
      <c r="BV768" t="s">
        <v>86</v>
      </c>
      <c r="BY768">
        <v>15624</v>
      </c>
      <c r="CA768" t="s">
        <v>450</v>
      </c>
      <c r="CC768" t="s">
        <v>446</v>
      </c>
      <c r="CD768">
        <v>4126</v>
      </c>
      <c r="CE768" t="s">
        <v>166</v>
      </c>
      <c r="CF768" s="3">
        <v>45818</v>
      </c>
      <c r="CI768">
        <v>1</v>
      </c>
      <c r="CJ768">
        <v>1</v>
      </c>
      <c r="CK768">
        <v>21</v>
      </c>
      <c r="CL768" t="s">
        <v>90</v>
      </c>
    </row>
    <row r="769" spans="1:90" x14ac:dyDescent="0.3">
      <c r="A769" t="s">
        <v>72</v>
      </c>
      <c r="B769" t="s">
        <v>73</v>
      </c>
      <c r="C769" t="s">
        <v>74</v>
      </c>
      <c r="E769" t="str">
        <f>"080065807802"</f>
        <v>080065807802</v>
      </c>
      <c r="F769" s="3">
        <v>45814</v>
      </c>
      <c r="G769">
        <v>202603</v>
      </c>
      <c r="H769" t="s">
        <v>75</v>
      </c>
      <c r="I769" t="s">
        <v>76</v>
      </c>
      <c r="J769" t="s">
        <v>77</v>
      </c>
      <c r="K769" t="s">
        <v>78</v>
      </c>
      <c r="L769" t="s">
        <v>159</v>
      </c>
      <c r="M769" t="s">
        <v>160</v>
      </c>
      <c r="N769" t="s">
        <v>827</v>
      </c>
      <c r="O769" t="s">
        <v>82</v>
      </c>
      <c r="P769" t="str">
        <f>"4170042545                    "</f>
        <v xml:space="preserve">4170042545                    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16.32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1</v>
      </c>
      <c r="BI769">
        <v>1</v>
      </c>
      <c r="BJ769">
        <v>0.2</v>
      </c>
      <c r="BK769">
        <v>1</v>
      </c>
      <c r="BL769">
        <v>54.28</v>
      </c>
      <c r="BM769">
        <v>8.14</v>
      </c>
      <c r="BN769">
        <v>62.42</v>
      </c>
      <c r="BO769">
        <v>62.42</v>
      </c>
      <c r="BQ769" t="s">
        <v>828</v>
      </c>
      <c r="BR769" t="s">
        <v>84</v>
      </c>
      <c r="BS769" s="3">
        <v>45817</v>
      </c>
      <c r="BT769" s="4">
        <v>0.42569444444444443</v>
      </c>
      <c r="BU769" t="s">
        <v>1471</v>
      </c>
      <c r="BV769" t="s">
        <v>86</v>
      </c>
      <c r="BY769">
        <v>1200</v>
      </c>
      <c r="BZ769" t="s">
        <v>87</v>
      </c>
      <c r="CA769" t="s">
        <v>233</v>
      </c>
      <c r="CC769" t="s">
        <v>160</v>
      </c>
      <c r="CD769">
        <v>2049</v>
      </c>
      <c r="CE769" t="s">
        <v>89</v>
      </c>
      <c r="CF769" s="3">
        <v>45817</v>
      </c>
      <c r="CI769">
        <v>1</v>
      </c>
      <c r="CJ769">
        <v>1</v>
      </c>
      <c r="CK769">
        <v>22</v>
      </c>
      <c r="CL769" t="s">
        <v>90</v>
      </c>
    </row>
    <row r="770" spans="1:90" x14ac:dyDescent="0.3">
      <c r="A770" t="s">
        <v>72</v>
      </c>
      <c r="B770" t="s">
        <v>73</v>
      </c>
      <c r="C770" t="s">
        <v>74</v>
      </c>
      <c r="E770" t="str">
        <f>"080065807816"</f>
        <v>080065807816</v>
      </c>
      <c r="F770" s="3">
        <v>45814</v>
      </c>
      <c r="G770">
        <v>202603</v>
      </c>
      <c r="H770" t="s">
        <v>75</v>
      </c>
      <c r="I770" t="s">
        <v>76</v>
      </c>
      <c r="J770" t="s">
        <v>77</v>
      </c>
      <c r="K770" t="s">
        <v>78</v>
      </c>
      <c r="L770" t="s">
        <v>504</v>
      </c>
      <c r="M770" t="s">
        <v>505</v>
      </c>
      <c r="N770" t="s">
        <v>506</v>
      </c>
      <c r="O770" t="s">
        <v>82</v>
      </c>
      <c r="P770" t="str">
        <f>"4170042679                    "</f>
        <v xml:space="preserve">4170042679                    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40.49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1</v>
      </c>
      <c r="BI770">
        <v>1</v>
      </c>
      <c r="BJ770">
        <v>0.2</v>
      </c>
      <c r="BK770">
        <v>1</v>
      </c>
      <c r="BL770">
        <v>134.65</v>
      </c>
      <c r="BM770">
        <v>20.2</v>
      </c>
      <c r="BN770">
        <v>154.85</v>
      </c>
      <c r="BO770">
        <v>154.85</v>
      </c>
      <c r="BQ770" t="s">
        <v>507</v>
      </c>
      <c r="BR770" t="s">
        <v>84</v>
      </c>
      <c r="BS770" s="3">
        <v>45817</v>
      </c>
      <c r="BT770" s="4">
        <v>0.35416666666666669</v>
      </c>
      <c r="BU770" t="s">
        <v>1062</v>
      </c>
      <c r="BV770" t="s">
        <v>86</v>
      </c>
      <c r="BY770">
        <v>1200</v>
      </c>
      <c r="CA770" t="s">
        <v>1462</v>
      </c>
      <c r="CC770" t="s">
        <v>505</v>
      </c>
      <c r="CD770">
        <v>2740</v>
      </c>
      <c r="CE770" t="s">
        <v>215</v>
      </c>
      <c r="CF770" s="3">
        <v>45818</v>
      </c>
      <c r="CI770">
        <v>1</v>
      </c>
      <c r="CJ770">
        <v>1</v>
      </c>
      <c r="CK770">
        <v>23</v>
      </c>
      <c r="CL770" t="s">
        <v>90</v>
      </c>
    </row>
    <row r="771" spans="1:90" x14ac:dyDescent="0.3">
      <c r="A771" t="s">
        <v>72</v>
      </c>
      <c r="B771" t="s">
        <v>73</v>
      </c>
      <c r="C771" t="s">
        <v>74</v>
      </c>
      <c r="E771" t="str">
        <f>"080065807820"</f>
        <v>080065807820</v>
      </c>
      <c r="F771" s="3">
        <v>45814</v>
      </c>
      <c r="G771">
        <v>202603</v>
      </c>
      <c r="H771" t="s">
        <v>75</v>
      </c>
      <c r="I771" t="s">
        <v>76</v>
      </c>
      <c r="J771" t="s">
        <v>77</v>
      </c>
      <c r="K771" t="s">
        <v>78</v>
      </c>
      <c r="L771" t="s">
        <v>159</v>
      </c>
      <c r="M771" t="s">
        <v>160</v>
      </c>
      <c r="N771" t="s">
        <v>1472</v>
      </c>
      <c r="O771" t="s">
        <v>82</v>
      </c>
      <c r="P771" t="str">
        <f>"4170042584                    "</f>
        <v xml:space="preserve">4170042584                    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16.32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1</v>
      </c>
      <c r="BI771">
        <v>1</v>
      </c>
      <c r="BJ771">
        <v>0.6</v>
      </c>
      <c r="BK771">
        <v>1</v>
      </c>
      <c r="BL771">
        <v>54.28</v>
      </c>
      <c r="BM771">
        <v>8.14</v>
      </c>
      <c r="BN771">
        <v>62.42</v>
      </c>
      <c r="BO771">
        <v>62.42</v>
      </c>
      <c r="BQ771" t="s">
        <v>1473</v>
      </c>
      <c r="BR771" t="s">
        <v>84</v>
      </c>
      <c r="BS771" s="3">
        <v>45817</v>
      </c>
      <c r="BT771" s="4">
        <v>0.40694444444444444</v>
      </c>
      <c r="BU771" t="s">
        <v>1474</v>
      </c>
      <c r="BV771" t="s">
        <v>86</v>
      </c>
      <c r="BY771">
        <v>3192</v>
      </c>
      <c r="CA771" t="s">
        <v>444</v>
      </c>
      <c r="CC771" t="s">
        <v>160</v>
      </c>
      <c r="CD771">
        <v>2001</v>
      </c>
      <c r="CE771" t="s">
        <v>292</v>
      </c>
      <c r="CF771" s="3">
        <v>45818</v>
      </c>
      <c r="CI771">
        <v>1</v>
      </c>
      <c r="CJ771">
        <v>1</v>
      </c>
      <c r="CK771">
        <v>22</v>
      </c>
      <c r="CL771" t="s">
        <v>90</v>
      </c>
    </row>
    <row r="772" spans="1:90" x14ac:dyDescent="0.3">
      <c r="A772" t="s">
        <v>72</v>
      </c>
      <c r="B772" t="s">
        <v>73</v>
      </c>
      <c r="C772" t="s">
        <v>74</v>
      </c>
      <c r="E772" t="str">
        <f>"080065807833"</f>
        <v>080065807833</v>
      </c>
      <c r="F772" s="3">
        <v>45814</v>
      </c>
      <c r="G772">
        <v>202603</v>
      </c>
      <c r="H772" t="s">
        <v>75</v>
      </c>
      <c r="I772" t="s">
        <v>76</v>
      </c>
      <c r="J772" t="s">
        <v>77</v>
      </c>
      <c r="K772" t="s">
        <v>78</v>
      </c>
      <c r="L772" t="s">
        <v>1073</v>
      </c>
      <c r="M772" t="s">
        <v>1074</v>
      </c>
      <c r="N772" t="s">
        <v>1075</v>
      </c>
      <c r="O772" t="s">
        <v>82</v>
      </c>
      <c r="P772" t="str">
        <f>"4170042589                    "</f>
        <v xml:space="preserve">4170042589                    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40.49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16.739999999999998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1</v>
      </c>
      <c r="BI772">
        <v>1</v>
      </c>
      <c r="BJ772">
        <v>0.2</v>
      </c>
      <c r="BK772">
        <v>1</v>
      </c>
      <c r="BL772">
        <v>151.38999999999999</v>
      </c>
      <c r="BM772">
        <v>22.71</v>
      </c>
      <c r="BN772">
        <v>174.1</v>
      </c>
      <c r="BO772">
        <v>174.1</v>
      </c>
      <c r="BQ772" t="s">
        <v>1076</v>
      </c>
      <c r="BR772" t="s">
        <v>84</v>
      </c>
      <c r="BS772" s="3">
        <v>45815</v>
      </c>
      <c r="BT772" s="4">
        <v>0.59930555555555554</v>
      </c>
      <c r="BU772" t="s">
        <v>1475</v>
      </c>
      <c r="BV772" t="s">
        <v>86</v>
      </c>
      <c r="BY772">
        <v>1200</v>
      </c>
      <c r="BZ772" t="s">
        <v>431</v>
      </c>
      <c r="CA772" t="s">
        <v>1476</v>
      </c>
      <c r="CC772" t="s">
        <v>1074</v>
      </c>
      <c r="CD772">
        <v>407</v>
      </c>
      <c r="CE772" t="s">
        <v>89</v>
      </c>
      <c r="CF772" s="3">
        <v>45817</v>
      </c>
      <c r="CI772">
        <v>1</v>
      </c>
      <c r="CJ772">
        <v>0</v>
      </c>
      <c r="CK772">
        <v>23</v>
      </c>
      <c r="CL772" t="s">
        <v>90</v>
      </c>
    </row>
    <row r="773" spans="1:90" x14ac:dyDescent="0.3">
      <c r="A773" t="s">
        <v>72</v>
      </c>
      <c r="B773" t="s">
        <v>73</v>
      </c>
      <c r="C773" t="s">
        <v>74</v>
      </c>
      <c r="E773" t="str">
        <f>"080065807837"</f>
        <v>080065807837</v>
      </c>
      <c r="F773" s="3">
        <v>45814</v>
      </c>
      <c r="G773">
        <v>202603</v>
      </c>
      <c r="H773" t="s">
        <v>75</v>
      </c>
      <c r="I773" t="s">
        <v>76</v>
      </c>
      <c r="J773" t="s">
        <v>77</v>
      </c>
      <c r="K773" t="s">
        <v>78</v>
      </c>
      <c r="L773" t="s">
        <v>663</v>
      </c>
      <c r="M773" t="s">
        <v>664</v>
      </c>
      <c r="N773" t="s">
        <v>723</v>
      </c>
      <c r="O773" t="s">
        <v>82</v>
      </c>
      <c r="P773" t="str">
        <f>"4170042712                    "</f>
        <v xml:space="preserve">4170042712                    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58.77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1</v>
      </c>
      <c r="BI773">
        <v>3</v>
      </c>
      <c r="BJ773">
        <v>1.9</v>
      </c>
      <c r="BK773">
        <v>3</v>
      </c>
      <c r="BL773">
        <v>195.45</v>
      </c>
      <c r="BM773">
        <v>29.32</v>
      </c>
      <c r="BN773">
        <v>224.77</v>
      </c>
      <c r="BO773">
        <v>224.77</v>
      </c>
      <c r="BQ773" t="s">
        <v>724</v>
      </c>
      <c r="BR773" t="s">
        <v>84</v>
      </c>
      <c r="BS773" s="3">
        <v>45817</v>
      </c>
      <c r="BT773" s="4">
        <v>0.375</v>
      </c>
      <c r="BU773" t="s">
        <v>725</v>
      </c>
      <c r="BV773" t="s">
        <v>86</v>
      </c>
      <c r="BY773">
        <v>9408</v>
      </c>
      <c r="BZ773" t="s">
        <v>87</v>
      </c>
      <c r="CC773" t="s">
        <v>664</v>
      </c>
      <c r="CD773">
        <v>1947</v>
      </c>
      <c r="CE773" t="s">
        <v>166</v>
      </c>
      <c r="CF773" s="3">
        <v>45817</v>
      </c>
      <c r="CI773">
        <v>1</v>
      </c>
      <c r="CJ773">
        <v>1</v>
      </c>
      <c r="CK773">
        <v>23</v>
      </c>
      <c r="CL773" t="s">
        <v>90</v>
      </c>
    </row>
    <row r="774" spans="1:90" x14ac:dyDescent="0.3">
      <c r="A774" t="s">
        <v>72</v>
      </c>
      <c r="B774" t="s">
        <v>73</v>
      </c>
      <c r="C774" t="s">
        <v>74</v>
      </c>
      <c r="E774" t="str">
        <f>"080065807852"</f>
        <v>080065807852</v>
      </c>
      <c r="F774" s="3">
        <v>45814</v>
      </c>
      <c r="G774">
        <v>202603</v>
      </c>
      <c r="H774" t="s">
        <v>75</v>
      </c>
      <c r="I774" t="s">
        <v>76</v>
      </c>
      <c r="J774" t="s">
        <v>77</v>
      </c>
      <c r="K774" t="s">
        <v>78</v>
      </c>
      <c r="L774" t="s">
        <v>266</v>
      </c>
      <c r="M774" t="s">
        <v>267</v>
      </c>
      <c r="N774" t="s">
        <v>946</v>
      </c>
      <c r="O774" t="s">
        <v>82</v>
      </c>
      <c r="P774" t="str">
        <f>"4170042737                    "</f>
        <v xml:space="preserve">4170042737                    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20.9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1</v>
      </c>
      <c r="BI774">
        <v>1</v>
      </c>
      <c r="BJ774">
        <v>0.2</v>
      </c>
      <c r="BK774">
        <v>1</v>
      </c>
      <c r="BL774">
        <v>69.5</v>
      </c>
      <c r="BM774">
        <v>10.43</v>
      </c>
      <c r="BN774">
        <v>79.930000000000007</v>
      </c>
      <c r="BO774">
        <v>79.930000000000007</v>
      </c>
      <c r="BQ774" t="s">
        <v>947</v>
      </c>
      <c r="BR774" t="s">
        <v>84</v>
      </c>
      <c r="BS774" s="3">
        <v>45818</v>
      </c>
      <c r="BT774" s="4">
        <v>0.3347222222222222</v>
      </c>
      <c r="BU774" t="s">
        <v>1477</v>
      </c>
      <c r="BV774" t="s">
        <v>90</v>
      </c>
      <c r="BW774" t="s">
        <v>416</v>
      </c>
      <c r="BX774" t="s">
        <v>614</v>
      </c>
      <c r="BY774">
        <v>1200</v>
      </c>
      <c r="CA774" t="s">
        <v>271</v>
      </c>
      <c r="CC774" t="s">
        <v>267</v>
      </c>
      <c r="CD774">
        <v>6229</v>
      </c>
      <c r="CE774" t="s">
        <v>215</v>
      </c>
      <c r="CF774" s="3">
        <v>45818</v>
      </c>
      <c r="CI774">
        <v>1</v>
      </c>
      <c r="CJ774">
        <v>2</v>
      </c>
      <c r="CK774">
        <v>21</v>
      </c>
      <c r="CL774" t="s">
        <v>90</v>
      </c>
    </row>
    <row r="775" spans="1:90" x14ac:dyDescent="0.3">
      <c r="A775" t="s">
        <v>72</v>
      </c>
      <c r="B775" t="s">
        <v>73</v>
      </c>
      <c r="C775" t="s">
        <v>74</v>
      </c>
      <c r="E775" t="str">
        <f>"080065807864"</f>
        <v>080065807864</v>
      </c>
      <c r="F775" s="3">
        <v>45814</v>
      </c>
      <c r="G775">
        <v>202603</v>
      </c>
      <c r="H775" t="s">
        <v>75</v>
      </c>
      <c r="I775" t="s">
        <v>76</v>
      </c>
      <c r="J775" t="s">
        <v>77</v>
      </c>
      <c r="K775" t="s">
        <v>78</v>
      </c>
      <c r="L775" t="s">
        <v>159</v>
      </c>
      <c r="M775" t="s">
        <v>160</v>
      </c>
      <c r="N775" t="s">
        <v>409</v>
      </c>
      <c r="O775" t="s">
        <v>82</v>
      </c>
      <c r="P775" t="str">
        <f>"4170042615                    "</f>
        <v xml:space="preserve">4170042615                    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16.32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1</v>
      </c>
      <c r="BI775">
        <v>4</v>
      </c>
      <c r="BJ775">
        <v>6.6</v>
      </c>
      <c r="BK775">
        <v>7</v>
      </c>
      <c r="BL775">
        <v>54.28</v>
      </c>
      <c r="BM775">
        <v>8.14</v>
      </c>
      <c r="BN775">
        <v>62.42</v>
      </c>
      <c r="BO775">
        <v>62.42</v>
      </c>
      <c r="BQ775" t="s">
        <v>410</v>
      </c>
      <c r="BR775" t="s">
        <v>84</v>
      </c>
      <c r="BS775" s="3">
        <v>45817</v>
      </c>
      <c r="BT775" s="4">
        <v>0.35138888888888886</v>
      </c>
      <c r="BU775" t="s">
        <v>967</v>
      </c>
      <c r="BV775" t="s">
        <v>86</v>
      </c>
      <c r="BY775">
        <v>32832</v>
      </c>
      <c r="CA775" t="s">
        <v>444</v>
      </c>
      <c r="CC775" t="s">
        <v>160</v>
      </c>
      <c r="CD775">
        <v>2091</v>
      </c>
      <c r="CE775" t="s">
        <v>166</v>
      </c>
      <c r="CF775" s="3">
        <v>45818</v>
      </c>
      <c r="CI775">
        <v>1</v>
      </c>
      <c r="CJ775">
        <v>1</v>
      </c>
      <c r="CK775">
        <v>22</v>
      </c>
      <c r="CL775" t="s">
        <v>90</v>
      </c>
    </row>
    <row r="776" spans="1:90" x14ac:dyDescent="0.3">
      <c r="A776" t="s">
        <v>72</v>
      </c>
      <c r="B776" t="s">
        <v>73</v>
      </c>
      <c r="C776" t="s">
        <v>74</v>
      </c>
      <c r="E776" t="str">
        <f>"080065807872"</f>
        <v>080065807872</v>
      </c>
      <c r="F776" s="3">
        <v>45814</v>
      </c>
      <c r="G776">
        <v>202603</v>
      </c>
      <c r="H776" t="s">
        <v>75</v>
      </c>
      <c r="I776" t="s">
        <v>76</v>
      </c>
      <c r="J776" t="s">
        <v>77</v>
      </c>
      <c r="K776" t="s">
        <v>78</v>
      </c>
      <c r="L776" t="s">
        <v>106</v>
      </c>
      <c r="M776" t="s">
        <v>107</v>
      </c>
      <c r="N776" t="s">
        <v>597</v>
      </c>
      <c r="O776" t="s">
        <v>82</v>
      </c>
      <c r="P776" t="str">
        <f>"4170042403                    "</f>
        <v xml:space="preserve">4170042403                    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20.9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1</v>
      </c>
      <c r="BI776">
        <v>1</v>
      </c>
      <c r="BJ776">
        <v>0.2</v>
      </c>
      <c r="BK776">
        <v>1</v>
      </c>
      <c r="BL776">
        <v>69.5</v>
      </c>
      <c r="BM776">
        <v>10.43</v>
      </c>
      <c r="BN776">
        <v>79.930000000000007</v>
      </c>
      <c r="BO776">
        <v>79.930000000000007</v>
      </c>
      <c r="BQ776" t="s">
        <v>598</v>
      </c>
      <c r="BR776" t="s">
        <v>84</v>
      </c>
      <c r="BS776" s="3">
        <v>45817</v>
      </c>
      <c r="BT776" s="4">
        <v>0.42152777777777778</v>
      </c>
      <c r="BU776" t="s">
        <v>1478</v>
      </c>
      <c r="BV776" t="s">
        <v>86</v>
      </c>
      <c r="BY776">
        <v>1200</v>
      </c>
      <c r="BZ776" t="s">
        <v>87</v>
      </c>
      <c r="CA776" t="s">
        <v>368</v>
      </c>
      <c r="CC776" t="s">
        <v>107</v>
      </c>
      <c r="CD776">
        <v>2</v>
      </c>
      <c r="CE776" t="s">
        <v>89</v>
      </c>
      <c r="CF776" s="3">
        <v>45817</v>
      </c>
      <c r="CI776">
        <v>1</v>
      </c>
      <c r="CJ776">
        <v>1</v>
      </c>
      <c r="CK776">
        <v>21</v>
      </c>
      <c r="CL776" t="s">
        <v>90</v>
      </c>
    </row>
    <row r="777" spans="1:90" x14ac:dyDescent="0.3">
      <c r="A777" t="s">
        <v>72</v>
      </c>
      <c r="B777" t="s">
        <v>73</v>
      </c>
      <c r="C777" t="s">
        <v>74</v>
      </c>
      <c r="E777" t="str">
        <f>"080065807895"</f>
        <v>080065807895</v>
      </c>
      <c r="F777" s="3">
        <v>45814</v>
      </c>
      <c r="G777">
        <v>202603</v>
      </c>
      <c r="H777" t="s">
        <v>75</v>
      </c>
      <c r="I777" t="s">
        <v>76</v>
      </c>
      <c r="J777" t="s">
        <v>77</v>
      </c>
      <c r="K777" t="s">
        <v>78</v>
      </c>
      <c r="L777" t="s">
        <v>159</v>
      </c>
      <c r="M777" t="s">
        <v>160</v>
      </c>
      <c r="N777" t="s">
        <v>750</v>
      </c>
      <c r="O777" t="s">
        <v>82</v>
      </c>
      <c r="P777" t="str">
        <f>"4170042547                    "</f>
        <v xml:space="preserve">4170042547                    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16.32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1</v>
      </c>
      <c r="BI777">
        <v>1</v>
      </c>
      <c r="BJ777">
        <v>0.2</v>
      </c>
      <c r="BK777">
        <v>1</v>
      </c>
      <c r="BL777">
        <v>54.28</v>
      </c>
      <c r="BM777">
        <v>8.14</v>
      </c>
      <c r="BN777">
        <v>62.42</v>
      </c>
      <c r="BO777">
        <v>62.42</v>
      </c>
      <c r="BQ777" t="s">
        <v>751</v>
      </c>
      <c r="BR777" t="s">
        <v>84</v>
      </c>
      <c r="BS777" s="3">
        <v>45817</v>
      </c>
      <c r="BT777" s="4">
        <v>0.40555555555555556</v>
      </c>
      <c r="BU777" t="s">
        <v>1479</v>
      </c>
      <c r="BV777" t="s">
        <v>86</v>
      </c>
      <c r="BY777">
        <v>1200</v>
      </c>
      <c r="BZ777" t="s">
        <v>87</v>
      </c>
      <c r="CA777" t="s">
        <v>1480</v>
      </c>
      <c r="CC777" t="s">
        <v>160</v>
      </c>
      <c r="CD777">
        <v>2094</v>
      </c>
      <c r="CE777" t="s">
        <v>89</v>
      </c>
      <c r="CF777" s="3">
        <v>45817</v>
      </c>
      <c r="CI777">
        <v>1</v>
      </c>
      <c r="CJ777">
        <v>1</v>
      </c>
      <c r="CK777">
        <v>22</v>
      </c>
      <c r="CL777" t="s">
        <v>90</v>
      </c>
    </row>
    <row r="778" spans="1:90" x14ac:dyDescent="0.3">
      <c r="A778" t="s">
        <v>72</v>
      </c>
      <c r="B778" t="s">
        <v>73</v>
      </c>
      <c r="C778" t="s">
        <v>74</v>
      </c>
      <c r="E778" t="str">
        <f>"080065807924"</f>
        <v>080065807924</v>
      </c>
      <c r="F778" s="3">
        <v>45814</v>
      </c>
      <c r="G778">
        <v>202603</v>
      </c>
      <c r="H778" t="s">
        <v>75</v>
      </c>
      <c r="I778" t="s">
        <v>76</v>
      </c>
      <c r="J778" t="s">
        <v>77</v>
      </c>
      <c r="K778" t="s">
        <v>78</v>
      </c>
      <c r="L778" t="s">
        <v>159</v>
      </c>
      <c r="M778" t="s">
        <v>160</v>
      </c>
      <c r="N778" t="s">
        <v>1481</v>
      </c>
      <c r="O778" t="s">
        <v>82</v>
      </c>
      <c r="P778" t="str">
        <f>"4170042693                    "</f>
        <v xml:space="preserve">4170042693                    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20.9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16.739999999999998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1</v>
      </c>
      <c r="BI778">
        <v>1</v>
      </c>
      <c r="BJ778">
        <v>0.2</v>
      </c>
      <c r="BK778">
        <v>1</v>
      </c>
      <c r="BL778">
        <v>86.24</v>
      </c>
      <c r="BM778">
        <v>12.94</v>
      </c>
      <c r="BN778">
        <v>99.18</v>
      </c>
      <c r="BO778">
        <v>99.18</v>
      </c>
      <c r="BQ778" t="s">
        <v>1482</v>
      </c>
      <c r="BR778" t="s">
        <v>84</v>
      </c>
      <c r="BS778" s="3">
        <v>45818</v>
      </c>
      <c r="BT778" s="4">
        <v>0.5625</v>
      </c>
      <c r="BU778" t="s">
        <v>1483</v>
      </c>
      <c r="BV778" t="s">
        <v>90</v>
      </c>
      <c r="BW778" t="s">
        <v>814</v>
      </c>
      <c r="BX778" t="s">
        <v>199</v>
      </c>
      <c r="BY778">
        <v>1200</v>
      </c>
      <c r="BZ778" t="s">
        <v>30</v>
      </c>
      <c r="CA778" t="s">
        <v>1484</v>
      </c>
      <c r="CC778" t="s">
        <v>160</v>
      </c>
      <c r="CD778">
        <v>1811</v>
      </c>
      <c r="CE778" t="s">
        <v>215</v>
      </c>
      <c r="CF778" s="3">
        <v>45819</v>
      </c>
      <c r="CI778">
        <v>0</v>
      </c>
      <c r="CJ778">
        <v>0</v>
      </c>
      <c r="CK778">
        <v>21</v>
      </c>
      <c r="CL778" t="s">
        <v>90</v>
      </c>
    </row>
    <row r="779" spans="1:90" x14ac:dyDescent="0.3">
      <c r="A779" t="s">
        <v>72</v>
      </c>
      <c r="B779" t="s">
        <v>73</v>
      </c>
      <c r="C779" t="s">
        <v>74</v>
      </c>
      <c r="E779" t="str">
        <f>"080065807985"</f>
        <v>080065807985</v>
      </c>
      <c r="F779" s="3">
        <v>45814</v>
      </c>
      <c r="G779">
        <v>202603</v>
      </c>
      <c r="H779" t="s">
        <v>75</v>
      </c>
      <c r="I779" t="s">
        <v>76</v>
      </c>
      <c r="J779" t="s">
        <v>77</v>
      </c>
      <c r="K779" t="s">
        <v>78</v>
      </c>
      <c r="L779" t="s">
        <v>159</v>
      </c>
      <c r="M779" t="s">
        <v>160</v>
      </c>
      <c r="N779" t="s">
        <v>409</v>
      </c>
      <c r="O779" t="s">
        <v>82</v>
      </c>
      <c r="P779" t="str">
        <f>"4170042728                    "</f>
        <v xml:space="preserve">4170042728                    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16.32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1</v>
      </c>
      <c r="BI779">
        <v>1</v>
      </c>
      <c r="BJ779">
        <v>0.2</v>
      </c>
      <c r="BK779">
        <v>1</v>
      </c>
      <c r="BL779">
        <v>54.28</v>
      </c>
      <c r="BM779">
        <v>8.14</v>
      </c>
      <c r="BN779">
        <v>62.42</v>
      </c>
      <c r="BO779">
        <v>62.42</v>
      </c>
      <c r="BQ779" t="s">
        <v>410</v>
      </c>
      <c r="BR779" t="s">
        <v>84</v>
      </c>
      <c r="BS779" s="3">
        <v>45817</v>
      </c>
      <c r="BT779" s="4">
        <v>0.35347222222222224</v>
      </c>
      <c r="BU779" t="s">
        <v>967</v>
      </c>
      <c r="BV779" t="s">
        <v>86</v>
      </c>
      <c r="BY779">
        <v>1200</v>
      </c>
      <c r="CA779" t="s">
        <v>444</v>
      </c>
      <c r="CC779" t="s">
        <v>160</v>
      </c>
      <c r="CD779">
        <v>2091</v>
      </c>
      <c r="CE779" t="s">
        <v>215</v>
      </c>
      <c r="CF779" s="3">
        <v>45818</v>
      </c>
      <c r="CI779">
        <v>1</v>
      </c>
      <c r="CJ779">
        <v>1</v>
      </c>
      <c r="CK779">
        <v>22</v>
      </c>
      <c r="CL779" t="s">
        <v>90</v>
      </c>
    </row>
    <row r="780" spans="1:90" x14ac:dyDescent="0.3">
      <c r="A780" t="s">
        <v>72</v>
      </c>
      <c r="B780" t="s">
        <v>73</v>
      </c>
      <c r="C780" t="s">
        <v>74</v>
      </c>
      <c r="E780" t="str">
        <f>"080065808004"</f>
        <v>080065808004</v>
      </c>
      <c r="F780" s="3">
        <v>45814</v>
      </c>
      <c r="G780">
        <v>202603</v>
      </c>
      <c r="H780" t="s">
        <v>75</v>
      </c>
      <c r="I780" t="s">
        <v>76</v>
      </c>
      <c r="J780" t="s">
        <v>77</v>
      </c>
      <c r="K780" t="s">
        <v>78</v>
      </c>
      <c r="L780" t="s">
        <v>1452</v>
      </c>
      <c r="M780" t="s">
        <v>1453</v>
      </c>
      <c r="N780" t="s">
        <v>1485</v>
      </c>
      <c r="O780" t="s">
        <v>82</v>
      </c>
      <c r="P780" t="str">
        <f>"4170042597                    "</f>
        <v xml:space="preserve">4170042597                    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16.32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1</v>
      </c>
      <c r="BI780">
        <v>1</v>
      </c>
      <c r="BJ780">
        <v>0.2</v>
      </c>
      <c r="BK780">
        <v>1</v>
      </c>
      <c r="BL780">
        <v>54.28</v>
      </c>
      <c r="BM780">
        <v>8.14</v>
      </c>
      <c r="BN780">
        <v>62.42</v>
      </c>
      <c r="BO780">
        <v>62.42</v>
      </c>
      <c r="BQ780" t="s">
        <v>1486</v>
      </c>
      <c r="BR780" t="s">
        <v>84</v>
      </c>
      <c r="BS780" s="3">
        <v>45817</v>
      </c>
      <c r="BT780" s="4">
        <v>0.37638888888888888</v>
      </c>
      <c r="BU780" t="s">
        <v>1487</v>
      </c>
      <c r="BV780" t="s">
        <v>86</v>
      </c>
      <c r="BY780">
        <v>1200</v>
      </c>
      <c r="CA780" t="s">
        <v>1488</v>
      </c>
      <c r="CC780" t="s">
        <v>1453</v>
      </c>
      <c r="CD780">
        <v>2163</v>
      </c>
      <c r="CE780" t="s">
        <v>215</v>
      </c>
      <c r="CF780" s="3">
        <v>45817</v>
      </c>
      <c r="CI780">
        <v>1</v>
      </c>
      <c r="CJ780">
        <v>1</v>
      </c>
      <c r="CK780">
        <v>22</v>
      </c>
      <c r="CL780" t="s">
        <v>90</v>
      </c>
    </row>
    <row r="781" spans="1:90" x14ac:dyDescent="0.3">
      <c r="A781" t="s">
        <v>72</v>
      </c>
      <c r="B781" t="s">
        <v>73</v>
      </c>
      <c r="C781" t="s">
        <v>74</v>
      </c>
      <c r="E781" t="str">
        <f>"080065808033"</f>
        <v>080065808033</v>
      </c>
      <c r="F781" s="3">
        <v>45814</v>
      </c>
      <c r="G781">
        <v>202603</v>
      </c>
      <c r="H781" t="s">
        <v>75</v>
      </c>
      <c r="I781" t="s">
        <v>76</v>
      </c>
      <c r="J781" t="s">
        <v>77</v>
      </c>
      <c r="K781" t="s">
        <v>78</v>
      </c>
      <c r="L781" t="s">
        <v>136</v>
      </c>
      <c r="M781" t="s">
        <v>137</v>
      </c>
      <c r="N781" t="s">
        <v>1345</v>
      </c>
      <c r="O781" t="s">
        <v>82</v>
      </c>
      <c r="P781" t="str">
        <f>"4170042673                    "</f>
        <v xml:space="preserve">4170042673                    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20.9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1</v>
      </c>
      <c r="BI781">
        <v>1</v>
      </c>
      <c r="BJ781">
        <v>0.2</v>
      </c>
      <c r="BK781">
        <v>1</v>
      </c>
      <c r="BL781">
        <v>69.5</v>
      </c>
      <c r="BM781">
        <v>10.43</v>
      </c>
      <c r="BN781">
        <v>79.930000000000007</v>
      </c>
      <c r="BO781">
        <v>79.930000000000007</v>
      </c>
      <c r="BQ781" t="s">
        <v>1346</v>
      </c>
      <c r="BR781" t="s">
        <v>84</v>
      </c>
      <c r="BS781" s="3">
        <v>45819</v>
      </c>
      <c r="BT781" s="4">
        <v>0.58333333333333337</v>
      </c>
      <c r="BU781" t="s">
        <v>1489</v>
      </c>
      <c r="BV781" t="s">
        <v>90</v>
      </c>
      <c r="BY781">
        <v>1200</v>
      </c>
      <c r="CC781" t="s">
        <v>137</v>
      </c>
      <c r="CD781">
        <v>5200</v>
      </c>
      <c r="CE781" t="s">
        <v>215</v>
      </c>
      <c r="CF781" s="3">
        <v>45819</v>
      </c>
      <c r="CI781">
        <v>1</v>
      </c>
      <c r="CJ781">
        <v>3</v>
      </c>
      <c r="CK781">
        <v>21</v>
      </c>
      <c r="CL781" t="s">
        <v>90</v>
      </c>
    </row>
    <row r="782" spans="1:90" x14ac:dyDescent="0.3">
      <c r="A782" t="s">
        <v>72</v>
      </c>
      <c r="B782" t="s">
        <v>73</v>
      </c>
      <c r="C782" t="s">
        <v>74</v>
      </c>
      <c r="E782" t="str">
        <f>"080065808053"</f>
        <v>080065808053</v>
      </c>
      <c r="F782" s="3">
        <v>45814</v>
      </c>
      <c r="G782">
        <v>202603</v>
      </c>
      <c r="H782" t="s">
        <v>75</v>
      </c>
      <c r="I782" t="s">
        <v>76</v>
      </c>
      <c r="J782" t="s">
        <v>77</v>
      </c>
      <c r="K782" t="s">
        <v>78</v>
      </c>
      <c r="L782" t="s">
        <v>1230</v>
      </c>
      <c r="M782" t="s">
        <v>1231</v>
      </c>
      <c r="N782" t="s">
        <v>1232</v>
      </c>
      <c r="O782" t="s">
        <v>82</v>
      </c>
      <c r="P782" t="str">
        <f>"4170042612                    "</f>
        <v xml:space="preserve">4170042612                    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40.49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1</v>
      </c>
      <c r="BI782">
        <v>1</v>
      </c>
      <c r="BJ782">
        <v>0.2</v>
      </c>
      <c r="BK782">
        <v>1</v>
      </c>
      <c r="BL782">
        <v>134.65</v>
      </c>
      <c r="BM782">
        <v>20.2</v>
      </c>
      <c r="BN782">
        <v>154.85</v>
      </c>
      <c r="BO782">
        <v>154.85</v>
      </c>
      <c r="BQ782" t="s">
        <v>1233</v>
      </c>
      <c r="BR782" t="s">
        <v>84</v>
      </c>
      <c r="BS782" s="3">
        <v>45818</v>
      </c>
      <c r="BT782" s="4">
        <v>0.56736111111111109</v>
      </c>
      <c r="BU782" t="s">
        <v>1490</v>
      </c>
      <c r="BV782" t="s">
        <v>90</v>
      </c>
      <c r="BW782" t="s">
        <v>814</v>
      </c>
      <c r="BX782" t="s">
        <v>1491</v>
      </c>
      <c r="BY782">
        <v>1200</v>
      </c>
      <c r="CC782" t="s">
        <v>1231</v>
      </c>
      <c r="CD782">
        <v>9880</v>
      </c>
      <c r="CE782" t="s">
        <v>215</v>
      </c>
      <c r="CF782" s="3">
        <v>45818</v>
      </c>
      <c r="CI782">
        <v>1</v>
      </c>
      <c r="CJ782">
        <v>2</v>
      </c>
      <c r="CK782">
        <v>23</v>
      </c>
      <c r="CL782" t="s">
        <v>90</v>
      </c>
    </row>
    <row r="783" spans="1:90" x14ac:dyDescent="0.3">
      <c r="A783" t="s">
        <v>72</v>
      </c>
      <c r="B783" t="s">
        <v>73</v>
      </c>
      <c r="C783" t="s">
        <v>74</v>
      </c>
      <c r="E783" t="str">
        <f>"080065808074"</f>
        <v>080065808074</v>
      </c>
      <c r="F783" s="3">
        <v>45814</v>
      </c>
      <c r="G783">
        <v>202603</v>
      </c>
      <c r="H783" t="s">
        <v>75</v>
      </c>
      <c r="I783" t="s">
        <v>76</v>
      </c>
      <c r="J783" t="s">
        <v>77</v>
      </c>
      <c r="K783" t="s">
        <v>78</v>
      </c>
      <c r="L783" t="s">
        <v>1196</v>
      </c>
      <c r="M783" t="s">
        <v>1197</v>
      </c>
      <c r="N783" t="s">
        <v>1198</v>
      </c>
      <c r="O783" t="s">
        <v>82</v>
      </c>
      <c r="P783" t="str">
        <f>"4170042582                    "</f>
        <v xml:space="preserve">4170042582                    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20.9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1</v>
      </c>
      <c r="BI783">
        <v>1</v>
      </c>
      <c r="BJ783">
        <v>0.2</v>
      </c>
      <c r="BK783">
        <v>1</v>
      </c>
      <c r="BL783">
        <v>69.5</v>
      </c>
      <c r="BM783">
        <v>10.43</v>
      </c>
      <c r="BN783">
        <v>79.930000000000007</v>
      </c>
      <c r="BO783">
        <v>79.930000000000007</v>
      </c>
      <c r="BQ783" t="s">
        <v>1199</v>
      </c>
      <c r="BR783" t="s">
        <v>84</v>
      </c>
      <c r="BS783" s="3">
        <v>45818</v>
      </c>
      <c r="BT783" s="4">
        <v>0.4375</v>
      </c>
      <c r="BU783" t="s">
        <v>1492</v>
      </c>
      <c r="BV783" t="s">
        <v>90</v>
      </c>
      <c r="BW783" t="s">
        <v>416</v>
      </c>
      <c r="BX783" t="s">
        <v>595</v>
      </c>
      <c r="BY783">
        <v>1200</v>
      </c>
      <c r="CA783" t="s">
        <v>1493</v>
      </c>
      <c r="CC783" t="s">
        <v>1197</v>
      </c>
      <c r="CD783">
        <v>4120</v>
      </c>
      <c r="CE783" t="s">
        <v>215</v>
      </c>
      <c r="CF783" s="3">
        <v>45819</v>
      </c>
      <c r="CI783">
        <v>1</v>
      </c>
      <c r="CJ783">
        <v>2</v>
      </c>
      <c r="CK783">
        <v>21</v>
      </c>
      <c r="CL783" t="s">
        <v>90</v>
      </c>
    </row>
    <row r="784" spans="1:90" x14ac:dyDescent="0.3">
      <c r="A784" t="s">
        <v>72</v>
      </c>
      <c r="B784" t="s">
        <v>73</v>
      </c>
      <c r="C784" t="s">
        <v>74</v>
      </c>
      <c r="E784" t="str">
        <f>"080065808091"</f>
        <v>080065808091</v>
      </c>
      <c r="F784" s="3">
        <v>45814</v>
      </c>
      <c r="G784">
        <v>202603</v>
      </c>
      <c r="H784" t="s">
        <v>75</v>
      </c>
      <c r="I784" t="s">
        <v>76</v>
      </c>
      <c r="J784" t="s">
        <v>77</v>
      </c>
      <c r="K784" t="s">
        <v>78</v>
      </c>
      <c r="L784" t="s">
        <v>321</v>
      </c>
      <c r="M784" t="s">
        <v>322</v>
      </c>
      <c r="N784" t="s">
        <v>1088</v>
      </c>
      <c r="O784" t="s">
        <v>82</v>
      </c>
      <c r="P784" t="str">
        <f>"4170042585                    "</f>
        <v xml:space="preserve">4170042585                    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29.39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1</v>
      </c>
      <c r="BI784">
        <v>1</v>
      </c>
      <c r="BJ784">
        <v>0.9</v>
      </c>
      <c r="BK784">
        <v>1</v>
      </c>
      <c r="BL784">
        <v>97.74</v>
      </c>
      <c r="BM784">
        <v>14.66</v>
      </c>
      <c r="BN784">
        <v>112.4</v>
      </c>
      <c r="BO784">
        <v>112.4</v>
      </c>
      <c r="BQ784" t="s">
        <v>1089</v>
      </c>
      <c r="BR784" t="s">
        <v>84</v>
      </c>
      <c r="BS784" s="3">
        <v>45817</v>
      </c>
      <c r="BT784" s="4">
        <v>0.42499999999999999</v>
      </c>
      <c r="BU784" t="s">
        <v>1494</v>
      </c>
      <c r="BV784" t="s">
        <v>86</v>
      </c>
      <c r="BY784">
        <v>4275</v>
      </c>
      <c r="CA784" t="s">
        <v>326</v>
      </c>
      <c r="CC784" t="s">
        <v>322</v>
      </c>
      <c r="CD784">
        <v>1441</v>
      </c>
      <c r="CE784" t="s">
        <v>292</v>
      </c>
      <c r="CF784" s="3">
        <v>45817</v>
      </c>
      <c r="CI784">
        <v>1</v>
      </c>
      <c r="CJ784">
        <v>1</v>
      </c>
      <c r="CK784">
        <v>24</v>
      </c>
      <c r="CL784" t="s">
        <v>90</v>
      </c>
    </row>
    <row r="785" spans="1:90" x14ac:dyDescent="0.3">
      <c r="A785" t="s">
        <v>72</v>
      </c>
      <c r="B785" t="s">
        <v>73</v>
      </c>
      <c r="C785" t="s">
        <v>74</v>
      </c>
      <c r="E785" t="str">
        <f>"080065808240"</f>
        <v>080065808240</v>
      </c>
      <c r="F785" s="3">
        <v>45814</v>
      </c>
      <c r="G785">
        <v>202603</v>
      </c>
      <c r="H785" t="s">
        <v>75</v>
      </c>
      <c r="I785" t="s">
        <v>76</v>
      </c>
      <c r="J785" t="s">
        <v>77</v>
      </c>
      <c r="K785" t="s">
        <v>78</v>
      </c>
      <c r="L785" t="s">
        <v>1452</v>
      </c>
      <c r="M785" t="s">
        <v>1453</v>
      </c>
      <c r="N785" t="s">
        <v>1485</v>
      </c>
      <c r="O785" t="s">
        <v>94</v>
      </c>
      <c r="P785" t="str">
        <f>"4170042377                    "</f>
        <v xml:space="preserve">4170042377                    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31.18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1</v>
      </c>
      <c r="BI785">
        <v>15</v>
      </c>
      <c r="BJ785">
        <v>6.9</v>
      </c>
      <c r="BK785">
        <v>15</v>
      </c>
      <c r="BL785">
        <v>109.27</v>
      </c>
      <c r="BM785">
        <v>16.39</v>
      </c>
      <c r="BN785">
        <v>125.66</v>
      </c>
      <c r="BO785">
        <v>125.66</v>
      </c>
      <c r="BQ785" t="s">
        <v>1486</v>
      </c>
      <c r="BR785" t="s">
        <v>84</v>
      </c>
      <c r="BS785" s="3">
        <v>45817</v>
      </c>
      <c r="BT785" s="4">
        <v>0.37638888888888888</v>
      </c>
      <c r="BU785" t="s">
        <v>1495</v>
      </c>
      <c r="BV785" t="s">
        <v>86</v>
      </c>
      <c r="BY785">
        <v>34560</v>
      </c>
      <c r="CA785" t="s">
        <v>1488</v>
      </c>
      <c r="CC785" t="s">
        <v>1453</v>
      </c>
      <c r="CD785">
        <v>2163</v>
      </c>
      <c r="CE785" t="s">
        <v>166</v>
      </c>
      <c r="CF785" s="3">
        <v>45817</v>
      </c>
      <c r="CI785">
        <v>1</v>
      </c>
      <c r="CJ785">
        <v>1</v>
      </c>
      <c r="CK785">
        <v>42</v>
      </c>
      <c r="CL785" t="s">
        <v>90</v>
      </c>
    </row>
    <row r="786" spans="1:90" x14ac:dyDescent="0.3">
      <c r="A786" t="s">
        <v>72</v>
      </c>
      <c r="B786" t="s">
        <v>73</v>
      </c>
      <c r="C786" t="s">
        <v>74</v>
      </c>
      <c r="E786" t="str">
        <f>"080065808254"</f>
        <v>080065808254</v>
      </c>
      <c r="F786" s="3">
        <v>45814</v>
      </c>
      <c r="G786">
        <v>202603</v>
      </c>
      <c r="H786" t="s">
        <v>75</v>
      </c>
      <c r="I786" t="s">
        <v>76</v>
      </c>
      <c r="J786" t="s">
        <v>77</v>
      </c>
      <c r="K786" t="s">
        <v>78</v>
      </c>
      <c r="L786" t="s">
        <v>1230</v>
      </c>
      <c r="M786" t="s">
        <v>1231</v>
      </c>
      <c r="N786" t="s">
        <v>1232</v>
      </c>
      <c r="O786" t="s">
        <v>82</v>
      </c>
      <c r="P786" t="str">
        <f>"4170042551                    "</f>
        <v xml:space="preserve">4170042551                    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40.49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1</v>
      </c>
      <c r="BI786">
        <v>1</v>
      </c>
      <c r="BJ786">
        <v>1.9</v>
      </c>
      <c r="BK786">
        <v>2</v>
      </c>
      <c r="BL786">
        <v>134.65</v>
      </c>
      <c r="BM786">
        <v>20.2</v>
      </c>
      <c r="BN786">
        <v>154.85</v>
      </c>
      <c r="BO786">
        <v>154.85</v>
      </c>
      <c r="BQ786" t="s">
        <v>1233</v>
      </c>
      <c r="BR786" t="s">
        <v>84</v>
      </c>
      <c r="BS786" s="3">
        <v>45817</v>
      </c>
      <c r="BT786" s="4">
        <v>0.70486111111111116</v>
      </c>
      <c r="BU786" t="s">
        <v>1234</v>
      </c>
      <c r="BV786" t="s">
        <v>86</v>
      </c>
      <c r="BY786">
        <v>9600</v>
      </c>
      <c r="BZ786" t="s">
        <v>87</v>
      </c>
      <c r="CA786" t="s">
        <v>1235</v>
      </c>
      <c r="CC786" t="s">
        <v>1231</v>
      </c>
      <c r="CD786">
        <v>9880</v>
      </c>
      <c r="CE786" t="s">
        <v>99</v>
      </c>
      <c r="CF786" s="3">
        <v>45817</v>
      </c>
      <c r="CI786">
        <v>1</v>
      </c>
      <c r="CJ786">
        <v>1</v>
      </c>
      <c r="CK786">
        <v>23</v>
      </c>
      <c r="CL786" t="s">
        <v>90</v>
      </c>
    </row>
    <row r="787" spans="1:90" x14ac:dyDescent="0.3">
      <c r="A787" t="s">
        <v>72</v>
      </c>
      <c r="B787" t="s">
        <v>73</v>
      </c>
      <c r="C787" t="s">
        <v>74</v>
      </c>
      <c r="E787" t="str">
        <f>"080065808475"</f>
        <v>080065808475</v>
      </c>
      <c r="F787" s="3">
        <v>45814</v>
      </c>
      <c r="G787">
        <v>202603</v>
      </c>
      <c r="H787" t="s">
        <v>75</v>
      </c>
      <c r="I787" t="s">
        <v>76</v>
      </c>
      <c r="J787" t="s">
        <v>77</v>
      </c>
      <c r="K787" t="s">
        <v>78</v>
      </c>
      <c r="L787" t="s">
        <v>331</v>
      </c>
      <c r="M787" t="s">
        <v>332</v>
      </c>
      <c r="N787" t="s">
        <v>1496</v>
      </c>
      <c r="O787" t="s">
        <v>82</v>
      </c>
      <c r="P787" t="str">
        <f>"4170042510                    "</f>
        <v xml:space="preserve">4170042510                    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20.9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1</v>
      </c>
      <c r="BI787">
        <v>1</v>
      </c>
      <c r="BJ787">
        <v>0.2</v>
      </c>
      <c r="BK787">
        <v>1</v>
      </c>
      <c r="BL787">
        <v>69.5</v>
      </c>
      <c r="BM787">
        <v>10.43</v>
      </c>
      <c r="BN787">
        <v>79.930000000000007</v>
      </c>
      <c r="BO787">
        <v>79.930000000000007</v>
      </c>
      <c r="BQ787" t="s">
        <v>1497</v>
      </c>
      <c r="BR787" t="s">
        <v>84</v>
      </c>
      <c r="BS787" s="3">
        <v>45818</v>
      </c>
      <c r="BT787" s="4">
        <v>0.41944444444444445</v>
      </c>
      <c r="BU787" t="s">
        <v>1498</v>
      </c>
      <c r="BV787" t="s">
        <v>90</v>
      </c>
      <c r="BW787" t="s">
        <v>416</v>
      </c>
      <c r="BX787" t="s">
        <v>595</v>
      </c>
      <c r="BY787">
        <v>1200</v>
      </c>
      <c r="CC787" t="s">
        <v>332</v>
      </c>
      <c r="CD787">
        <v>4080</v>
      </c>
      <c r="CE787" t="s">
        <v>215</v>
      </c>
      <c r="CF787" s="3">
        <v>45818</v>
      </c>
      <c r="CI787">
        <v>1</v>
      </c>
      <c r="CJ787">
        <v>2</v>
      </c>
      <c r="CK787">
        <v>21</v>
      </c>
      <c r="CL787" t="s">
        <v>90</v>
      </c>
    </row>
    <row r="788" spans="1:90" x14ac:dyDescent="0.3">
      <c r="A788" t="s">
        <v>72</v>
      </c>
      <c r="B788" t="s">
        <v>73</v>
      </c>
      <c r="C788" t="s">
        <v>74</v>
      </c>
      <c r="E788" t="str">
        <f>"080065808510"</f>
        <v>080065808510</v>
      </c>
      <c r="F788" s="3">
        <v>45814</v>
      </c>
      <c r="G788">
        <v>202603</v>
      </c>
      <c r="H788" t="s">
        <v>75</v>
      </c>
      <c r="I788" t="s">
        <v>76</v>
      </c>
      <c r="J788" t="s">
        <v>77</v>
      </c>
      <c r="K788" t="s">
        <v>78</v>
      </c>
      <c r="L788" t="s">
        <v>331</v>
      </c>
      <c r="M788" t="s">
        <v>332</v>
      </c>
      <c r="N788" t="s">
        <v>1499</v>
      </c>
      <c r="O788" t="s">
        <v>82</v>
      </c>
      <c r="P788" t="str">
        <f>"4170042752                    "</f>
        <v xml:space="preserve">4170042752                    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20.9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1</v>
      </c>
      <c r="BI788">
        <v>1</v>
      </c>
      <c r="BJ788">
        <v>0.2</v>
      </c>
      <c r="BK788">
        <v>1</v>
      </c>
      <c r="BL788">
        <v>69.5</v>
      </c>
      <c r="BM788">
        <v>10.43</v>
      </c>
      <c r="BN788">
        <v>79.930000000000007</v>
      </c>
      <c r="BO788">
        <v>79.930000000000007</v>
      </c>
      <c r="BQ788" t="s">
        <v>1500</v>
      </c>
      <c r="BR788" t="s">
        <v>84</v>
      </c>
      <c r="BS788" s="3">
        <v>45817</v>
      </c>
      <c r="BT788" s="4">
        <v>0.3347222222222222</v>
      </c>
      <c r="BU788" t="s">
        <v>335</v>
      </c>
      <c r="BV788" t="s">
        <v>86</v>
      </c>
      <c r="BY788">
        <v>1200</v>
      </c>
      <c r="BZ788" t="s">
        <v>87</v>
      </c>
      <c r="CA788" t="s">
        <v>336</v>
      </c>
      <c r="CC788" t="s">
        <v>332</v>
      </c>
      <c r="CD788">
        <v>4051</v>
      </c>
      <c r="CE788" t="s">
        <v>89</v>
      </c>
      <c r="CF788" s="3">
        <v>45817</v>
      </c>
      <c r="CI788">
        <v>1</v>
      </c>
      <c r="CJ788">
        <v>1</v>
      </c>
      <c r="CK788">
        <v>21</v>
      </c>
      <c r="CL788" t="s">
        <v>90</v>
      </c>
    </row>
    <row r="789" spans="1:90" x14ac:dyDescent="0.3">
      <c r="A789" t="s">
        <v>72</v>
      </c>
      <c r="B789" t="s">
        <v>73</v>
      </c>
      <c r="C789" t="s">
        <v>74</v>
      </c>
      <c r="E789" t="str">
        <f>"080065808517"</f>
        <v>080065808517</v>
      </c>
      <c r="F789" s="3">
        <v>45814</v>
      </c>
      <c r="G789">
        <v>202603</v>
      </c>
      <c r="H789" t="s">
        <v>75</v>
      </c>
      <c r="I789" t="s">
        <v>76</v>
      </c>
      <c r="J789" t="s">
        <v>77</v>
      </c>
      <c r="K789" t="s">
        <v>78</v>
      </c>
      <c r="L789" t="s">
        <v>302</v>
      </c>
      <c r="M789" t="s">
        <v>303</v>
      </c>
      <c r="N789" t="s">
        <v>1501</v>
      </c>
      <c r="O789" t="s">
        <v>94</v>
      </c>
      <c r="P789" t="str">
        <f>"4170042627                    "</f>
        <v xml:space="preserve">4170042627                    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106.49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16</v>
      </c>
      <c r="BJ789">
        <v>31.5</v>
      </c>
      <c r="BK789">
        <v>32</v>
      </c>
      <c r="BL789">
        <v>359.7</v>
      </c>
      <c r="BM789">
        <v>53.96</v>
      </c>
      <c r="BN789">
        <v>413.66</v>
      </c>
      <c r="BO789">
        <v>413.66</v>
      </c>
      <c r="BQ789" t="s">
        <v>1502</v>
      </c>
      <c r="BR789" t="s">
        <v>84</v>
      </c>
      <c r="BS789" s="3">
        <v>45818</v>
      </c>
      <c r="BT789" s="4">
        <v>0.41805555555555557</v>
      </c>
      <c r="BU789" t="s">
        <v>232</v>
      </c>
      <c r="BV789" t="s">
        <v>90</v>
      </c>
      <c r="BW789" t="s">
        <v>144</v>
      </c>
      <c r="BX789" t="s">
        <v>652</v>
      </c>
      <c r="BY789">
        <v>157320</v>
      </c>
      <c r="CA789" t="s">
        <v>1503</v>
      </c>
      <c r="CC789" t="s">
        <v>303</v>
      </c>
      <c r="CD789">
        <v>299</v>
      </c>
      <c r="CE789" t="s">
        <v>687</v>
      </c>
      <c r="CF789" s="3">
        <v>45819</v>
      </c>
      <c r="CI789">
        <v>1</v>
      </c>
      <c r="CJ789">
        <v>2</v>
      </c>
      <c r="CK789">
        <v>43</v>
      </c>
      <c r="CL789" t="s">
        <v>90</v>
      </c>
    </row>
    <row r="790" spans="1:90" x14ac:dyDescent="0.3">
      <c r="A790" t="s">
        <v>72</v>
      </c>
      <c r="B790" t="s">
        <v>73</v>
      </c>
      <c r="C790" t="s">
        <v>74</v>
      </c>
      <c r="E790" t="str">
        <f>"080065808617"</f>
        <v>080065808617</v>
      </c>
      <c r="F790" s="3">
        <v>45814</v>
      </c>
      <c r="G790">
        <v>202603</v>
      </c>
      <c r="H790" t="s">
        <v>75</v>
      </c>
      <c r="I790" t="s">
        <v>76</v>
      </c>
      <c r="J790" t="s">
        <v>77</v>
      </c>
      <c r="K790" t="s">
        <v>78</v>
      </c>
      <c r="L790" t="s">
        <v>331</v>
      </c>
      <c r="M790" t="s">
        <v>332</v>
      </c>
      <c r="N790" t="s">
        <v>1084</v>
      </c>
      <c r="O790" t="s">
        <v>82</v>
      </c>
      <c r="P790" t="str">
        <f>"4170042517                    "</f>
        <v xml:space="preserve">4170042517                    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31.34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1</v>
      </c>
      <c r="BI790">
        <v>3</v>
      </c>
      <c r="BJ790">
        <v>1.7</v>
      </c>
      <c r="BK790">
        <v>3</v>
      </c>
      <c r="BL790">
        <v>104.22</v>
      </c>
      <c r="BM790">
        <v>15.63</v>
      </c>
      <c r="BN790">
        <v>119.85</v>
      </c>
      <c r="BO790">
        <v>119.85</v>
      </c>
      <c r="BQ790" t="s">
        <v>1085</v>
      </c>
      <c r="BR790" t="s">
        <v>84</v>
      </c>
      <c r="BS790" s="3">
        <v>45817</v>
      </c>
      <c r="BT790" s="4">
        <v>0.42708333333333331</v>
      </c>
      <c r="BU790" t="s">
        <v>1504</v>
      </c>
      <c r="BV790" t="s">
        <v>86</v>
      </c>
      <c r="BY790">
        <v>8512</v>
      </c>
      <c r="CA790" t="s">
        <v>179</v>
      </c>
      <c r="CC790" t="s">
        <v>332</v>
      </c>
      <c r="CD790">
        <v>4000</v>
      </c>
      <c r="CE790" t="s">
        <v>292</v>
      </c>
      <c r="CF790" s="3">
        <v>45818</v>
      </c>
      <c r="CI790">
        <v>1</v>
      </c>
      <c r="CJ790">
        <v>1</v>
      </c>
      <c r="CK790">
        <v>21</v>
      </c>
      <c r="CL790" t="s">
        <v>90</v>
      </c>
    </row>
    <row r="791" spans="1:90" x14ac:dyDescent="0.3">
      <c r="A791" t="s">
        <v>72</v>
      </c>
      <c r="B791" t="s">
        <v>73</v>
      </c>
      <c r="C791" t="s">
        <v>74</v>
      </c>
      <c r="E791" t="str">
        <f>"080065808662"</f>
        <v>080065808662</v>
      </c>
      <c r="F791" s="3">
        <v>45814</v>
      </c>
      <c r="G791">
        <v>202603</v>
      </c>
      <c r="H791" t="s">
        <v>75</v>
      </c>
      <c r="I791" t="s">
        <v>76</v>
      </c>
      <c r="J791" t="s">
        <v>77</v>
      </c>
      <c r="K791" t="s">
        <v>78</v>
      </c>
      <c r="L791" t="s">
        <v>174</v>
      </c>
      <c r="M791" t="s">
        <v>175</v>
      </c>
      <c r="N791" t="s">
        <v>1505</v>
      </c>
      <c r="O791" t="s">
        <v>82</v>
      </c>
      <c r="P791" t="str">
        <f>"4170042649                    "</f>
        <v xml:space="preserve">4170042649                    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20.9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1</v>
      </c>
      <c r="BI791">
        <v>1</v>
      </c>
      <c r="BJ791">
        <v>0.2</v>
      </c>
      <c r="BK791">
        <v>1</v>
      </c>
      <c r="BL791">
        <v>69.5</v>
      </c>
      <c r="BM791">
        <v>10.43</v>
      </c>
      <c r="BN791">
        <v>79.930000000000007</v>
      </c>
      <c r="BO791">
        <v>79.930000000000007</v>
      </c>
      <c r="BQ791" t="s">
        <v>1506</v>
      </c>
      <c r="BR791" t="s">
        <v>84</v>
      </c>
      <c r="BS791" s="3">
        <v>45817</v>
      </c>
      <c r="BT791" s="4">
        <v>0.56111111111111112</v>
      </c>
      <c r="BU791" t="s">
        <v>1507</v>
      </c>
      <c r="BV791" t="s">
        <v>90</v>
      </c>
      <c r="BW791" t="s">
        <v>416</v>
      </c>
      <c r="BX791" t="s">
        <v>417</v>
      </c>
      <c r="BY791">
        <v>1200</v>
      </c>
      <c r="BZ791" t="s">
        <v>87</v>
      </c>
      <c r="CA791" t="s">
        <v>1508</v>
      </c>
      <c r="CC791" t="s">
        <v>175</v>
      </c>
      <c r="CD791">
        <v>3610</v>
      </c>
      <c r="CE791" t="s">
        <v>89</v>
      </c>
      <c r="CF791" s="3">
        <v>45818</v>
      </c>
      <c r="CI791">
        <v>1</v>
      </c>
      <c r="CJ791">
        <v>1</v>
      </c>
      <c r="CK791">
        <v>21</v>
      </c>
      <c r="CL791" t="s">
        <v>90</v>
      </c>
    </row>
    <row r="792" spans="1:90" x14ac:dyDescent="0.3">
      <c r="A792" t="s">
        <v>72</v>
      </c>
      <c r="B792" t="s">
        <v>73</v>
      </c>
      <c r="C792" t="s">
        <v>74</v>
      </c>
      <c r="E792" t="str">
        <f>"080065808798"</f>
        <v>080065808798</v>
      </c>
      <c r="F792" s="3">
        <v>45814</v>
      </c>
      <c r="G792">
        <v>202603</v>
      </c>
      <c r="H792" t="s">
        <v>75</v>
      </c>
      <c r="I792" t="s">
        <v>76</v>
      </c>
      <c r="J792" t="s">
        <v>77</v>
      </c>
      <c r="K792" t="s">
        <v>78</v>
      </c>
      <c r="L792" t="s">
        <v>174</v>
      </c>
      <c r="M792" t="s">
        <v>175</v>
      </c>
      <c r="N792" t="s">
        <v>680</v>
      </c>
      <c r="O792" t="s">
        <v>82</v>
      </c>
      <c r="P792" t="str">
        <f>"4170042587                    "</f>
        <v xml:space="preserve">4170042587                    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20.9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1</v>
      </c>
      <c r="BI792">
        <v>2</v>
      </c>
      <c r="BJ792">
        <v>1.7</v>
      </c>
      <c r="BK792">
        <v>2</v>
      </c>
      <c r="BL792">
        <v>69.5</v>
      </c>
      <c r="BM792">
        <v>10.43</v>
      </c>
      <c r="BN792">
        <v>79.930000000000007</v>
      </c>
      <c r="BO792">
        <v>79.930000000000007</v>
      </c>
      <c r="BQ792" t="s">
        <v>681</v>
      </c>
      <c r="BR792" t="s">
        <v>84</v>
      </c>
      <c r="BS792" s="3">
        <v>45817</v>
      </c>
      <c r="BT792" s="4">
        <v>0.375</v>
      </c>
      <c r="BU792" t="s">
        <v>1509</v>
      </c>
      <c r="BV792" t="s">
        <v>86</v>
      </c>
      <c r="BY792">
        <v>8512</v>
      </c>
      <c r="CA792" t="s">
        <v>179</v>
      </c>
      <c r="CC792" t="s">
        <v>175</v>
      </c>
      <c r="CD792">
        <v>3610</v>
      </c>
      <c r="CE792" t="s">
        <v>292</v>
      </c>
      <c r="CF792" s="3">
        <v>45818</v>
      </c>
      <c r="CI792">
        <v>1</v>
      </c>
      <c r="CJ792">
        <v>1</v>
      </c>
      <c r="CK792">
        <v>21</v>
      </c>
      <c r="CL792" t="s">
        <v>90</v>
      </c>
    </row>
    <row r="793" spans="1:90" x14ac:dyDescent="0.3">
      <c r="A793" t="s">
        <v>72</v>
      </c>
      <c r="B793" t="s">
        <v>73</v>
      </c>
      <c r="C793" t="s">
        <v>74</v>
      </c>
      <c r="E793" t="str">
        <f>"080065808832"</f>
        <v>080065808832</v>
      </c>
      <c r="F793" s="3">
        <v>45814</v>
      </c>
      <c r="G793">
        <v>202603</v>
      </c>
      <c r="H793" t="s">
        <v>75</v>
      </c>
      <c r="I793" t="s">
        <v>76</v>
      </c>
      <c r="J793" t="s">
        <v>77</v>
      </c>
      <c r="K793" t="s">
        <v>78</v>
      </c>
      <c r="L793" t="s">
        <v>159</v>
      </c>
      <c r="M793" t="s">
        <v>160</v>
      </c>
      <c r="N793" t="s">
        <v>1510</v>
      </c>
      <c r="O793" t="s">
        <v>94</v>
      </c>
      <c r="P793" t="str">
        <f>"4170042807                    "</f>
        <v xml:space="preserve">4170042807                    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31.18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16.739999999999998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1</v>
      </c>
      <c r="BI793">
        <v>9</v>
      </c>
      <c r="BJ793">
        <v>3.6</v>
      </c>
      <c r="BK793">
        <v>9</v>
      </c>
      <c r="BL793">
        <v>126.01</v>
      </c>
      <c r="BM793">
        <v>18.899999999999999</v>
      </c>
      <c r="BN793">
        <v>144.91</v>
      </c>
      <c r="BO793">
        <v>144.91</v>
      </c>
      <c r="BQ793" t="s">
        <v>1511</v>
      </c>
      <c r="BR793" t="s">
        <v>84</v>
      </c>
      <c r="BS793" s="3">
        <v>45817</v>
      </c>
      <c r="BT793" s="4">
        <v>0.47847222222222224</v>
      </c>
      <c r="BU793" t="s">
        <v>1512</v>
      </c>
      <c r="BV793" t="s">
        <v>86</v>
      </c>
      <c r="BY793">
        <v>18096</v>
      </c>
      <c r="BZ793" t="s">
        <v>1513</v>
      </c>
      <c r="CA793" t="s">
        <v>1514</v>
      </c>
      <c r="CC793" t="s">
        <v>160</v>
      </c>
      <c r="CD793">
        <v>2188</v>
      </c>
      <c r="CE793" t="s">
        <v>99</v>
      </c>
      <c r="CF793" s="3">
        <v>45818</v>
      </c>
      <c r="CI793">
        <v>1</v>
      </c>
      <c r="CJ793">
        <v>1</v>
      </c>
      <c r="CK793">
        <v>42</v>
      </c>
      <c r="CL793" t="s">
        <v>90</v>
      </c>
    </row>
    <row r="794" spans="1:90" x14ac:dyDescent="0.3">
      <c r="A794" t="s">
        <v>72</v>
      </c>
      <c r="B794" t="s">
        <v>73</v>
      </c>
      <c r="C794" t="s">
        <v>74</v>
      </c>
      <c r="E794" t="str">
        <f>"080065808915"</f>
        <v>080065808915</v>
      </c>
      <c r="F794" s="3">
        <v>45814</v>
      </c>
      <c r="G794">
        <v>202603</v>
      </c>
      <c r="H794" t="s">
        <v>75</v>
      </c>
      <c r="I794" t="s">
        <v>76</v>
      </c>
      <c r="J794" t="s">
        <v>77</v>
      </c>
      <c r="K794" t="s">
        <v>78</v>
      </c>
      <c r="L794" t="s">
        <v>91</v>
      </c>
      <c r="M794" t="s">
        <v>92</v>
      </c>
      <c r="N794" t="s">
        <v>1515</v>
      </c>
      <c r="O794" t="s">
        <v>82</v>
      </c>
      <c r="P794" t="str">
        <f>"4170042509                    "</f>
        <v xml:space="preserve">4170042509                    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20.9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1</v>
      </c>
      <c r="BI794">
        <v>1</v>
      </c>
      <c r="BJ794">
        <v>0.2</v>
      </c>
      <c r="BK794">
        <v>1</v>
      </c>
      <c r="BL794">
        <v>69.5</v>
      </c>
      <c r="BM794">
        <v>10.43</v>
      </c>
      <c r="BN794">
        <v>79.930000000000007</v>
      </c>
      <c r="BO794">
        <v>79.930000000000007</v>
      </c>
      <c r="BQ794" t="s">
        <v>1516</v>
      </c>
      <c r="BR794" t="s">
        <v>84</v>
      </c>
      <c r="BS794" s="3">
        <v>45817</v>
      </c>
      <c r="BT794" s="4">
        <v>0.41666666666666669</v>
      </c>
      <c r="BU794" t="s">
        <v>1517</v>
      </c>
      <c r="BV794" t="s">
        <v>86</v>
      </c>
      <c r="BY794">
        <v>1200</v>
      </c>
      <c r="BZ794" t="s">
        <v>87</v>
      </c>
      <c r="CC794" t="s">
        <v>92</v>
      </c>
      <c r="CD794">
        <v>7405</v>
      </c>
      <c r="CE794" t="s">
        <v>89</v>
      </c>
      <c r="CF794" s="3">
        <v>45818</v>
      </c>
      <c r="CI794">
        <v>1</v>
      </c>
      <c r="CJ794">
        <v>1</v>
      </c>
      <c r="CK794">
        <v>21</v>
      </c>
      <c r="CL794" t="s">
        <v>90</v>
      </c>
    </row>
    <row r="795" spans="1:90" x14ac:dyDescent="0.3">
      <c r="A795" t="s">
        <v>72</v>
      </c>
      <c r="B795" t="s">
        <v>73</v>
      </c>
      <c r="C795" t="s">
        <v>74</v>
      </c>
      <c r="E795" t="str">
        <f>"080065808917"</f>
        <v>080065808917</v>
      </c>
      <c r="F795" s="3">
        <v>45814</v>
      </c>
      <c r="G795">
        <v>202603</v>
      </c>
      <c r="H795" t="s">
        <v>75</v>
      </c>
      <c r="I795" t="s">
        <v>76</v>
      </c>
      <c r="J795" t="s">
        <v>77</v>
      </c>
      <c r="K795" t="s">
        <v>78</v>
      </c>
      <c r="L795" t="s">
        <v>75</v>
      </c>
      <c r="M795" t="s">
        <v>76</v>
      </c>
      <c r="N795" t="s">
        <v>1518</v>
      </c>
      <c r="O795" t="s">
        <v>82</v>
      </c>
      <c r="P795" t="str">
        <f>"4170042524                    "</f>
        <v xml:space="preserve">4170042524                    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16.32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1</v>
      </c>
      <c r="BI795">
        <v>3</v>
      </c>
      <c r="BJ795">
        <v>4.3</v>
      </c>
      <c r="BK795">
        <v>5</v>
      </c>
      <c r="BL795">
        <v>54.28</v>
      </c>
      <c r="BM795">
        <v>8.14</v>
      </c>
      <c r="BN795">
        <v>62.42</v>
      </c>
      <c r="BO795">
        <v>62.42</v>
      </c>
      <c r="BQ795" t="s">
        <v>1519</v>
      </c>
      <c r="BR795" t="s">
        <v>84</v>
      </c>
      <c r="BS795" s="3">
        <v>45817</v>
      </c>
      <c r="BT795" s="4">
        <v>0.43333333333333335</v>
      </c>
      <c r="BU795" t="s">
        <v>1520</v>
      </c>
      <c r="BV795" t="s">
        <v>86</v>
      </c>
      <c r="BY795">
        <v>21489</v>
      </c>
      <c r="BZ795" t="s">
        <v>87</v>
      </c>
      <c r="CA795" t="s">
        <v>193</v>
      </c>
      <c r="CC795" t="s">
        <v>76</v>
      </c>
      <c r="CD795">
        <v>1601</v>
      </c>
      <c r="CE795" t="s">
        <v>99</v>
      </c>
      <c r="CF795" s="3">
        <v>45817</v>
      </c>
      <c r="CI795">
        <v>1</v>
      </c>
      <c r="CJ795">
        <v>1</v>
      </c>
      <c r="CK795">
        <v>22</v>
      </c>
      <c r="CL795" t="s">
        <v>90</v>
      </c>
    </row>
    <row r="796" spans="1:90" x14ac:dyDescent="0.3">
      <c r="A796" t="s">
        <v>72</v>
      </c>
      <c r="B796" t="s">
        <v>73</v>
      </c>
      <c r="C796" t="s">
        <v>74</v>
      </c>
      <c r="E796" t="str">
        <f>"080065808937"</f>
        <v>080065808937</v>
      </c>
      <c r="F796" s="3">
        <v>45814</v>
      </c>
      <c r="G796">
        <v>202603</v>
      </c>
      <c r="H796" t="s">
        <v>75</v>
      </c>
      <c r="I796" t="s">
        <v>76</v>
      </c>
      <c r="J796" t="s">
        <v>77</v>
      </c>
      <c r="K796" t="s">
        <v>78</v>
      </c>
      <c r="L796" t="s">
        <v>331</v>
      </c>
      <c r="M796" t="s">
        <v>332</v>
      </c>
      <c r="N796" t="s">
        <v>1521</v>
      </c>
      <c r="O796" t="s">
        <v>82</v>
      </c>
      <c r="P796" t="str">
        <f>"4170042594                    "</f>
        <v xml:space="preserve">4170042594                    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20.9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1</v>
      </c>
      <c r="BI796">
        <v>1</v>
      </c>
      <c r="BJ796">
        <v>0.2</v>
      </c>
      <c r="BK796">
        <v>1</v>
      </c>
      <c r="BL796">
        <v>69.5</v>
      </c>
      <c r="BM796">
        <v>10.43</v>
      </c>
      <c r="BN796">
        <v>79.930000000000007</v>
      </c>
      <c r="BO796">
        <v>79.930000000000007</v>
      </c>
      <c r="BQ796" t="s">
        <v>1522</v>
      </c>
      <c r="BR796" t="s">
        <v>84</v>
      </c>
      <c r="BS796" s="3">
        <v>45817</v>
      </c>
      <c r="BT796" s="4">
        <v>0.36388888888888887</v>
      </c>
      <c r="BU796" t="s">
        <v>1523</v>
      </c>
      <c r="BV796" t="s">
        <v>86</v>
      </c>
      <c r="BY796">
        <v>1200</v>
      </c>
      <c r="BZ796" t="s">
        <v>87</v>
      </c>
      <c r="CA796" t="s">
        <v>1524</v>
      </c>
      <c r="CC796" t="s">
        <v>332</v>
      </c>
      <c r="CD796">
        <v>4068</v>
      </c>
      <c r="CE796" t="s">
        <v>89</v>
      </c>
      <c r="CF796" s="3">
        <v>45817</v>
      </c>
      <c r="CI796">
        <v>1</v>
      </c>
      <c r="CJ796">
        <v>1</v>
      </c>
      <c r="CK796">
        <v>21</v>
      </c>
      <c r="CL796" t="s">
        <v>90</v>
      </c>
    </row>
    <row r="797" spans="1:90" x14ac:dyDescent="0.3">
      <c r="A797" t="s">
        <v>72</v>
      </c>
      <c r="B797" t="s">
        <v>73</v>
      </c>
      <c r="C797" t="s">
        <v>74</v>
      </c>
      <c r="E797" t="str">
        <f>"080065808947"</f>
        <v>080065808947</v>
      </c>
      <c r="F797" s="3">
        <v>45814</v>
      </c>
      <c r="G797">
        <v>202603</v>
      </c>
      <c r="H797" t="s">
        <v>75</v>
      </c>
      <c r="I797" t="s">
        <v>76</v>
      </c>
      <c r="J797" t="s">
        <v>77</v>
      </c>
      <c r="K797" t="s">
        <v>78</v>
      </c>
      <c r="L797" t="s">
        <v>136</v>
      </c>
      <c r="M797" t="s">
        <v>137</v>
      </c>
      <c r="N797" t="s">
        <v>138</v>
      </c>
      <c r="O797" t="s">
        <v>82</v>
      </c>
      <c r="P797" t="str">
        <f>"4170042530                    "</f>
        <v xml:space="preserve">4170042530                    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31.34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1</v>
      </c>
      <c r="BI797">
        <v>3</v>
      </c>
      <c r="BJ797">
        <v>1.1000000000000001</v>
      </c>
      <c r="BK797">
        <v>3</v>
      </c>
      <c r="BL797">
        <v>104.22</v>
      </c>
      <c r="BM797">
        <v>15.63</v>
      </c>
      <c r="BN797">
        <v>119.85</v>
      </c>
      <c r="BO797">
        <v>119.85</v>
      </c>
      <c r="BQ797" t="s">
        <v>139</v>
      </c>
      <c r="BR797" t="s">
        <v>84</v>
      </c>
      <c r="BS797" s="3">
        <v>45817</v>
      </c>
      <c r="BT797" s="4">
        <v>0.5</v>
      </c>
      <c r="BU797" t="s">
        <v>1525</v>
      </c>
      <c r="BV797" t="s">
        <v>86</v>
      </c>
      <c r="BY797">
        <v>5320</v>
      </c>
      <c r="BZ797" t="s">
        <v>87</v>
      </c>
      <c r="CC797" t="s">
        <v>137</v>
      </c>
      <c r="CD797">
        <v>5201</v>
      </c>
      <c r="CE797" t="s">
        <v>180</v>
      </c>
      <c r="CF797" s="3">
        <v>45818</v>
      </c>
      <c r="CI797">
        <v>5</v>
      </c>
      <c r="CJ797">
        <v>1</v>
      </c>
      <c r="CK797">
        <v>21</v>
      </c>
      <c r="CL797" t="s">
        <v>90</v>
      </c>
    </row>
    <row r="798" spans="1:90" x14ac:dyDescent="0.3">
      <c r="A798" t="s">
        <v>72</v>
      </c>
      <c r="B798" t="s">
        <v>73</v>
      </c>
      <c r="C798" t="s">
        <v>74</v>
      </c>
      <c r="E798" t="str">
        <f>"080065808954"</f>
        <v>080065808954</v>
      </c>
      <c r="F798" s="3">
        <v>45814</v>
      </c>
      <c r="G798">
        <v>202603</v>
      </c>
      <c r="H798" t="s">
        <v>75</v>
      </c>
      <c r="I798" t="s">
        <v>76</v>
      </c>
      <c r="J798" t="s">
        <v>77</v>
      </c>
      <c r="K798" t="s">
        <v>78</v>
      </c>
      <c r="L798" t="s">
        <v>100</v>
      </c>
      <c r="M798" t="s">
        <v>101</v>
      </c>
      <c r="N798" t="s">
        <v>585</v>
      </c>
      <c r="O798" t="s">
        <v>82</v>
      </c>
      <c r="P798" t="str">
        <f>"4170042637                    "</f>
        <v xml:space="preserve">4170042637                    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20.9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1</v>
      </c>
      <c r="BI798">
        <v>1</v>
      </c>
      <c r="BJ798">
        <v>0.2</v>
      </c>
      <c r="BK798">
        <v>1</v>
      </c>
      <c r="BL798">
        <v>69.5</v>
      </c>
      <c r="BM798">
        <v>10.43</v>
      </c>
      <c r="BN798">
        <v>79.930000000000007</v>
      </c>
      <c r="BO798">
        <v>79.930000000000007</v>
      </c>
      <c r="BQ798" t="s">
        <v>586</v>
      </c>
      <c r="BR798" t="s">
        <v>84</v>
      </c>
      <c r="BS798" s="3">
        <v>45817</v>
      </c>
      <c r="BT798" s="4">
        <v>0.36666666666666664</v>
      </c>
      <c r="BU798" t="s">
        <v>879</v>
      </c>
      <c r="BV798" t="s">
        <v>86</v>
      </c>
      <c r="BY798">
        <v>1200</v>
      </c>
      <c r="BZ798" t="s">
        <v>87</v>
      </c>
      <c r="CA798" t="s">
        <v>589</v>
      </c>
      <c r="CC798" t="s">
        <v>101</v>
      </c>
      <c r="CD798">
        <v>6001</v>
      </c>
      <c r="CE798" t="s">
        <v>215</v>
      </c>
      <c r="CF798" s="3">
        <v>45817</v>
      </c>
      <c r="CI798">
        <v>1</v>
      </c>
      <c r="CJ798">
        <v>1</v>
      </c>
      <c r="CK798">
        <v>21</v>
      </c>
      <c r="CL798" t="s">
        <v>90</v>
      </c>
    </row>
    <row r="799" spans="1:90" x14ac:dyDescent="0.3">
      <c r="A799" t="s">
        <v>72</v>
      </c>
      <c r="B799" t="s">
        <v>73</v>
      </c>
      <c r="C799" t="s">
        <v>74</v>
      </c>
      <c r="E799" t="str">
        <f>"080065808968"</f>
        <v>080065808968</v>
      </c>
      <c r="F799" s="3">
        <v>45814</v>
      </c>
      <c r="G799">
        <v>202603</v>
      </c>
      <c r="H799" t="s">
        <v>75</v>
      </c>
      <c r="I799" t="s">
        <v>76</v>
      </c>
      <c r="J799" t="s">
        <v>77</v>
      </c>
      <c r="K799" t="s">
        <v>78</v>
      </c>
      <c r="L799" t="s">
        <v>1526</v>
      </c>
      <c r="M799" t="s">
        <v>1527</v>
      </c>
      <c r="N799" t="s">
        <v>1528</v>
      </c>
      <c r="O799" t="s">
        <v>82</v>
      </c>
      <c r="P799" t="str">
        <f>"4170042667                    "</f>
        <v xml:space="preserve">4170042667                    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77.06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2</v>
      </c>
      <c r="BJ799">
        <v>3.6</v>
      </c>
      <c r="BK799">
        <v>4</v>
      </c>
      <c r="BL799">
        <v>256.26</v>
      </c>
      <c r="BM799">
        <v>38.44</v>
      </c>
      <c r="BN799">
        <v>294.7</v>
      </c>
      <c r="BO799">
        <v>294.7</v>
      </c>
      <c r="BQ799" t="s">
        <v>1529</v>
      </c>
      <c r="BR799" t="s">
        <v>84</v>
      </c>
      <c r="BS799" s="3">
        <v>45817</v>
      </c>
      <c r="BT799" s="4">
        <v>0.75</v>
      </c>
      <c r="BU799" t="s">
        <v>1530</v>
      </c>
      <c r="BV799" t="s">
        <v>90</v>
      </c>
      <c r="BW799" t="s">
        <v>1209</v>
      </c>
      <c r="BX799" t="s">
        <v>1531</v>
      </c>
      <c r="BY799">
        <v>18144</v>
      </c>
      <c r="BZ799" t="s">
        <v>87</v>
      </c>
      <c r="CA799" t="s">
        <v>1532</v>
      </c>
      <c r="CC799" t="s">
        <v>1527</v>
      </c>
      <c r="CD799">
        <v>4399</v>
      </c>
      <c r="CE799" t="s">
        <v>166</v>
      </c>
      <c r="CF799" s="3">
        <v>45818</v>
      </c>
      <c r="CI799">
        <v>1</v>
      </c>
      <c r="CJ799">
        <v>1</v>
      </c>
      <c r="CK799">
        <v>23</v>
      </c>
      <c r="CL799" t="s">
        <v>90</v>
      </c>
    </row>
    <row r="800" spans="1:90" x14ac:dyDescent="0.3">
      <c r="A800" t="s">
        <v>72</v>
      </c>
      <c r="B800" t="s">
        <v>73</v>
      </c>
      <c r="C800" t="s">
        <v>74</v>
      </c>
      <c r="E800" t="str">
        <f>"080065808972"</f>
        <v>080065808972</v>
      </c>
      <c r="F800" s="3">
        <v>45814</v>
      </c>
      <c r="G800">
        <v>202603</v>
      </c>
      <c r="H800" t="s">
        <v>75</v>
      </c>
      <c r="I800" t="s">
        <v>76</v>
      </c>
      <c r="J800" t="s">
        <v>77</v>
      </c>
      <c r="K800" t="s">
        <v>78</v>
      </c>
      <c r="L800" t="s">
        <v>1097</v>
      </c>
      <c r="M800" t="s">
        <v>1098</v>
      </c>
      <c r="N800" t="s">
        <v>236</v>
      </c>
      <c r="O800" t="s">
        <v>82</v>
      </c>
      <c r="P800" t="str">
        <f>"4170042729                    "</f>
        <v xml:space="preserve">4170042729                    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16.32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1</v>
      </c>
      <c r="BI800">
        <v>1</v>
      </c>
      <c r="BJ800">
        <v>0.2</v>
      </c>
      <c r="BK800">
        <v>1</v>
      </c>
      <c r="BL800">
        <v>54.28</v>
      </c>
      <c r="BM800">
        <v>8.14</v>
      </c>
      <c r="BN800">
        <v>62.42</v>
      </c>
      <c r="BO800">
        <v>62.42</v>
      </c>
      <c r="BQ800" t="s">
        <v>237</v>
      </c>
      <c r="BR800" t="s">
        <v>84</v>
      </c>
      <c r="BS800" s="3">
        <v>45815</v>
      </c>
      <c r="BT800" s="4">
        <v>0.59583333333333333</v>
      </c>
      <c r="BU800" t="s">
        <v>1533</v>
      </c>
      <c r="BV800" t="s">
        <v>86</v>
      </c>
      <c r="BY800">
        <v>1200</v>
      </c>
      <c r="BZ800" t="s">
        <v>87</v>
      </c>
      <c r="CA800" t="s">
        <v>1534</v>
      </c>
      <c r="CC800" t="s">
        <v>1098</v>
      </c>
      <c r="CD800">
        <v>1451</v>
      </c>
      <c r="CE800" t="s">
        <v>215</v>
      </c>
      <c r="CF800" s="3">
        <v>45817</v>
      </c>
      <c r="CI800">
        <v>1</v>
      </c>
      <c r="CJ800">
        <v>0</v>
      </c>
      <c r="CK800">
        <v>22</v>
      </c>
      <c r="CL800" t="s">
        <v>90</v>
      </c>
    </row>
    <row r="801" spans="1:90" x14ac:dyDescent="0.3">
      <c r="A801" t="s">
        <v>72</v>
      </c>
      <c r="B801" t="s">
        <v>73</v>
      </c>
      <c r="C801" t="s">
        <v>74</v>
      </c>
      <c r="E801" t="str">
        <f>"080065809052"</f>
        <v>080065809052</v>
      </c>
      <c r="F801" s="3">
        <v>45814</v>
      </c>
      <c r="G801">
        <v>202603</v>
      </c>
      <c r="H801" t="s">
        <v>75</v>
      </c>
      <c r="I801" t="s">
        <v>76</v>
      </c>
      <c r="J801" t="s">
        <v>77</v>
      </c>
      <c r="K801" t="s">
        <v>78</v>
      </c>
      <c r="L801" t="s">
        <v>100</v>
      </c>
      <c r="M801" t="s">
        <v>101</v>
      </c>
      <c r="N801" t="s">
        <v>1535</v>
      </c>
      <c r="O801" t="s">
        <v>82</v>
      </c>
      <c r="P801" t="str">
        <f>"4170042507                    "</f>
        <v xml:space="preserve">4170042507                    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20.9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1</v>
      </c>
      <c r="BI801">
        <v>1</v>
      </c>
      <c r="BJ801">
        <v>0.9</v>
      </c>
      <c r="BK801">
        <v>1</v>
      </c>
      <c r="BL801">
        <v>69.5</v>
      </c>
      <c r="BM801">
        <v>10.43</v>
      </c>
      <c r="BN801">
        <v>79.930000000000007</v>
      </c>
      <c r="BO801">
        <v>79.930000000000007</v>
      </c>
      <c r="BQ801" t="s">
        <v>1536</v>
      </c>
      <c r="BR801" t="s">
        <v>84</v>
      </c>
      <c r="BS801" s="3">
        <v>45817</v>
      </c>
      <c r="BT801" s="4">
        <v>0.4201388888888889</v>
      </c>
      <c r="BU801" t="s">
        <v>1537</v>
      </c>
      <c r="BV801" t="s">
        <v>86</v>
      </c>
      <c r="BY801">
        <v>4560</v>
      </c>
      <c r="BZ801" t="s">
        <v>87</v>
      </c>
      <c r="CA801" t="s">
        <v>394</v>
      </c>
      <c r="CC801" t="s">
        <v>101</v>
      </c>
      <c r="CD801">
        <v>6001</v>
      </c>
      <c r="CE801" t="s">
        <v>180</v>
      </c>
      <c r="CF801" s="3">
        <v>45817</v>
      </c>
      <c r="CI801">
        <v>1</v>
      </c>
      <c r="CJ801">
        <v>1</v>
      </c>
      <c r="CK801">
        <v>21</v>
      </c>
      <c r="CL801" t="s">
        <v>90</v>
      </c>
    </row>
    <row r="802" spans="1:90" x14ac:dyDescent="0.3">
      <c r="A802" t="s">
        <v>72</v>
      </c>
      <c r="B802" t="s">
        <v>73</v>
      </c>
      <c r="C802" t="s">
        <v>74</v>
      </c>
      <c r="E802" t="str">
        <f>"080065809109"</f>
        <v>080065809109</v>
      </c>
      <c r="F802" s="3">
        <v>45814</v>
      </c>
      <c r="G802">
        <v>202603</v>
      </c>
      <c r="H802" t="s">
        <v>75</v>
      </c>
      <c r="I802" t="s">
        <v>76</v>
      </c>
      <c r="J802" t="s">
        <v>77</v>
      </c>
      <c r="K802" t="s">
        <v>78</v>
      </c>
      <c r="L802" t="s">
        <v>615</v>
      </c>
      <c r="M802" t="s">
        <v>616</v>
      </c>
      <c r="N802" t="s">
        <v>617</v>
      </c>
      <c r="O802" t="s">
        <v>82</v>
      </c>
      <c r="P802" t="str">
        <f>"4170042660                    "</f>
        <v xml:space="preserve">4170042660                    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40.49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1</v>
      </c>
      <c r="BI802">
        <v>1</v>
      </c>
      <c r="BJ802">
        <v>0.2</v>
      </c>
      <c r="BK802">
        <v>1</v>
      </c>
      <c r="BL802">
        <v>134.65</v>
      </c>
      <c r="BM802">
        <v>20.2</v>
      </c>
      <c r="BN802">
        <v>154.85</v>
      </c>
      <c r="BO802">
        <v>154.85</v>
      </c>
      <c r="BQ802" t="s">
        <v>618</v>
      </c>
      <c r="BR802" t="s">
        <v>84</v>
      </c>
      <c r="BS802" s="3">
        <v>45817</v>
      </c>
      <c r="BT802" s="4">
        <v>0.49444444444444446</v>
      </c>
      <c r="BU802" t="s">
        <v>1538</v>
      </c>
      <c r="BV802" t="s">
        <v>86</v>
      </c>
      <c r="BY802">
        <v>1200</v>
      </c>
      <c r="CA802" t="s">
        <v>866</v>
      </c>
      <c r="CC802" t="s">
        <v>616</v>
      </c>
      <c r="CD802">
        <v>6850</v>
      </c>
      <c r="CE802" t="s">
        <v>215</v>
      </c>
      <c r="CF802" s="3">
        <v>45818</v>
      </c>
      <c r="CI802">
        <v>2</v>
      </c>
      <c r="CJ802">
        <v>1</v>
      </c>
      <c r="CK802">
        <v>23</v>
      </c>
      <c r="CL802" t="s">
        <v>90</v>
      </c>
    </row>
    <row r="803" spans="1:90" x14ac:dyDescent="0.3">
      <c r="A803" t="s">
        <v>72</v>
      </c>
      <c r="B803" t="s">
        <v>73</v>
      </c>
      <c r="C803" t="s">
        <v>74</v>
      </c>
      <c r="E803" t="str">
        <f>"080065809300"</f>
        <v>080065809300</v>
      </c>
      <c r="F803" s="3">
        <v>45814</v>
      </c>
      <c r="G803">
        <v>202603</v>
      </c>
      <c r="H803" t="s">
        <v>75</v>
      </c>
      <c r="I803" t="s">
        <v>76</v>
      </c>
      <c r="J803" t="s">
        <v>77</v>
      </c>
      <c r="K803" t="s">
        <v>78</v>
      </c>
      <c r="L803" t="s">
        <v>116</v>
      </c>
      <c r="M803" t="s">
        <v>117</v>
      </c>
      <c r="N803" t="s">
        <v>183</v>
      </c>
      <c r="O803" t="s">
        <v>82</v>
      </c>
      <c r="P803" t="str">
        <f>"4170042289                    "</f>
        <v xml:space="preserve">4170042289                    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57.44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1</v>
      </c>
      <c r="BI803">
        <v>2</v>
      </c>
      <c r="BJ803">
        <v>5.4</v>
      </c>
      <c r="BK803">
        <v>5.5</v>
      </c>
      <c r="BL803">
        <v>191.02</v>
      </c>
      <c r="BM803">
        <v>28.65</v>
      </c>
      <c r="BN803">
        <v>219.67</v>
      </c>
      <c r="BO803">
        <v>219.67</v>
      </c>
      <c r="BQ803" t="s">
        <v>184</v>
      </c>
      <c r="BR803" t="s">
        <v>84</v>
      </c>
      <c r="BS803" s="3">
        <v>45817</v>
      </c>
      <c r="BT803" s="4">
        <v>0.47916666666666669</v>
      </c>
      <c r="BU803" t="s">
        <v>1278</v>
      </c>
      <c r="BV803" t="s">
        <v>86</v>
      </c>
      <c r="BY803">
        <v>27144</v>
      </c>
      <c r="BZ803" t="s">
        <v>87</v>
      </c>
      <c r="CA803" t="s">
        <v>186</v>
      </c>
      <c r="CC803" t="s">
        <v>117</v>
      </c>
      <c r="CD803">
        <v>3212</v>
      </c>
      <c r="CE803" t="s">
        <v>687</v>
      </c>
      <c r="CF803" s="3">
        <v>45818</v>
      </c>
      <c r="CI803">
        <v>2</v>
      </c>
      <c r="CJ803">
        <v>1</v>
      </c>
      <c r="CK803">
        <v>21</v>
      </c>
      <c r="CL803" t="s">
        <v>90</v>
      </c>
    </row>
    <row r="804" spans="1:90" x14ac:dyDescent="0.3">
      <c r="A804" t="s">
        <v>72</v>
      </c>
      <c r="B804" t="s">
        <v>73</v>
      </c>
      <c r="C804" t="s">
        <v>74</v>
      </c>
      <c r="E804" t="str">
        <f>"080065809303"</f>
        <v>080065809303</v>
      </c>
      <c r="F804" s="3">
        <v>45814</v>
      </c>
      <c r="G804">
        <v>202603</v>
      </c>
      <c r="H804" t="s">
        <v>75</v>
      </c>
      <c r="I804" t="s">
        <v>76</v>
      </c>
      <c r="J804" t="s">
        <v>77</v>
      </c>
      <c r="K804" t="s">
        <v>78</v>
      </c>
      <c r="L804" t="s">
        <v>663</v>
      </c>
      <c r="M804" t="s">
        <v>664</v>
      </c>
      <c r="N804" t="s">
        <v>723</v>
      </c>
      <c r="O804" t="s">
        <v>82</v>
      </c>
      <c r="P804" t="str">
        <f>"4170042333                    "</f>
        <v xml:space="preserve">4170042333                    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40.49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1</v>
      </c>
      <c r="BI804">
        <v>1</v>
      </c>
      <c r="BJ804">
        <v>0.2</v>
      </c>
      <c r="BK804">
        <v>1</v>
      </c>
      <c r="BL804">
        <v>134.65</v>
      </c>
      <c r="BM804">
        <v>20.2</v>
      </c>
      <c r="BN804">
        <v>154.85</v>
      </c>
      <c r="BO804">
        <v>154.85</v>
      </c>
      <c r="BQ804" t="s">
        <v>724</v>
      </c>
      <c r="BR804" t="s">
        <v>84</v>
      </c>
      <c r="BS804" s="3">
        <v>45817</v>
      </c>
      <c r="BT804" s="4">
        <v>0.375</v>
      </c>
      <c r="BU804" t="s">
        <v>725</v>
      </c>
      <c r="BV804" t="s">
        <v>86</v>
      </c>
      <c r="BY804">
        <v>1200</v>
      </c>
      <c r="BZ804" t="s">
        <v>87</v>
      </c>
      <c r="CC804" t="s">
        <v>664</v>
      </c>
      <c r="CD804">
        <v>1947</v>
      </c>
      <c r="CE804" t="s">
        <v>215</v>
      </c>
      <c r="CF804" s="3">
        <v>45817</v>
      </c>
      <c r="CI804">
        <v>1</v>
      </c>
      <c r="CJ804">
        <v>1</v>
      </c>
      <c r="CK804">
        <v>23</v>
      </c>
      <c r="CL804" t="s">
        <v>90</v>
      </c>
    </row>
    <row r="805" spans="1:90" x14ac:dyDescent="0.3">
      <c r="A805" t="s">
        <v>72</v>
      </c>
      <c r="B805" t="s">
        <v>73</v>
      </c>
      <c r="C805" t="s">
        <v>74</v>
      </c>
      <c r="E805" t="str">
        <f>"080065809341"</f>
        <v>080065809341</v>
      </c>
      <c r="F805" s="3">
        <v>45814</v>
      </c>
      <c r="G805">
        <v>202603</v>
      </c>
      <c r="H805" t="s">
        <v>75</v>
      </c>
      <c r="I805" t="s">
        <v>76</v>
      </c>
      <c r="J805" t="s">
        <v>77</v>
      </c>
      <c r="K805" t="s">
        <v>78</v>
      </c>
      <c r="L805" t="s">
        <v>1416</v>
      </c>
      <c r="M805" t="s">
        <v>1417</v>
      </c>
      <c r="N805" t="s">
        <v>1539</v>
      </c>
      <c r="O805" t="s">
        <v>82</v>
      </c>
      <c r="P805" t="str">
        <f>"4170042554                    "</f>
        <v xml:space="preserve">4170042554                    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16.32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1</v>
      </c>
      <c r="BI805">
        <v>1</v>
      </c>
      <c r="BJ805">
        <v>0.2</v>
      </c>
      <c r="BK805">
        <v>1</v>
      </c>
      <c r="BL805">
        <v>54.28</v>
      </c>
      <c r="BM805">
        <v>8.14</v>
      </c>
      <c r="BN805">
        <v>62.42</v>
      </c>
      <c r="BO805">
        <v>62.42</v>
      </c>
      <c r="BQ805" t="s">
        <v>1540</v>
      </c>
      <c r="BR805" t="s">
        <v>84</v>
      </c>
      <c r="BS805" s="3">
        <v>45817</v>
      </c>
      <c r="BT805" s="4">
        <v>0.38958333333333334</v>
      </c>
      <c r="BU805" t="s">
        <v>1541</v>
      </c>
      <c r="BV805" t="s">
        <v>86</v>
      </c>
      <c r="BY805">
        <v>1200</v>
      </c>
      <c r="BZ805" t="s">
        <v>87</v>
      </c>
      <c r="CA805" t="s">
        <v>743</v>
      </c>
      <c r="CC805" t="s">
        <v>1417</v>
      </c>
      <c r="CD805">
        <v>1709</v>
      </c>
      <c r="CE805" t="s">
        <v>215</v>
      </c>
      <c r="CF805" s="3">
        <v>45817</v>
      </c>
      <c r="CI805">
        <v>1</v>
      </c>
      <c r="CJ805">
        <v>1</v>
      </c>
      <c r="CK805">
        <v>22</v>
      </c>
      <c r="CL805" t="s">
        <v>90</v>
      </c>
    </row>
    <row r="806" spans="1:90" x14ac:dyDescent="0.3">
      <c r="A806" t="s">
        <v>72</v>
      </c>
      <c r="B806" t="s">
        <v>73</v>
      </c>
      <c r="C806" t="s">
        <v>74</v>
      </c>
      <c r="E806" t="str">
        <f>"080065809349"</f>
        <v>080065809349</v>
      </c>
      <c r="F806" s="3">
        <v>45814</v>
      </c>
      <c r="G806">
        <v>202603</v>
      </c>
      <c r="H806" t="s">
        <v>75</v>
      </c>
      <c r="I806" t="s">
        <v>76</v>
      </c>
      <c r="J806" t="s">
        <v>77</v>
      </c>
      <c r="K806" t="s">
        <v>78</v>
      </c>
      <c r="L806" t="s">
        <v>996</v>
      </c>
      <c r="M806" t="s">
        <v>997</v>
      </c>
      <c r="N806" t="s">
        <v>998</v>
      </c>
      <c r="O806" t="s">
        <v>82</v>
      </c>
      <c r="P806" t="str">
        <f>"4170042618                    "</f>
        <v xml:space="preserve">4170042618                    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40.49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1</v>
      </c>
      <c r="BI806">
        <v>2</v>
      </c>
      <c r="BJ806">
        <v>1.1000000000000001</v>
      </c>
      <c r="BK806">
        <v>2</v>
      </c>
      <c r="BL806">
        <v>134.65</v>
      </c>
      <c r="BM806">
        <v>20.2</v>
      </c>
      <c r="BN806">
        <v>154.85</v>
      </c>
      <c r="BO806">
        <v>154.85</v>
      </c>
      <c r="BQ806" t="s">
        <v>999</v>
      </c>
      <c r="BR806" t="s">
        <v>84</v>
      </c>
      <c r="BS806" s="3">
        <v>45817</v>
      </c>
      <c r="BT806" s="4">
        <v>0.41666666666666669</v>
      </c>
      <c r="BU806" t="s">
        <v>1000</v>
      </c>
      <c r="BV806" t="s">
        <v>86</v>
      </c>
      <c r="BY806">
        <v>5280</v>
      </c>
      <c r="BZ806" t="s">
        <v>87</v>
      </c>
      <c r="CA806" t="s">
        <v>1001</v>
      </c>
      <c r="CC806" t="s">
        <v>997</v>
      </c>
      <c r="CD806">
        <v>3310</v>
      </c>
      <c r="CE806" t="s">
        <v>292</v>
      </c>
      <c r="CF806" s="3">
        <v>45817</v>
      </c>
      <c r="CI806">
        <v>1</v>
      </c>
      <c r="CJ806">
        <v>1</v>
      </c>
      <c r="CK806">
        <v>23</v>
      </c>
      <c r="CL806" t="s">
        <v>90</v>
      </c>
    </row>
    <row r="807" spans="1:90" x14ac:dyDescent="0.3">
      <c r="A807" t="s">
        <v>72</v>
      </c>
      <c r="B807" t="s">
        <v>73</v>
      </c>
      <c r="C807" t="s">
        <v>74</v>
      </c>
      <c r="E807" t="str">
        <f>"080065809376"</f>
        <v>080065809376</v>
      </c>
      <c r="F807" s="3">
        <v>45814</v>
      </c>
      <c r="G807">
        <v>202603</v>
      </c>
      <c r="H807" t="s">
        <v>75</v>
      </c>
      <c r="I807" t="s">
        <v>76</v>
      </c>
      <c r="J807" t="s">
        <v>77</v>
      </c>
      <c r="K807" t="s">
        <v>78</v>
      </c>
      <c r="L807" t="s">
        <v>159</v>
      </c>
      <c r="M807" t="s">
        <v>160</v>
      </c>
      <c r="N807" t="s">
        <v>1542</v>
      </c>
      <c r="O807" t="s">
        <v>82</v>
      </c>
      <c r="P807" t="str">
        <f>"4170042702                    "</f>
        <v xml:space="preserve">4170042702                    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16.32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1</v>
      </c>
      <c r="BI807">
        <v>1</v>
      </c>
      <c r="BJ807">
        <v>0.2</v>
      </c>
      <c r="BK807">
        <v>1</v>
      </c>
      <c r="BL807">
        <v>54.28</v>
      </c>
      <c r="BM807">
        <v>8.14</v>
      </c>
      <c r="BN807">
        <v>62.42</v>
      </c>
      <c r="BO807">
        <v>62.42</v>
      </c>
      <c r="BQ807" t="s">
        <v>1543</v>
      </c>
      <c r="BR807" t="s">
        <v>84</v>
      </c>
      <c r="BS807" s="3">
        <v>45817</v>
      </c>
      <c r="BT807" s="4">
        <v>0.43263888888888891</v>
      </c>
      <c r="BU807" t="s">
        <v>1544</v>
      </c>
      <c r="BV807" t="s">
        <v>86</v>
      </c>
      <c r="BY807">
        <v>1200</v>
      </c>
      <c r="CA807" t="s">
        <v>444</v>
      </c>
      <c r="CC807" t="s">
        <v>160</v>
      </c>
      <c r="CD807">
        <v>2190</v>
      </c>
      <c r="CE807" t="s">
        <v>215</v>
      </c>
      <c r="CF807" s="3">
        <v>45818</v>
      </c>
      <c r="CI807">
        <v>1</v>
      </c>
      <c r="CJ807">
        <v>1</v>
      </c>
      <c r="CK807">
        <v>22</v>
      </c>
      <c r="CL807" t="s">
        <v>90</v>
      </c>
    </row>
    <row r="808" spans="1:90" x14ac:dyDescent="0.3">
      <c r="A808" t="s">
        <v>72</v>
      </c>
      <c r="B808" t="s">
        <v>73</v>
      </c>
      <c r="C808" t="s">
        <v>74</v>
      </c>
      <c r="E808" t="str">
        <f>"080065809398"</f>
        <v>080065809398</v>
      </c>
      <c r="F808" s="3">
        <v>45814</v>
      </c>
      <c r="G808">
        <v>202603</v>
      </c>
      <c r="H808" t="s">
        <v>75</v>
      </c>
      <c r="I808" t="s">
        <v>76</v>
      </c>
      <c r="J808" t="s">
        <v>77</v>
      </c>
      <c r="K808" t="s">
        <v>78</v>
      </c>
      <c r="L808" t="s">
        <v>100</v>
      </c>
      <c r="M808" t="s">
        <v>101</v>
      </c>
      <c r="N808" t="s">
        <v>398</v>
      </c>
      <c r="O808" t="s">
        <v>82</v>
      </c>
      <c r="P808" t="str">
        <f>"4170042557                    "</f>
        <v xml:space="preserve">4170042557                    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20.9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1</v>
      </c>
      <c r="BI808">
        <v>1</v>
      </c>
      <c r="BJ808">
        <v>0.2</v>
      </c>
      <c r="BK808">
        <v>1</v>
      </c>
      <c r="BL808">
        <v>69.5</v>
      </c>
      <c r="BM808">
        <v>10.43</v>
      </c>
      <c r="BN808">
        <v>79.930000000000007</v>
      </c>
      <c r="BO808">
        <v>79.930000000000007</v>
      </c>
      <c r="BQ808" t="s">
        <v>399</v>
      </c>
      <c r="BR808" t="s">
        <v>84</v>
      </c>
      <c r="BS808" s="3">
        <v>45817</v>
      </c>
      <c r="BT808" s="4">
        <v>0.39027777777777778</v>
      </c>
      <c r="BU808" t="s">
        <v>1545</v>
      </c>
      <c r="BV808" t="s">
        <v>86</v>
      </c>
      <c r="BY808">
        <v>1200</v>
      </c>
      <c r="BZ808" t="s">
        <v>87</v>
      </c>
      <c r="CA808" t="s">
        <v>223</v>
      </c>
      <c r="CC808" t="s">
        <v>101</v>
      </c>
      <c r="CD808">
        <v>6001</v>
      </c>
      <c r="CE808" t="s">
        <v>89</v>
      </c>
      <c r="CF808" s="3">
        <v>45817</v>
      </c>
      <c r="CI808">
        <v>1</v>
      </c>
      <c r="CJ808">
        <v>1</v>
      </c>
      <c r="CK808">
        <v>21</v>
      </c>
      <c r="CL808" t="s">
        <v>90</v>
      </c>
    </row>
    <row r="809" spans="1:90" x14ac:dyDescent="0.3">
      <c r="A809" t="s">
        <v>72</v>
      </c>
      <c r="B809" t="s">
        <v>73</v>
      </c>
      <c r="C809" t="s">
        <v>74</v>
      </c>
      <c r="E809" t="str">
        <f>"080065809418"</f>
        <v>080065809418</v>
      </c>
      <c r="F809" s="3">
        <v>45814</v>
      </c>
      <c r="G809">
        <v>202603</v>
      </c>
      <c r="H809" t="s">
        <v>75</v>
      </c>
      <c r="I809" t="s">
        <v>76</v>
      </c>
      <c r="J809" t="s">
        <v>77</v>
      </c>
      <c r="K809" t="s">
        <v>78</v>
      </c>
      <c r="L809" t="s">
        <v>1526</v>
      </c>
      <c r="M809" t="s">
        <v>1527</v>
      </c>
      <c r="N809" t="s">
        <v>1546</v>
      </c>
      <c r="O809" t="s">
        <v>82</v>
      </c>
      <c r="P809" t="str">
        <f>"4170042796                    "</f>
        <v xml:space="preserve">4170042796                    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507.86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459.99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1</v>
      </c>
      <c r="BI809">
        <v>13</v>
      </c>
      <c r="BJ809">
        <v>4.0999999999999996</v>
      </c>
      <c r="BK809">
        <v>13</v>
      </c>
      <c r="BL809">
        <v>1529.73</v>
      </c>
      <c r="BM809">
        <v>229.46</v>
      </c>
      <c r="BN809">
        <v>1759.19</v>
      </c>
      <c r="BO809">
        <v>1759.19</v>
      </c>
      <c r="BQ809" t="s">
        <v>1547</v>
      </c>
      <c r="BR809" t="s">
        <v>84</v>
      </c>
      <c r="BS809" s="3">
        <v>45815</v>
      </c>
      <c r="BT809" s="4">
        <v>0.63194444444444442</v>
      </c>
      <c r="BU809" t="s">
        <v>1548</v>
      </c>
      <c r="BV809" t="s">
        <v>86</v>
      </c>
      <c r="BY809">
        <v>20358</v>
      </c>
      <c r="BZ809" t="s">
        <v>1549</v>
      </c>
      <c r="CC809" t="s">
        <v>1527</v>
      </c>
      <c r="CD809">
        <v>4400</v>
      </c>
      <c r="CE809" t="s">
        <v>99</v>
      </c>
      <c r="CF809" s="3">
        <v>45818</v>
      </c>
      <c r="CI809">
        <v>1</v>
      </c>
      <c r="CJ809">
        <v>0</v>
      </c>
      <c r="CK809">
        <v>23</v>
      </c>
      <c r="CL809" t="s">
        <v>90</v>
      </c>
    </row>
    <row r="810" spans="1:90" x14ac:dyDescent="0.3">
      <c r="A810" t="s">
        <v>72</v>
      </c>
      <c r="B810" t="s">
        <v>73</v>
      </c>
      <c r="C810" t="s">
        <v>74</v>
      </c>
      <c r="E810" t="str">
        <f>"080065809422"</f>
        <v>080065809422</v>
      </c>
      <c r="F810" s="3">
        <v>45814</v>
      </c>
      <c r="G810">
        <v>202603</v>
      </c>
      <c r="H810" t="s">
        <v>75</v>
      </c>
      <c r="I810" t="s">
        <v>76</v>
      </c>
      <c r="J810" t="s">
        <v>77</v>
      </c>
      <c r="K810" t="s">
        <v>78</v>
      </c>
      <c r="L810" t="s">
        <v>1550</v>
      </c>
      <c r="M810" t="s">
        <v>1551</v>
      </c>
      <c r="N810" t="s">
        <v>1552</v>
      </c>
      <c r="O810" t="s">
        <v>82</v>
      </c>
      <c r="P810" t="str">
        <f>"4170042774                    "</f>
        <v xml:space="preserve">4170042774                    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40.49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1</v>
      </c>
      <c r="BI810">
        <v>1</v>
      </c>
      <c r="BJ810">
        <v>0.2</v>
      </c>
      <c r="BK810">
        <v>1</v>
      </c>
      <c r="BL810">
        <v>134.65</v>
      </c>
      <c r="BM810">
        <v>20.2</v>
      </c>
      <c r="BN810">
        <v>154.85</v>
      </c>
      <c r="BO810">
        <v>154.85</v>
      </c>
      <c r="BQ810" t="s">
        <v>1553</v>
      </c>
      <c r="BR810" t="s">
        <v>84</v>
      </c>
      <c r="BS810" s="3">
        <v>45817</v>
      </c>
      <c r="BT810" s="4">
        <v>0.6020833333333333</v>
      </c>
      <c r="BU810" t="s">
        <v>1553</v>
      </c>
      <c r="BV810" t="s">
        <v>86</v>
      </c>
      <c r="BY810">
        <v>1200</v>
      </c>
      <c r="BZ810" t="s">
        <v>87</v>
      </c>
      <c r="CA810" t="s">
        <v>1554</v>
      </c>
      <c r="CC810" t="s">
        <v>1551</v>
      </c>
      <c r="CD810">
        <v>7395</v>
      </c>
      <c r="CE810" t="s">
        <v>89</v>
      </c>
      <c r="CF810" s="3">
        <v>45817</v>
      </c>
      <c r="CI810">
        <v>1</v>
      </c>
      <c r="CJ810">
        <v>1</v>
      </c>
      <c r="CK810">
        <v>23</v>
      </c>
      <c r="CL810" t="s">
        <v>90</v>
      </c>
    </row>
    <row r="811" spans="1:90" x14ac:dyDescent="0.3">
      <c r="A811" t="s">
        <v>72</v>
      </c>
      <c r="B811" t="s">
        <v>73</v>
      </c>
      <c r="C811" t="s">
        <v>74</v>
      </c>
      <c r="E811" t="str">
        <f>"080065809443"</f>
        <v>080065809443</v>
      </c>
      <c r="F811" s="3">
        <v>45814</v>
      </c>
      <c r="G811">
        <v>202603</v>
      </c>
      <c r="H811" t="s">
        <v>75</v>
      </c>
      <c r="I811" t="s">
        <v>76</v>
      </c>
      <c r="J811" t="s">
        <v>77</v>
      </c>
      <c r="K811" t="s">
        <v>78</v>
      </c>
      <c r="L811" t="s">
        <v>91</v>
      </c>
      <c r="M811" t="s">
        <v>92</v>
      </c>
      <c r="N811" t="s">
        <v>93</v>
      </c>
      <c r="O811" t="s">
        <v>82</v>
      </c>
      <c r="P811" t="str">
        <f>"4170042358                    "</f>
        <v xml:space="preserve">4170042358                    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20.9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1</v>
      </c>
      <c r="BI811">
        <v>1</v>
      </c>
      <c r="BJ811">
        <v>0.2</v>
      </c>
      <c r="BK811">
        <v>1</v>
      </c>
      <c r="BL811">
        <v>69.5</v>
      </c>
      <c r="BM811">
        <v>10.43</v>
      </c>
      <c r="BN811">
        <v>79.930000000000007</v>
      </c>
      <c r="BO811">
        <v>79.930000000000007</v>
      </c>
      <c r="BQ811" t="s">
        <v>95</v>
      </c>
      <c r="BR811" t="s">
        <v>84</v>
      </c>
      <c r="BS811" s="3">
        <v>45817</v>
      </c>
      <c r="BT811" s="4">
        <v>0.37638888888888888</v>
      </c>
      <c r="BU811" t="s">
        <v>290</v>
      </c>
      <c r="BV811" t="s">
        <v>86</v>
      </c>
      <c r="BY811">
        <v>1200</v>
      </c>
      <c r="BZ811" t="s">
        <v>87</v>
      </c>
      <c r="CA811" t="s">
        <v>291</v>
      </c>
      <c r="CC811" t="s">
        <v>92</v>
      </c>
      <c r="CD811">
        <v>7441</v>
      </c>
      <c r="CE811" t="s">
        <v>89</v>
      </c>
      <c r="CF811" s="3">
        <v>45818</v>
      </c>
      <c r="CI811">
        <v>1</v>
      </c>
      <c r="CJ811">
        <v>1</v>
      </c>
      <c r="CK811">
        <v>21</v>
      </c>
      <c r="CL811" t="s">
        <v>90</v>
      </c>
    </row>
    <row r="812" spans="1:90" x14ac:dyDescent="0.3">
      <c r="A812" t="s">
        <v>72</v>
      </c>
      <c r="B812" t="s">
        <v>73</v>
      </c>
      <c r="C812" t="s">
        <v>74</v>
      </c>
      <c r="E812" t="str">
        <f>"080065809464"</f>
        <v>080065809464</v>
      </c>
      <c r="F812" s="3">
        <v>45814</v>
      </c>
      <c r="G812">
        <v>202603</v>
      </c>
      <c r="H812" t="s">
        <v>75</v>
      </c>
      <c r="I812" t="s">
        <v>76</v>
      </c>
      <c r="J812" t="s">
        <v>77</v>
      </c>
      <c r="K812" t="s">
        <v>78</v>
      </c>
      <c r="L812" t="s">
        <v>266</v>
      </c>
      <c r="M812" t="s">
        <v>267</v>
      </c>
      <c r="N812" t="s">
        <v>268</v>
      </c>
      <c r="O812" t="s">
        <v>82</v>
      </c>
      <c r="P812" t="str">
        <f>"4170042656                    "</f>
        <v xml:space="preserve">4170042656                    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20.9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1</v>
      </c>
      <c r="BI812">
        <v>1</v>
      </c>
      <c r="BJ812">
        <v>0.2</v>
      </c>
      <c r="BK812">
        <v>1</v>
      </c>
      <c r="BL812">
        <v>69.5</v>
      </c>
      <c r="BM812">
        <v>10.43</v>
      </c>
      <c r="BN812">
        <v>79.930000000000007</v>
      </c>
      <c r="BO812">
        <v>79.930000000000007</v>
      </c>
      <c r="BQ812" t="s">
        <v>269</v>
      </c>
      <c r="BR812" t="s">
        <v>84</v>
      </c>
      <c r="BS812" s="3">
        <v>45817</v>
      </c>
      <c r="BT812" s="4">
        <v>0.35069444444444442</v>
      </c>
      <c r="BU812" t="s">
        <v>1555</v>
      </c>
      <c r="BV812" t="s">
        <v>86</v>
      </c>
      <c r="BY812">
        <v>1200</v>
      </c>
      <c r="BZ812" t="s">
        <v>87</v>
      </c>
      <c r="CA812" t="s">
        <v>271</v>
      </c>
      <c r="CC812" t="s">
        <v>267</v>
      </c>
      <c r="CD812">
        <v>6229</v>
      </c>
      <c r="CE812" t="s">
        <v>89</v>
      </c>
      <c r="CF812" s="3">
        <v>45817</v>
      </c>
      <c r="CI812">
        <v>1</v>
      </c>
      <c r="CJ812">
        <v>1</v>
      </c>
      <c r="CK812">
        <v>21</v>
      </c>
      <c r="CL812" t="s">
        <v>90</v>
      </c>
    </row>
    <row r="813" spans="1:90" x14ac:dyDescent="0.3">
      <c r="A813" t="s">
        <v>72</v>
      </c>
      <c r="B813" t="s">
        <v>73</v>
      </c>
      <c r="C813" t="s">
        <v>74</v>
      </c>
      <c r="E813" t="str">
        <f>"080065809606"</f>
        <v>080065809606</v>
      </c>
      <c r="F813" s="3">
        <v>45814</v>
      </c>
      <c r="G813">
        <v>202603</v>
      </c>
      <c r="H813" t="s">
        <v>75</v>
      </c>
      <c r="I813" t="s">
        <v>76</v>
      </c>
      <c r="J813" t="s">
        <v>77</v>
      </c>
      <c r="K813" t="s">
        <v>78</v>
      </c>
      <c r="L813" t="s">
        <v>1416</v>
      </c>
      <c r="M813" t="s">
        <v>1417</v>
      </c>
      <c r="N813" t="s">
        <v>1556</v>
      </c>
      <c r="O813" t="s">
        <v>82</v>
      </c>
      <c r="P813" t="str">
        <f>"4170042523                    "</f>
        <v xml:space="preserve">4170042523                    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16.32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1</v>
      </c>
      <c r="BI813">
        <v>3</v>
      </c>
      <c r="BJ813">
        <v>5</v>
      </c>
      <c r="BK813">
        <v>5</v>
      </c>
      <c r="BL813">
        <v>54.28</v>
      </c>
      <c r="BM813">
        <v>8.14</v>
      </c>
      <c r="BN813">
        <v>62.42</v>
      </c>
      <c r="BO813">
        <v>62.42</v>
      </c>
      <c r="BQ813" t="s">
        <v>1557</v>
      </c>
      <c r="BR813" t="s">
        <v>84</v>
      </c>
      <c r="BS813" s="3">
        <v>45817</v>
      </c>
      <c r="BT813" s="4">
        <v>0.40763888888888888</v>
      </c>
      <c r="BU813" t="s">
        <v>1558</v>
      </c>
      <c r="BV813" t="s">
        <v>86</v>
      </c>
      <c r="BY813">
        <v>24882</v>
      </c>
      <c r="BZ813" t="s">
        <v>87</v>
      </c>
      <c r="CA813" t="s">
        <v>743</v>
      </c>
      <c r="CC813" t="s">
        <v>1417</v>
      </c>
      <c r="CD813">
        <v>1709</v>
      </c>
      <c r="CE813" t="s">
        <v>99</v>
      </c>
      <c r="CF813" s="3">
        <v>45817</v>
      </c>
      <c r="CI813">
        <v>1</v>
      </c>
      <c r="CJ813">
        <v>1</v>
      </c>
      <c r="CK813">
        <v>22</v>
      </c>
      <c r="CL813" t="s">
        <v>90</v>
      </c>
    </row>
    <row r="814" spans="1:90" x14ac:dyDescent="0.3">
      <c r="A814" t="s">
        <v>72</v>
      </c>
      <c r="B814" t="s">
        <v>73</v>
      </c>
      <c r="C814" t="s">
        <v>74</v>
      </c>
      <c r="E814" t="str">
        <f>"080065809641"</f>
        <v>080065809641</v>
      </c>
      <c r="F814" s="3">
        <v>45814</v>
      </c>
      <c r="G814">
        <v>202603</v>
      </c>
      <c r="H814" t="s">
        <v>75</v>
      </c>
      <c r="I814" t="s">
        <v>76</v>
      </c>
      <c r="J814" t="s">
        <v>77</v>
      </c>
      <c r="K814" t="s">
        <v>78</v>
      </c>
      <c r="L814" t="s">
        <v>1230</v>
      </c>
      <c r="M814" t="s">
        <v>1231</v>
      </c>
      <c r="N814" t="s">
        <v>1232</v>
      </c>
      <c r="O814" t="s">
        <v>94</v>
      </c>
      <c r="P814" t="str">
        <f>"4170042550                    "</f>
        <v xml:space="preserve">4170042550                    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68.64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1</v>
      </c>
      <c r="BI814">
        <v>7</v>
      </c>
      <c r="BJ814">
        <v>18.3</v>
      </c>
      <c r="BK814">
        <v>19</v>
      </c>
      <c r="BL814">
        <v>233.84</v>
      </c>
      <c r="BM814">
        <v>35.08</v>
      </c>
      <c r="BN814">
        <v>268.92</v>
      </c>
      <c r="BO814">
        <v>268.92</v>
      </c>
      <c r="BQ814" t="s">
        <v>1233</v>
      </c>
      <c r="BR814" t="s">
        <v>84</v>
      </c>
      <c r="BS814" s="3">
        <v>45817</v>
      </c>
      <c r="BT814" s="4">
        <v>0.70902777777777781</v>
      </c>
      <c r="BU814" t="s">
        <v>1234</v>
      </c>
      <c r="BV814" t="s">
        <v>86</v>
      </c>
      <c r="BY814">
        <v>91264</v>
      </c>
      <c r="BZ814" t="s">
        <v>97</v>
      </c>
      <c r="CA814" t="s">
        <v>1235</v>
      </c>
      <c r="CC814" t="s">
        <v>1231</v>
      </c>
      <c r="CD814">
        <v>9880</v>
      </c>
      <c r="CE814" t="s">
        <v>99</v>
      </c>
      <c r="CF814" s="3">
        <v>45817</v>
      </c>
      <c r="CI814">
        <v>1</v>
      </c>
      <c r="CJ814">
        <v>1</v>
      </c>
      <c r="CK814">
        <v>43</v>
      </c>
      <c r="CL814" t="s">
        <v>90</v>
      </c>
    </row>
    <row r="815" spans="1:90" x14ac:dyDescent="0.3">
      <c r="A815" t="s">
        <v>72</v>
      </c>
      <c r="B815" t="s">
        <v>73</v>
      </c>
      <c r="C815" t="s">
        <v>74</v>
      </c>
      <c r="E815" t="str">
        <f>"080065809844"</f>
        <v>080065809844</v>
      </c>
      <c r="F815" s="3">
        <v>45814</v>
      </c>
      <c r="G815">
        <v>202603</v>
      </c>
      <c r="H815" t="s">
        <v>75</v>
      </c>
      <c r="I815" t="s">
        <v>76</v>
      </c>
      <c r="J815" t="s">
        <v>77</v>
      </c>
      <c r="K815" t="s">
        <v>78</v>
      </c>
      <c r="L815" t="s">
        <v>575</v>
      </c>
      <c r="M815" t="s">
        <v>576</v>
      </c>
      <c r="N815" t="s">
        <v>1464</v>
      </c>
      <c r="O815" t="s">
        <v>82</v>
      </c>
      <c r="P815" t="str">
        <f>"4170042754                    "</f>
        <v xml:space="preserve">4170042754                    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131.91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1</v>
      </c>
      <c r="BI815">
        <v>7</v>
      </c>
      <c r="BJ815">
        <v>3.4</v>
      </c>
      <c r="BK815">
        <v>7</v>
      </c>
      <c r="BL815">
        <v>438.67</v>
      </c>
      <c r="BM815">
        <v>65.8</v>
      </c>
      <c r="BN815">
        <v>504.47</v>
      </c>
      <c r="BO815">
        <v>504.47</v>
      </c>
      <c r="BQ815" t="s">
        <v>1465</v>
      </c>
      <c r="BR815" t="s">
        <v>84</v>
      </c>
      <c r="BS815" s="3">
        <v>45817</v>
      </c>
      <c r="BT815" s="4">
        <v>0.4201388888888889</v>
      </c>
      <c r="BU815" t="s">
        <v>1559</v>
      </c>
      <c r="BV815" t="s">
        <v>86</v>
      </c>
      <c r="BY815">
        <v>16965</v>
      </c>
      <c r="BZ815" t="s">
        <v>87</v>
      </c>
      <c r="CA815" t="s">
        <v>1560</v>
      </c>
      <c r="CC815" t="s">
        <v>576</v>
      </c>
      <c r="CD815">
        <v>1961</v>
      </c>
      <c r="CE815" t="s">
        <v>166</v>
      </c>
      <c r="CF815" s="3">
        <v>45818</v>
      </c>
      <c r="CI815">
        <v>1</v>
      </c>
      <c r="CJ815">
        <v>1</v>
      </c>
      <c r="CK815">
        <v>23</v>
      </c>
      <c r="CL815" t="s">
        <v>90</v>
      </c>
    </row>
    <row r="816" spans="1:90" x14ac:dyDescent="0.3">
      <c r="A816" t="s">
        <v>72</v>
      </c>
      <c r="B816" t="s">
        <v>73</v>
      </c>
      <c r="C816" t="s">
        <v>74</v>
      </c>
      <c r="E816" t="str">
        <f>"080065809852"</f>
        <v>080065809852</v>
      </c>
      <c r="F816" s="3">
        <v>45814</v>
      </c>
      <c r="G816">
        <v>202603</v>
      </c>
      <c r="H816" t="s">
        <v>75</v>
      </c>
      <c r="I816" t="s">
        <v>76</v>
      </c>
      <c r="J816" t="s">
        <v>77</v>
      </c>
      <c r="K816" t="s">
        <v>78</v>
      </c>
      <c r="L816" t="s">
        <v>75</v>
      </c>
      <c r="M816" t="s">
        <v>76</v>
      </c>
      <c r="N816" t="s">
        <v>147</v>
      </c>
      <c r="O816" t="s">
        <v>82</v>
      </c>
      <c r="P816" t="str">
        <f>"4170042652                    "</f>
        <v xml:space="preserve">4170042652                    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16.32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1</v>
      </c>
      <c r="BI816">
        <v>1</v>
      </c>
      <c r="BJ816">
        <v>0.2</v>
      </c>
      <c r="BK816">
        <v>1</v>
      </c>
      <c r="BL816">
        <v>54.28</v>
      </c>
      <c r="BM816">
        <v>8.14</v>
      </c>
      <c r="BN816">
        <v>62.42</v>
      </c>
      <c r="BO816">
        <v>62.42</v>
      </c>
      <c r="BQ816" t="s">
        <v>148</v>
      </c>
      <c r="BR816" t="s">
        <v>84</v>
      </c>
      <c r="BS816" s="3">
        <v>45817</v>
      </c>
      <c r="BT816" s="4">
        <v>0.30694444444444446</v>
      </c>
      <c r="BU816" t="s">
        <v>1561</v>
      </c>
      <c r="BV816" t="s">
        <v>86</v>
      </c>
      <c r="BY816">
        <v>1200</v>
      </c>
      <c r="CA816" t="s">
        <v>115</v>
      </c>
      <c r="CC816" t="s">
        <v>76</v>
      </c>
      <c r="CD816">
        <v>1600</v>
      </c>
      <c r="CE816" t="s">
        <v>215</v>
      </c>
      <c r="CF816" s="3">
        <v>45818</v>
      </c>
      <c r="CI816">
        <v>1</v>
      </c>
      <c r="CJ816">
        <v>1</v>
      </c>
      <c r="CK816">
        <v>22</v>
      </c>
      <c r="CL816" t="s">
        <v>90</v>
      </c>
    </row>
    <row r="817" spans="1:90" x14ac:dyDescent="0.3">
      <c r="A817" t="s">
        <v>72</v>
      </c>
      <c r="B817" t="s">
        <v>73</v>
      </c>
      <c r="C817" t="s">
        <v>74</v>
      </c>
      <c r="E817" t="str">
        <f>"080065809873"</f>
        <v>080065809873</v>
      </c>
      <c r="F817" s="3">
        <v>45814</v>
      </c>
      <c r="G817">
        <v>202603</v>
      </c>
      <c r="H817" t="s">
        <v>75</v>
      </c>
      <c r="I817" t="s">
        <v>76</v>
      </c>
      <c r="J817" t="s">
        <v>77</v>
      </c>
      <c r="K817" t="s">
        <v>78</v>
      </c>
      <c r="L817" t="s">
        <v>91</v>
      </c>
      <c r="M817" t="s">
        <v>92</v>
      </c>
      <c r="N817" t="s">
        <v>540</v>
      </c>
      <c r="O817" t="s">
        <v>82</v>
      </c>
      <c r="P817" t="str">
        <f>"4170042360                    "</f>
        <v xml:space="preserve">4170042360                    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20.9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1</v>
      </c>
      <c r="BI817">
        <v>1</v>
      </c>
      <c r="BJ817">
        <v>0.2</v>
      </c>
      <c r="BK817">
        <v>1</v>
      </c>
      <c r="BL817">
        <v>69.5</v>
      </c>
      <c r="BM817">
        <v>10.43</v>
      </c>
      <c r="BN817">
        <v>79.930000000000007</v>
      </c>
      <c r="BO817">
        <v>79.930000000000007</v>
      </c>
      <c r="BQ817" t="s">
        <v>541</v>
      </c>
      <c r="BR817" t="s">
        <v>84</v>
      </c>
      <c r="BS817" s="3">
        <v>45817</v>
      </c>
      <c r="BT817" s="4">
        <v>0.42499999999999999</v>
      </c>
      <c r="BU817" t="s">
        <v>1106</v>
      </c>
      <c r="BV817" t="s">
        <v>86</v>
      </c>
      <c r="BY817">
        <v>1200</v>
      </c>
      <c r="BZ817" t="s">
        <v>87</v>
      </c>
      <c r="CA817" t="s">
        <v>291</v>
      </c>
      <c r="CC817" t="s">
        <v>92</v>
      </c>
      <c r="CD817">
        <v>7441</v>
      </c>
      <c r="CE817" t="s">
        <v>89</v>
      </c>
      <c r="CF817" s="3">
        <v>45818</v>
      </c>
      <c r="CI817">
        <v>1</v>
      </c>
      <c r="CJ817">
        <v>1</v>
      </c>
      <c r="CK817">
        <v>21</v>
      </c>
      <c r="CL817" t="s">
        <v>90</v>
      </c>
    </row>
    <row r="818" spans="1:90" x14ac:dyDescent="0.3">
      <c r="A818" t="s">
        <v>72</v>
      </c>
      <c r="B818" t="s">
        <v>73</v>
      </c>
      <c r="C818" t="s">
        <v>74</v>
      </c>
      <c r="E818" t="str">
        <f>"080065809884"</f>
        <v>080065809884</v>
      </c>
      <c r="F818" s="3">
        <v>45814</v>
      </c>
      <c r="G818">
        <v>202603</v>
      </c>
      <c r="H818" t="s">
        <v>75</v>
      </c>
      <c r="I818" t="s">
        <v>76</v>
      </c>
      <c r="J818" t="s">
        <v>77</v>
      </c>
      <c r="K818" t="s">
        <v>78</v>
      </c>
      <c r="L818" t="s">
        <v>293</v>
      </c>
      <c r="M818" t="s">
        <v>294</v>
      </c>
      <c r="N818" t="s">
        <v>1191</v>
      </c>
      <c r="O818" t="s">
        <v>82</v>
      </c>
      <c r="P818" t="str">
        <f>"4170042757                    "</f>
        <v xml:space="preserve">4170042757                    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168.47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1</v>
      </c>
      <c r="BI818">
        <v>9</v>
      </c>
      <c r="BJ818">
        <v>3.6</v>
      </c>
      <c r="BK818">
        <v>9</v>
      </c>
      <c r="BL818">
        <v>560.27</v>
      </c>
      <c r="BM818">
        <v>84.04</v>
      </c>
      <c r="BN818">
        <v>644.30999999999995</v>
      </c>
      <c r="BO818">
        <v>644.30999999999995</v>
      </c>
      <c r="BQ818" t="s">
        <v>1192</v>
      </c>
      <c r="BR818" t="s">
        <v>84</v>
      </c>
      <c r="BS818" s="3">
        <v>45817</v>
      </c>
      <c r="BT818" s="4">
        <v>0.35972222222222222</v>
      </c>
      <c r="BU818" t="s">
        <v>1562</v>
      </c>
      <c r="BV818" t="s">
        <v>86</v>
      </c>
      <c r="BY818">
        <v>18096</v>
      </c>
      <c r="BZ818" t="s">
        <v>87</v>
      </c>
      <c r="CA818" t="s">
        <v>945</v>
      </c>
      <c r="CC818" t="s">
        <v>294</v>
      </c>
      <c r="CD818">
        <v>1900</v>
      </c>
      <c r="CE818" t="s">
        <v>99</v>
      </c>
      <c r="CF818" s="3">
        <v>45817</v>
      </c>
      <c r="CI818">
        <v>1</v>
      </c>
      <c r="CJ818">
        <v>1</v>
      </c>
      <c r="CK818">
        <v>23</v>
      </c>
      <c r="CL818" t="s">
        <v>90</v>
      </c>
    </row>
    <row r="819" spans="1:90" x14ac:dyDescent="0.3">
      <c r="A819" t="s">
        <v>72</v>
      </c>
      <c r="B819" t="s">
        <v>73</v>
      </c>
      <c r="C819" t="s">
        <v>74</v>
      </c>
      <c r="E819" t="str">
        <f>"080065809917"</f>
        <v>080065809917</v>
      </c>
      <c r="F819" s="3">
        <v>45814</v>
      </c>
      <c r="G819">
        <v>202603</v>
      </c>
      <c r="H819" t="s">
        <v>75</v>
      </c>
      <c r="I819" t="s">
        <v>76</v>
      </c>
      <c r="J819" t="s">
        <v>77</v>
      </c>
      <c r="K819" t="s">
        <v>78</v>
      </c>
      <c r="L819" t="s">
        <v>174</v>
      </c>
      <c r="M819" t="s">
        <v>175</v>
      </c>
      <c r="N819" t="s">
        <v>176</v>
      </c>
      <c r="O819" t="s">
        <v>82</v>
      </c>
      <c r="P819" t="str">
        <f>"4170042688                    "</f>
        <v xml:space="preserve">4170042688                    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20.9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1</v>
      </c>
      <c r="BI819">
        <v>1</v>
      </c>
      <c r="BJ819">
        <v>0.2</v>
      </c>
      <c r="BK819">
        <v>1</v>
      </c>
      <c r="BL819">
        <v>69.5</v>
      </c>
      <c r="BM819">
        <v>10.43</v>
      </c>
      <c r="BN819">
        <v>79.930000000000007</v>
      </c>
      <c r="BO819">
        <v>79.930000000000007</v>
      </c>
      <c r="BQ819" t="s">
        <v>177</v>
      </c>
      <c r="BR819" t="s">
        <v>84</v>
      </c>
      <c r="BS819" s="3">
        <v>45817</v>
      </c>
      <c r="BT819" s="4">
        <v>0.4201388888888889</v>
      </c>
      <c r="BU819" t="s">
        <v>178</v>
      </c>
      <c r="BV819" t="s">
        <v>86</v>
      </c>
      <c r="BY819">
        <v>1200</v>
      </c>
      <c r="CA819" t="s">
        <v>179</v>
      </c>
      <c r="CC819" t="s">
        <v>175</v>
      </c>
      <c r="CD819">
        <v>3610</v>
      </c>
      <c r="CE819" t="s">
        <v>215</v>
      </c>
      <c r="CF819" s="3">
        <v>45818</v>
      </c>
      <c r="CI819">
        <v>1</v>
      </c>
      <c r="CJ819">
        <v>1</v>
      </c>
      <c r="CK819">
        <v>21</v>
      </c>
      <c r="CL819" t="s">
        <v>90</v>
      </c>
    </row>
    <row r="820" spans="1:90" x14ac:dyDescent="0.3">
      <c r="A820" t="s">
        <v>72</v>
      </c>
      <c r="B820" t="s">
        <v>73</v>
      </c>
      <c r="C820" t="s">
        <v>74</v>
      </c>
      <c r="E820" t="str">
        <f>"080065809953"</f>
        <v>080065809953</v>
      </c>
      <c r="F820" s="3">
        <v>45814</v>
      </c>
      <c r="G820">
        <v>202603</v>
      </c>
      <c r="H820" t="s">
        <v>75</v>
      </c>
      <c r="I820" t="s">
        <v>76</v>
      </c>
      <c r="J820" t="s">
        <v>77</v>
      </c>
      <c r="K820" t="s">
        <v>78</v>
      </c>
      <c r="L820" t="s">
        <v>1097</v>
      </c>
      <c r="M820" t="s">
        <v>1098</v>
      </c>
      <c r="N820" t="s">
        <v>236</v>
      </c>
      <c r="O820" t="s">
        <v>82</v>
      </c>
      <c r="P820" t="str">
        <f>"4170042730                    "</f>
        <v xml:space="preserve">4170042730                    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16.32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1</v>
      </c>
      <c r="BJ820">
        <v>1.1000000000000001</v>
      </c>
      <c r="BK820">
        <v>2</v>
      </c>
      <c r="BL820">
        <v>54.28</v>
      </c>
      <c r="BM820">
        <v>8.14</v>
      </c>
      <c r="BN820">
        <v>62.42</v>
      </c>
      <c r="BO820">
        <v>62.42</v>
      </c>
      <c r="BQ820" t="s">
        <v>237</v>
      </c>
      <c r="BR820" t="s">
        <v>84</v>
      </c>
      <c r="BS820" s="3">
        <v>45815</v>
      </c>
      <c r="BT820" s="4">
        <v>0.59583333333333333</v>
      </c>
      <c r="BU820" t="s">
        <v>1563</v>
      </c>
      <c r="BV820" t="s">
        <v>86</v>
      </c>
      <c r="BY820">
        <v>5320</v>
      </c>
      <c r="BZ820" t="s">
        <v>87</v>
      </c>
      <c r="CA820" t="s">
        <v>1534</v>
      </c>
      <c r="CC820" t="s">
        <v>1098</v>
      </c>
      <c r="CD820">
        <v>1451</v>
      </c>
      <c r="CE820" t="s">
        <v>99</v>
      </c>
      <c r="CF820" s="3">
        <v>45817</v>
      </c>
      <c r="CI820">
        <v>1</v>
      </c>
      <c r="CJ820">
        <v>0</v>
      </c>
      <c r="CK820">
        <v>22</v>
      </c>
      <c r="CL820" t="s">
        <v>90</v>
      </c>
    </row>
    <row r="821" spans="1:90" x14ac:dyDescent="0.3">
      <c r="A821" t="s">
        <v>72</v>
      </c>
      <c r="B821" t="s">
        <v>73</v>
      </c>
      <c r="C821" t="s">
        <v>74</v>
      </c>
      <c r="E821" t="str">
        <f>"080065809967"</f>
        <v>080065809967</v>
      </c>
      <c r="F821" s="3">
        <v>45814</v>
      </c>
      <c r="G821">
        <v>202603</v>
      </c>
      <c r="H821" t="s">
        <v>75</v>
      </c>
      <c r="I821" t="s">
        <v>76</v>
      </c>
      <c r="J821" t="s">
        <v>77</v>
      </c>
      <c r="K821" t="s">
        <v>78</v>
      </c>
      <c r="L821" t="s">
        <v>75</v>
      </c>
      <c r="M821" t="s">
        <v>76</v>
      </c>
      <c r="N821" t="s">
        <v>272</v>
      </c>
      <c r="O821" t="s">
        <v>82</v>
      </c>
      <c r="P821" t="str">
        <f>"4170042255                    "</f>
        <v xml:space="preserve">4170042255                    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16.32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1</v>
      </c>
      <c r="BI821">
        <v>1</v>
      </c>
      <c r="BJ821">
        <v>0.2</v>
      </c>
      <c r="BK821">
        <v>1</v>
      </c>
      <c r="BL821">
        <v>54.28</v>
      </c>
      <c r="BM821">
        <v>8.14</v>
      </c>
      <c r="BN821">
        <v>62.42</v>
      </c>
      <c r="BO821">
        <v>62.42</v>
      </c>
      <c r="BQ821" t="s">
        <v>273</v>
      </c>
      <c r="BR821" t="s">
        <v>84</v>
      </c>
      <c r="BS821" s="3">
        <v>45817</v>
      </c>
      <c r="BT821" s="4">
        <v>0.42430555555555555</v>
      </c>
      <c r="BU821" t="s">
        <v>274</v>
      </c>
      <c r="BV821" t="s">
        <v>86</v>
      </c>
      <c r="BY821">
        <v>1200</v>
      </c>
      <c r="BZ821" t="s">
        <v>87</v>
      </c>
      <c r="CA821" t="s">
        <v>193</v>
      </c>
      <c r="CC821" t="s">
        <v>76</v>
      </c>
      <c r="CD821">
        <v>1600</v>
      </c>
      <c r="CE821" t="s">
        <v>89</v>
      </c>
      <c r="CF821" s="3">
        <v>45817</v>
      </c>
      <c r="CI821">
        <v>1</v>
      </c>
      <c r="CJ821">
        <v>1</v>
      </c>
      <c r="CK821">
        <v>22</v>
      </c>
      <c r="CL821" t="s">
        <v>90</v>
      </c>
    </row>
    <row r="822" spans="1:90" x14ac:dyDescent="0.3">
      <c r="A822" t="s">
        <v>72</v>
      </c>
      <c r="B822" t="s">
        <v>73</v>
      </c>
      <c r="C822" t="s">
        <v>74</v>
      </c>
      <c r="E822" t="str">
        <f>"080065810004"</f>
        <v>080065810004</v>
      </c>
      <c r="F822" s="3">
        <v>45814</v>
      </c>
      <c r="G822">
        <v>202603</v>
      </c>
      <c r="H822" t="s">
        <v>75</v>
      </c>
      <c r="I822" t="s">
        <v>76</v>
      </c>
      <c r="J822" t="s">
        <v>77</v>
      </c>
      <c r="K822" t="s">
        <v>78</v>
      </c>
      <c r="L822" t="s">
        <v>75</v>
      </c>
      <c r="M822" t="s">
        <v>76</v>
      </c>
      <c r="N822" t="s">
        <v>525</v>
      </c>
      <c r="O822" t="s">
        <v>82</v>
      </c>
      <c r="P822" t="str">
        <f>"4170042316                    "</f>
        <v xml:space="preserve">4170042316                    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16.32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1</v>
      </c>
      <c r="BI822">
        <v>1</v>
      </c>
      <c r="BJ822">
        <v>0.2</v>
      </c>
      <c r="BK822">
        <v>1</v>
      </c>
      <c r="BL822">
        <v>54.28</v>
      </c>
      <c r="BM822">
        <v>8.14</v>
      </c>
      <c r="BN822">
        <v>62.42</v>
      </c>
      <c r="BO822">
        <v>62.42</v>
      </c>
      <c r="BQ822" t="s">
        <v>526</v>
      </c>
      <c r="BR822" t="s">
        <v>84</v>
      </c>
      <c r="BS822" s="3">
        <v>45817</v>
      </c>
      <c r="BT822" s="4">
        <v>0.33333333333333331</v>
      </c>
      <c r="BU822" t="s">
        <v>1019</v>
      </c>
      <c r="BV822" t="s">
        <v>86</v>
      </c>
      <c r="BY822">
        <v>1200</v>
      </c>
      <c r="CA822" t="s">
        <v>219</v>
      </c>
      <c r="CC822" t="s">
        <v>76</v>
      </c>
      <c r="CD822">
        <v>1645</v>
      </c>
      <c r="CE822" t="s">
        <v>215</v>
      </c>
      <c r="CF822" s="3">
        <v>45817</v>
      </c>
      <c r="CI822">
        <v>1</v>
      </c>
      <c r="CJ822">
        <v>1</v>
      </c>
      <c r="CK822">
        <v>22</v>
      </c>
      <c r="CL822" t="s">
        <v>90</v>
      </c>
    </row>
    <row r="823" spans="1:90" x14ac:dyDescent="0.3">
      <c r="A823" t="s">
        <v>72</v>
      </c>
      <c r="B823" t="s">
        <v>73</v>
      </c>
      <c r="C823" t="s">
        <v>74</v>
      </c>
      <c r="E823" t="str">
        <f>"080065810009"</f>
        <v>080065810009</v>
      </c>
      <c r="F823" s="3">
        <v>45814</v>
      </c>
      <c r="G823">
        <v>202603</v>
      </c>
      <c r="H823" t="s">
        <v>75</v>
      </c>
      <c r="I823" t="s">
        <v>76</v>
      </c>
      <c r="J823" t="s">
        <v>77</v>
      </c>
      <c r="K823" t="s">
        <v>78</v>
      </c>
      <c r="L823" t="s">
        <v>116</v>
      </c>
      <c r="M823" t="s">
        <v>117</v>
      </c>
      <c r="N823" t="s">
        <v>1016</v>
      </c>
      <c r="O823" t="s">
        <v>82</v>
      </c>
      <c r="P823" t="str">
        <f>"4170042538                    "</f>
        <v xml:space="preserve">4170042538                    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41.78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1</v>
      </c>
      <c r="BI823">
        <v>4</v>
      </c>
      <c r="BJ823">
        <v>1.1000000000000001</v>
      </c>
      <c r="BK823">
        <v>4</v>
      </c>
      <c r="BL823">
        <v>138.94</v>
      </c>
      <c r="BM823">
        <v>20.84</v>
      </c>
      <c r="BN823">
        <v>159.78</v>
      </c>
      <c r="BO823">
        <v>159.78</v>
      </c>
      <c r="BQ823" t="s">
        <v>1017</v>
      </c>
      <c r="BR823" t="s">
        <v>84</v>
      </c>
      <c r="BS823" s="3">
        <v>45817</v>
      </c>
      <c r="BT823" s="4">
        <v>0.41666666666666669</v>
      </c>
      <c r="BU823" t="s">
        <v>1018</v>
      </c>
      <c r="BV823" t="s">
        <v>86</v>
      </c>
      <c r="BY823">
        <v>5320</v>
      </c>
      <c r="BZ823" t="s">
        <v>87</v>
      </c>
      <c r="CA823" t="s">
        <v>121</v>
      </c>
      <c r="CC823" t="s">
        <v>117</v>
      </c>
      <c r="CD823">
        <v>3201</v>
      </c>
      <c r="CE823" t="s">
        <v>99</v>
      </c>
      <c r="CF823" s="3">
        <v>45818</v>
      </c>
      <c r="CI823">
        <v>1</v>
      </c>
      <c r="CJ823">
        <v>1</v>
      </c>
      <c r="CK823">
        <v>21</v>
      </c>
      <c r="CL823" t="s">
        <v>90</v>
      </c>
    </row>
    <row r="824" spans="1:90" x14ac:dyDescent="0.3">
      <c r="A824" t="s">
        <v>72</v>
      </c>
      <c r="B824" t="s">
        <v>73</v>
      </c>
      <c r="C824" t="s">
        <v>74</v>
      </c>
      <c r="E824" t="str">
        <f>"080065810032"</f>
        <v>080065810032</v>
      </c>
      <c r="F824" s="3">
        <v>45814</v>
      </c>
      <c r="G824">
        <v>202603</v>
      </c>
      <c r="H824" t="s">
        <v>75</v>
      </c>
      <c r="I824" t="s">
        <v>76</v>
      </c>
      <c r="J824" t="s">
        <v>77</v>
      </c>
      <c r="K824" t="s">
        <v>78</v>
      </c>
      <c r="L824" t="s">
        <v>311</v>
      </c>
      <c r="M824" t="s">
        <v>312</v>
      </c>
      <c r="N824" t="s">
        <v>313</v>
      </c>
      <c r="O824" t="s">
        <v>82</v>
      </c>
      <c r="P824" t="str">
        <f>"4170042643                    "</f>
        <v xml:space="preserve">4170042643                    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40.49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1</v>
      </c>
      <c r="BI824">
        <v>1</v>
      </c>
      <c r="BJ824">
        <v>0.2</v>
      </c>
      <c r="BK824">
        <v>1</v>
      </c>
      <c r="BL824">
        <v>134.65</v>
      </c>
      <c r="BM824">
        <v>20.2</v>
      </c>
      <c r="BN824">
        <v>154.85</v>
      </c>
      <c r="BO824">
        <v>154.85</v>
      </c>
      <c r="BQ824" t="s">
        <v>314</v>
      </c>
      <c r="BR824" t="s">
        <v>84</v>
      </c>
      <c r="BS824" s="3">
        <v>45818</v>
      </c>
      <c r="BT824" s="4">
        <v>0.53472222222222221</v>
      </c>
      <c r="BU824" t="s">
        <v>315</v>
      </c>
      <c r="BV824" t="s">
        <v>90</v>
      </c>
      <c r="BW824" t="s">
        <v>144</v>
      </c>
      <c r="BX824" t="s">
        <v>367</v>
      </c>
      <c r="BY824">
        <v>1200</v>
      </c>
      <c r="CA824" t="s">
        <v>316</v>
      </c>
      <c r="CC824" t="s">
        <v>312</v>
      </c>
      <c r="CD824">
        <v>1028</v>
      </c>
      <c r="CE824" t="s">
        <v>215</v>
      </c>
      <c r="CF824" s="3">
        <v>45818</v>
      </c>
      <c r="CI824">
        <v>1</v>
      </c>
      <c r="CJ824">
        <v>2</v>
      </c>
      <c r="CK824">
        <v>23</v>
      </c>
      <c r="CL824" t="s">
        <v>90</v>
      </c>
    </row>
    <row r="825" spans="1:90" x14ac:dyDescent="0.3">
      <c r="A825" t="s">
        <v>72</v>
      </c>
      <c r="B825" t="s">
        <v>73</v>
      </c>
      <c r="C825" t="s">
        <v>74</v>
      </c>
      <c r="E825" t="str">
        <f>"080065810041"</f>
        <v>080065810041</v>
      </c>
      <c r="F825" s="3">
        <v>45814</v>
      </c>
      <c r="G825">
        <v>202603</v>
      </c>
      <c r="H825" t="s">
        <v>75</v>
      </c>
      <c r="I825" t="s">
        <v>76</v>
      </c>
      <c r="J825" t="s">
        <v>77</v>
      </c>
      <c r="K825" t="s">
        <v>78</v>
      </c>
      <c r="L825" t="s">
        <v>350</v>
      </c>
      <c r="M825" t="s">
        <v>351</v>
      </c>
      <c r="N825" t="s">
        <v>933</v>
      </c>
      <c r="O825" t="s">
        <v>82</v>
      </c>
      <c r="P825" t="str">
        <f>"4170042539                    "</f>
        <v xml:space="preserve">4170042539                    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20.9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1</v>
      </c>
      <c r="BI825">
        <v>2</v>
      </c>
      <c r="BJ825">
        <v>0.9</v>
      </c>
      <c r="BK825">
        <v>2</v>
      </c>
      <c r="BL825">
        <v>69.5</v>
      </c>
      <c r="BM825">
        <v>10.43</v>
      </c>
      <c r="BN825">
        <v>79.930000000000007</v>
      </c>
      <c r="BO825">
        <v>79.930000000000007</v>
      </c>
      <c r="BQ825" t="s">
        <v>934</v>
      </c>
      <c r="BR825" t="s">
        <v>84</v>
      </c>
      <c r="BS825" s="3">
        <v>45817</v>
      </c>
      <c r="BT825" s="4">
        <v>0.36458333333333331</v>
      </c>
      <c r="BU825" t="s">
        <v>935</v>
      </c>
      <c r="BV825" t="s">
        <v>86</v>
      </c>
      <c r="BY825">
        <v>4275</v>
      </c>
      <c r="BZ825" t="s">
        <v>87</v>
      </c>
      <c r="CA825" t="s">
        <v>515</v>
      </c>
      <c r="CC825" t="s">
        <v>351</v>
      </c>
      <c r="CD825">
        <v>157</v>
      </c>
      <c r="CE825" t="s">
        <v>180</v>
      </c>
      <c r="CF825" s="3">
        <v>45817</v>
      </c>
      <c r="CI825">
        <v>1</v>
      </c>
      <c r="CJ825">
        <v>1</v>
      </c>
      <c r="CK825">
        <v>21</v>
      </c>
      <c r="CL825" t="s">
        <v>90</v>
      </c>
    </row>
    <row r="826" spans="1:90" x14ac:dyDescent="0.3">
      <c r="A826" t="s">
        <v>72</v>
      </c>
      <c r="B826" t="s">
        <v>73</v>
      </c>
      <c r="C826" t="s">
        <v>74</v>
      </c>
      <c r="E826" t="str">
        <f>"080065810049"</f>
        <v>080065810049</v>
      </c>
      <c r="F826" s="3">
        <v>45814</v>
      </c>
      <c r="G826">
        <v>202603</v>
      </c>
      <c r="H826" t="s">
        <v>75</v>
      </c>
      <c r="I826" t="s">
        <v>76</v>
      </c>
      <c r="J826" t="s">
        <v>77</v>
      </c>
      <c r="K826" t="s">
        <v>78</v>
      </c>
      <c r="L826" t="s">
        <v>79</v>
      </c>
      <c r="M826" t="s">
        <v>80</v>
      </c>
      <c r="N826" t="s">
        <v>81</v>
      </c>
      <c r="O826" t="s">
        <v>82</v>
      </c>
      <c r="P826" t="str">
        <f>"4170042671                    "</f>
        <v xml:space="preserve">4170042671                    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29.39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1</v>
      </c>
      <c r="BI826">
        <v>1</v>
      </c>
      <c r="BJ826">
        <v>0.2</v>
      </c>
      <c r="BK826">
        <v>1</v>
      </c>
      <c r="BL826">
        <v>97.74</v>
      </c>
      <c r="BM826">
        <v>14.66</v>
      </c>
      <c r="BN826">
        <v>112.4</v>
      </c>
      <c r="BO826">
        <v>112.4</v>
      </c>
      <c r="BQ826" t="s">
        <v>83</v>
      </c>
      <c r="BR826" t="s">
        <v>84</v>
      </c>
      <c r="BS826" s="3">
        <v>45817</v>
      </c>
      <c r="BT826" s="4">
        <v>0.48055555555555557</v>
      </c>
      <c r="BU826" t="s">
        <v>85</v>
      </c>
      <c r="BV826" t="s">
        <v>86</v>
      </c>
      <c r="BY826">
        <v>1200</v>
      </c>
      <c r="BZ826" t="s">
        <v>87</v>
      </c>
      <c r="CA826" t="s">
        <v>88</v>
      </c>
      <c r="CC826" t="s">
        <v>80</v>
      </c>
      <c r="CD826">
        <v>1739</v>
      </c>
      <c r="CE826" t="s">
        <v>89</v>
      </c>
      <c r="CF826" s="3">
        <v>45817</v>
      </c>
      <c r="CI826">
        <v>1</v>
      </c>
      <c r="CJ826">
        <v>1</v>
      </c>
      <c r="CK826">
        <v>24</v>
      </c>
      <c r="CL826" t="s">
        <v>90</v>
      </c>
    </row>
    <row r="827" spans="1:90" x14ac:dyDescent="0.3">
      <c r="A827" t="s">
        <v>72</v>
      </c>
      <c r="B827" t="s">
        <v>73</v>
      </c>
      <c r="C827" t="s">
        <v>74</v>
      </c>
      <c r="E827" t="str">
        <f>"080065810063"</f>
        <v>080065810063</v>
      </c>
      <c r="F827" s="3">
        <v>45814</v>
      </c>
      <c r="G827">
        <v>202603</v>
      </c>
      <c r="H827" t="s">
        <v>75</v>
      </c>
      <c r="I827" t="s">
        <v>76</v>
      </c>
      <c r="J827" t="s">
        <v>77</v>
      </c>
      <c r="K827" t="s">
        <v>78</v>
      </c>
      <c r="L827" t="s">
        <v>130</v>
      </c>
      <c r="M827" t="s">
        <v>131</v>
      </c>
      <c r="N827" t="s">
        <v>451</v>
      </c>
      <c r="O827" t="s">
        <v>82</v>
      </c>
      <c r="P827" t="str">
        <f>"4170042689                    "</f>
        <v xml:space="preserve">4170042689                    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16.32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1</v>
      </c>
      <c r="BI827">
        <v>1</v>
      </c>
      <c r="BJ827">
        <v>0.9</v>
      </c>
      <c r="BK827">
        <v>1</v>
      </c>
      <c r="BL827">
        <v>54.28</v>
      </c>
      <c r="BM827">
        <v>8.14</v>
      </c>
      <c r="BN827">
        <v>62.42</v>
      </c>
      <c r="BO827">
        <v>62.42</v>
      </c>
      <c r="BQ827" t="s">
        <v>452</v>
      </c>
      <c r="BR827" t="s">
        <v>84</v>
      </c>
      <c r="BS827" s="3">
        <v>45817</v>
      </c>
      <c r="BT827" s="4">
        <v>0.40972222222222221</v>
      </c>
      <c r="BU827" t="s">
        <v>1564</v>
      </c>
      <c r="BV827" t="s">
        <v>86</v>
      </c>
      <c r="BY827">
        <v>4275</v>
      </c>
      <c r="BZ827" t="s">
        <v>87</v>
      </c>
      <c r="CA827" t="s">
        <v>454</v>
      </c>
      <c r="CC827" t="s">
        <v>131</v>
      </c>
      <c r="CD827">
        <v>1459</v>
      </c>
      <c r="CE827" t="s">
        <v>180</v>
      </c>
      <c r="CF827" s="3">
        <v>45817</v>
      </c>
      <c r="CI827">
        <v>1</v>
      </c>
      <c r="CJ827">
        <v>1</v>
      </c>
      <c r="CK827">
        <v>22</v>
      </c>
      <c r="CL827" t="s">
        <v>90</v>
      </c>
    </row>
    <row r="828" spans="1:90" x14ac:dyDescent="0.3">
      <c r="A828" t="s">
        <v>72</v>
      </c>
      <c r="B828" t="s">
        <v>73</v>
      </c>
      <c r="C828" t="s">
        <v>74</v>
      </c>
      <c r="E828" t="str">
        <f>"080065810067"</f>
        <v>080065810067</v>
      </c>
      <c r="F828" s="3">
        <v>45814</v>
      </c>
      <c r="G828">
        <v>202603</v>
      </c>
      <c r="H828" t="s">
        <v>75</v>
      </c>
      <c r="I828" t="s">
        <v>76</v>
      </c>
      <c r="J828" t="s">
        <v>77</v>
      </c>
      <c r="K828" t="s">
        <v>78</v>
      </c>
      <c r="L828" t="s">
        <v>106</v>
      </c>
      <c r="M828" t="s">
        <v>107</v>
      </c>
      <c r="N828" t="s">
        <v>1565</v>
      </c>
      <c r="O828" t="s">
        <v>82</v>
      </c>
      <c r="P828" t="str">
        <f>"4170042291                    "</f>
        <v xml:space="preserve">4170042291                    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20.9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1</v>
      </c>
      <c r="BI828">
        <v>1</v>
      </c>
      <c r="BJ828">
        <v>0.2</v>
      </c>
      <c r="BK828">
        <v>1</v>
      </c>
      <c r="BL828">
        <v>69.5</v>
      </c>
      <c r="BM828">
        <v>10.43</v>
      </c>
      <c r="BN828">
        <v>79.930000000000007</v>
      </c>
      <c r="BO828">
        <v>79.930000000000007</v>
      </c>
      <c r="BQ828" t="s">
        <v>1566</v>
      </c>
      <c r="BR828" t="s">
        <v>84</v>
      </c>
      <c r="BS828" s="3">
        <v>45817</v>
      </c>
      <c r="BT828" s="4">
        <v>0.3923611111111111</v>
      </c>
      <c r="BU828" t="s">
        <v>1567</v>
      </c>
      <c r="BV828" t="s">
        <v>86</v>
      </c>
      <c r="BY828">
        <v>1200</v>
      </c>
      <c r="BZ828" t="s">
        <v>87</v>
      </c>
      <c r="CA828" t="s">
        <v>111</v>
      </c>
      <c r="CC828" t="s">
        <v>107</v>
      </c>
      <c r="CD828">
        <v>200</v>
      </c>
      <c r="CE828" t="s">
        <v>89</v>
      </c>
      <c r="CF828" s="3">
        <v>45817</v>
      </c>
      <c r="CI828">
        <v>1</v>
      </c>
      <c r="CJ828">
        <v>1</v>
      </c>
      <c r="CK828">
        <v>21</v>
      </c>
      <c r="CL828" t="s">
        <v>90</v>
      </c>
    </row>
    <row r="829" spans="1:90" x14ac:dyDescent="0.3">
      <c r="A829" t="s">
        <v>72</v>
      </c>
      <c r="B829" t="s">
        <v>73</v>
      </c>
      <c r="C829" t="s">
        <v>74</v>
      </c>
      <c r="E829" t="str">
        <f>"080065810087"</f>
        <v>080065810087</v>
      </c>
      <c r="F829" s="3">
        <v>45814</v>
      </c>
      <c r="G829">
        <v>202603</v>
      </c>
      <c r="H829" t="s">
        <v>75</v>
      </c>
      <c r="I829" t="s">
        <v>76</v>
      </c>
      <c r="J829" t="s">
        <v>77</v>
      </c>
      <c r="K829" t="s">
        <v>78</v>
      </c>
      <c r="L829" t="s">
        <v>106</v>
      </c>
      <c r="M829" t="s">
        <v>107</v>
      </c>
      <c r="N829" t="s">
        <v>1393</v>
      </c>
      <c r="O829" t="s">
        <v>82</v>
      </c>
      <c r="P829" t="str">
        <f>"4170042397                    "</f>
        <v xml:space="preserve">4170042397                    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20.9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1</v>
      </c>
      <c r="BI829">
        <v>1</v>
      </c>
      <c r="BJ829">
        <v>0.2</v>
      </c>
      <c r="BK829">
        <v>1</v>
      </c>
      <c r="BL829">
        <v>69.5</v>
      </c>
      <c r="BM829">
        <v>10.43</v>
      </c>
      <c r="BN829">
        <v>79.930000000000007</v>
      </c>
      <c r="BO829">
        <v>79.930000000000007</v>
      </c>
      <c r="BQ829" t="s">
        <v>1394</v>
      </c>
      <c r="BR829" t="s">
        <v>84</v>
      </c>
      <c r="BS829" s="3">
        <v>45817</v>
      </c>
      <c r="BT829" s="4">
        <v>0.38333333333333336</v>
      </c>
      <c r="BU829" t="s">
        <v>1568</v>
      </c>
      <c r="BV829" t="s">
        <v>86</v>
      </c>
      <c r="BY829">
        <v>1200</v>
      </c>
      <c r="BZ829" t="s">
        <v>87</v>
      </c>
      <c r="CA829" t="s">
        <v>1396</v>
      </c>
      <c r="CC829" t="s">
        <v>107</v>
      </c>
      <c r="CD829">
        <v>2</v>
      </c>
      <c r="CE829" t="s">
        <v>89</v>
      </c>
      <c r="CF829" s="3">
        <v>45817</v>
      </c>
      <c r="CI829">
        <v>1</v>
      </c>
      <c r="CJ829">
        <v>1</v>
      </c>
      <c r="CK829">
        <v>21</v>
      </c>
      <c r="CL829" t="s">
        <v>90</v>
      </c>
    </row>
    <row r="830" spans="1:90" x14ac:dyDescent="0.3">
      <c r="A830" t="s">
        <v>72</v>
      </c>
      <c r="B830" t="s">
        <v>73</v>
      </c>
      <c r="C830" t="s">
        <v>74</v>
      </c>
      <c r="E830" t="str">
        <f>"080065810092"</f>
        <v>080065810092</v>
      </c>
      <c r="F830" s="3">
        <v>45814</v>
      </c>
      <c r="G830">
        <v>202603</v>
      </c>
      <c r="H830" t="s">
        <v>75</v>
      </c>
      <c r="I830" t="s">
        <v>76</v>
      </c>
      <c r="J830" t="s">
        <v>77</v>
      </c>
      <c r="K830" t="s">
        <v>78</v>
      </c>
      <c r="L830" t="s">
        <v>174</v>
      </c>
      <c r="M830" t="s">
        <v>175</v>
      </c>
      <c r="N830" t="s">
        <v>982</v>
      </c>
      <c r="O830" t="s">
        <v>82</v>
      </c>
      <c r="P830" t="str">
        <f>"4170042625                    "</f>
        <v xml:space="preserve">4170042625                    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31.34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1</v>
      </c>
      <c r="BI830">
        <v>2</v>
      </c>
      <c r="BJ830">
        <v>2.7</v>
      </c>
      <c r="BK830">
        <v>3</v>
      </c>
      <c r="BL830">
        <v>104.22</v>
      </c>
      <c r="BM830">
        <v>15.63</v>
      </c>
      <c r="BN830">
        <v>119.85</v>
      </c>
      <c r="BO830">
        <v>119.85</v>
      </c>
      <c r="BQ830" t="s">
        <v>983</v>
      </c>
      <c r="BR830" t="s">
        <v>84</v>
      </c>
      <c r="BS830" s="3">
        <v>45817</v>
      </c>
      <c r="BT830" s="4">
        <v>0.41805555555555557</v>
      </c>
      <c r="BU830" t="s">
        <v>1569</v>
      </c>
      <c r="BV830" t="s">
        <v>86</v>
      </c>
      <c r="BY830">
        <v>13440</v>
      </c>
      <c r="CA830" t="s">
        <v>179</v>
      </c>
      <c r="CC830" t="s">
        <v>175</v>
      </c>
      <c r="CD830">
        <v>3620</v>
      </c>
      <c r="CE830" t="s">
        <v>166</v>
      </c>
      <c r="CF830" s="3">
        <v>45818</v>
      </c>
      <c r="CI830">
        <v>1</v>
      </c>
      <c r="CJ830">
        <v>1</v>
      </c>
      <c r="CK830">
        <v>21</v>
      </c>
      <c r="CL830" t="s">
        <v>90</v>
      </c>
    </row>
    <row r="831" spans="1:90" x14ac:dyDescent="0.3">
      <c r="A831" t="s">
        <v>72</v>
      </c>
      <c r="B831" t="s">
        <v>73</v>
      </c>
      <c r="C831" t="s">
        <v>74</v>
      </c>
      <c r="E831" t="str">
        <f>"080065810114"</f>
        <v>080065810114</v>
      </c>
      <c r="F831" s="3">
        <v>45814</v>
      </c>
      <c r="G831">
        <v>202603</v>
      </c>
      <c r="H831" t="s">
        <v>75</v>
      </c>
      <c r="I831" t="s">
        <v>76</v>
      </c>
      <c r="J831" t="s">
        <v>77</v>
      </c>
      <c r="K831" t="s">
        <v>78</v>
      </c>
      <c r="L831" t="s">
        <v>331</v>
      </c>
      <c r="M831" t="s">
        <v>332</v>
      </c>
      <c r="N831" t="s">
        <v>484</v>
      </c>
      <c r="O831" t="s">
        <v>82</v>
      </c>
      <c r="P831" t="str">
        <f>"4170042758                    "</f>
        <v xml:space="preserve">4170042758                    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20.9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1</v>
      </c>
      <c r="BI831">
        <v>1</v>
      </c>
      <c r="BJ831">
        <v>0.2</v>
      </c>
      <c r="BK831">
        <v>1</v>
      </c>
      <c r="BL831">
        <v>69.5</v>
      </c>
      <c r="BM831">
        <v>10.43</v>
      </c>
      <c r="BN831">
        <v>79.930000000000007</v>
      </c>
      <c r="BO831">
        <v>79.930000000000007</v>
      </c>
      <c r="BQ831" t="s">
        <v>485</v>
      </c>
      <c r="BR831" t="s">
        <v>84</v>
      </c>
      <c r="BS831" s="3">
        <v>45818</v>
      </c>
      <c r="BT831" s="4">
        <v>0.39097222222222222</v>
      </c>
      <c r="BU831" t="s">
        <v>1324</v>
      </c>
      <c r="BV831" t="s">
        <v>90</v>
      </c>
      <c r="BW831" t="s">
        <v>416</v>
      </c>
      <c r="BX831" t="s">
        <v>417</v>
      </c>
      <c r="BY831">
        <v>1200</v>
      </c>
      <c r="CA831" t="s">
        <v>418</v>
      </c>
      <c r="CC831" t="s">
        <v>332</v>
      </c>
      <c r="CD831">
        <v>4052</v>
      </c>
      <c r="CE831" t="s">
        <v>215</v>
      </c>
      <c r="CF831" s="3">
        <v>45818</v>
      </c>
      <c r="CI831">
        <v>1</v>
      </c>
      <c r="CJ831">
        <v>2</v>
      </c>
      <c r="CK831">
        <v>21</v>
      </c>
      <c r="CL831" t="s">
        <v>90</v>
      </c>
    </row>
    <row r="832" spans="1:90" x14ac:dyDescent="0.3">
      <c r="A832" t="s">
        <v>72</v>
      </c>
      <c r="B832" t="s">
        <v>73</v>
      </c>
      <c r="C832" t="s">
        <v>74</v>
      </c>
      <c r="E832" t="str">
        <f>"080065810127"</f>
        <v>080065810127</v>
      </c>
      <c r="F832" s="3">
        <v>45814</v>
      </c>
      <c r="G832">
        <v>202603</v>
      </c>
      <c r="H832" t="s">
        <v>75</v>
      </c>
      <c r="I832" t="s">
        <v>76</v>
      </c>
      <c r="J832" t="s">
        <v>77</v>
      </c>
      <c r="K832" t="s">
        <v>78</v>
      </c>
      <c r="L832" t="s">
        <v>100</v>
      </c>
      <c r="M832" t="s">
        <v>101</v>
      </c>
      <c r="N832" t="s">
        <v>585</v>
      </c>
      <c r="O832" t="s">
        <v>82</v>
      </c>
      <c r="P832" t="str">
        <f>"4170042653                    "</f>
        <v xml:space="preserve">4170042653                    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41.78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1</v>
      </c>
      <c r="BI832">
        <v>2</v>
      </c>
      <c r="BJ832">
        <v>3.7</v>
      </c>
      <c r="BK832">
        <v>4</v>
      </c>
      <c r="BL832">
        <v>138.94</v>
      </c>
      <c r="BM832">
        <v>20.84</v>
      </c>
      <c r="BN832">
        <v>159.78</v>
      </c>
      <c r="BO832">
        <v>159.78</v>
      </c>
      <c r="BQ832" t="s">
        <v>586</v>
      </c>
      <c r="BR832" t="s">
        <v>84</v>
      </c>
      <c r="BS832" s="3">
        <v>45817</v>
      </c>
      <c r="BT832" s="4">
        <v>0.36527777777777776</v>
      </c>
      <c r="BU832" t="s">
        <v>879</v>
      </c>
      <c r="BV832" t="s">
        <v>86</v>
      </c>
      <c r="BY832">
        <v>18564</v>
      </c>
      <c r="BZ832" t="s">
        <v>87</v>
      </c>
      <c r="CA832" t="s">
        <v>589</v>
      </c>
      <c r="CC832" t="s">
        <v>101</v>
      </c>
      <c r="CD832">
        <v>6001</v>
      </c>
      <c r="CE832" t="s">
        <v>166</v>
      </c>
      <c r="CF832" s="3">
        <v>45817</v>
      </c>
      <c r="CI832">
        <v>1</v>
      </c>
      <c r="CJ832">
        <v>1</v>
      </c>
      <c r="CK832">
        <v>21</v>
      </c>
      <c r="CL832" t="s">
        <v>90</v>
      </c>
    </row>
    <row r="833" spans="1:90" x14ac:dyDescent="0.3">
      <c r="A833" t="s">
        <v>72</v>
      </c>
      <c r="B833" t="s">
        <v>73</v>
      </c>
      <c r="C833" t="s">
        <v>74</v>
      </c>
      <c r="E833" t="str">
        <f>"080065810139"</f>
        <v>080065810139</v>
      </c>
      <c r="F833" s="3">
        <v>45814</v>
      </c>
      <c r="G833">
        <v>202603</v>
      </c>
      <c r="H833" t="s">
        <v>75</v>
      </c>
      <c r="I833" t="s">
        <v>76</v>
      </c>
      <c r="J833" t="s">
        <v>77</v>
      </c>
      <c r="K833" t="s">
        <v>78</v>
      </c>
      <c r="L833" t="s">
        <v>75</v>
      </c>
      <c r="M833" t="s">
        <v>76</v>
      </c>
      <c r="N833" t="s">
        <v>1206</v>
      </c>
      <c r="O833" t="s">
        <v>82</v>
      </c>
      <c r="P833" t="str">
        <f>"4170042743                    "</f>
        <v xml:space="preserve">4170042743                    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16.32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1</v>
      </c>
      <c r="BI833">
        <v>1</v>
      </c>
      <c r="BJ833">
        <v>0.2</v>
      </c>
      <c r="BK833">
        <v>1</v>
      </c>
      <c r="BL833">
        <v>54.28</v>
      </c>
      <c r="BM833">
        <v>8.14</v>
      </c>
      <c r="BN833">
        <v>62.42</v>
      </c>
      <c r="BO833">
        <v>62.42</v>
      </c>
      <c r="BQ833" t="s">
        <v>1207</v>
      </c>
      <c r="BR833" t="s">
        <v>84</v>
      </c>
      <c r="BS833" s="3">
        <v>45817</v>
      </c>
      <c r="BT833" s="4">
        <v>0.36180555555555555</v>
      </c>
      <c r="BU833" t="s">
        <v>249</v>
      </c>
      <c r="BV833" t="s">
        <v>86</v>
      </c>
      <c r="BY833">
        <v>1200</v>
      </c>
      <c r="BZ833" t="s">
        <v>87</v>
      </c>
      <c r="CA833" t="s">
        <v>193</v>
      </c>
      <c r="CC833" t="s">
        <v>76</v>
      </c>
      <c r="CD833">
        <v>1601</v>
      </c>
      <c r="CE833" t="s">
        <v>89</v>
      </c>
      <c r="CF833" s="3">
        <v>45817</v>
      </c>
      <c r="CI833">
        <v>1</v>
      </c>
      <c r="CJ833">
        <v>1</v>
      </c>
      <c r="CK833">
        <v>22</v>
      </c>
      <c r="CL833" t="s">
        <v>90</v>
      </c>
    </row>
    <row r="834" spans="1:90" x14ac:dyDescent="0.3">
      <c r="A834" t="s">
        <v>72</v>
      </c>
      <c r="B834" t="s">
        <v>73</v>
      </c>
      <c r="C834" t="s">
        <v>74</v>
      </c>
      <c r="E834" t="str">
        <f>"080065810156"</f>
        <v>080065810156</v>
      </c>
      <c r="F834" s="3">
        <v>45814</v>
      </c>
      <c r="G834">
        <v>202603</v>
      </c>
      <c r="H834" t="s">
        <v>75</v>
      </c>
      <c r="I834" t="s">
        <v>76</v>
      </c>
      <c r="J834" t="s">
        <v>77</v>
      </c>
      <c r="K834" t="s">
        <v>78</v>
      </c>
      <c r="L834" t="s">
        <v>79</v>
      </c>
      <c r="M834" t="s">
        <v>80</v>
      </c>
      <c r="N834" t="s">
        <v>717</v>
      </c>
      <c r="O834" t="s">
        <v>82</v>
      </c>
      <c r="P834" t="str">
        <f>"4170042777                    "</f>
        <v xml:space="preserve">4170042777                    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29.39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1</v>
      </c>
      <c r="BJ834">
        <v>0.2</v>
      </c>
      <c r="BK834">
        <v>1</v>
      </c>
      <c r="BL834">
        <v>97.74</v>
      </c>
      <c r="BM834">
        <v>14.66</v>
      </c>
      <c r="BN834">
        <v>112.4</v>
      </c>
      <c r="BO834">
        <v>112.4</v>
      </c>
      <c r="BQ834" t="s">
        <v>718</v>
      </c>
      <c r="BR834" t="s">
        <v>84</v>
      </c>
      <c r="BS834" s="3">
        <v>45817</v>
      </c>
      <c r="BT834" s="4">
        <v>0.45624999999999999</v>
      </c>
      <c r="BU834" t="s">
        <v>1570</v>
      </c>
      <c r="BV834" t="s">
        <v>86</v>
      </c>
      <c r="BY834">
        <v>1200</v>
      </c>
      <c r="BZ834" t="s">
        <v>87</v>
      </c>
      <c r="CA834" t="s">
        <v>720</v>
      </c>
      <c r="CC834" t="s">
        <v>80</v>
      </c>
      <c r="CD834">
        <v>1754</v>
      </c>
      <c r="CE834" t="s">
        <v>89</v>
      </c>
      <c r="CF834" s="3">
        <v>45818</v>
      </c>
      <c r="CI834">
        <v>1</v>
      </c>
      <c r="CJ834">
        <v>1</v>
      </c>
      <c r="CK834">
        <v>24</v>
      </c>
      <c r="CL834" t="s">
        <v>90</v>
      </c>
    </row>
    <row r="835" spans="1:90" x14ac:dyDescent="0.3">
      <c r="A835" t="s">
        <v>72</v>
      </c>
      <c r="B835" t="s">
        <v>73</v>
      </c>
      <c r="C835" t="s">
        <v>74</v>
      </c>
      <c r="E835" t="str">
        <f>"080065810179"</f>
        <v>080065810179</v>
      </c>
      <c r="F835" s="3">
        <v>45814</v>
      </c>
      <c r="G835">
        <v>202603</v>
      </c>
      <c r="H835" t="s">
        <v>75</v>
      </c>
      <c r="I835" t="s">
        <v>76</v>
      </c>
      <c r="J835" t="s">
        <v>77</v>
      </c>
      <c r="K835" t="s">
        <v>78</v>
      </c>
      <c r="L835" t="s">
        <v>369</v>
      </c>
      <c r="M835" t="s">
        <v>370</v>
      </c>
      <c r="N835" t="s">
        <v>1571</v>
      </c>
      <c r="O835" t="s">
        <v>94</v>
      </c>
      <c r="P835" t="str">
        <f>"4170042666                    "</f>
        <v xml:space="preserve">4170042666                    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155.97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2</v>
      </c>
      <c r="BI835">
        <v>19</v>
      </c>
      <c r="BJ835">
        <v>48.6</v>
      </c>
      <c r="BK835">
        <v>49</v>
      </c>
      <c r="BL835">
        <v>524.27</v>
      </c>
      <c r="BM835">
        <v>78.64</v>
      </c>
      <c r="BN835">
        <v>602.91</v>
      </c>
      <c r="BO835">
        <v>602.91</v>
      </c>
      <c r="BQ835" t="s">
        <v>1572</v>
      </c>
      <c r="BR835" t="s">
        <v>84</v>
      </c>
      <c r="BS835" s="3">
        <v>45817</v>
      </c>
      <c r="BT835" s="4">
        <v>0.38680555555555557</v>
      </c>
      <c r="BU835" t="s">
        <v>1573</v>
      </c>
      <c r="BV835" t="s">
        <v>86</v>
      </c>
      <c r="BY835">
        <v>242880</v>
      </c>
      <c r="CA835" t="s">
        <v>1574</v>
      </c>
      <c r="CC835" t="s">
        <v>370</v>
      </c>
      <c r="CD835">
        <v>7130</v>
      </c>
      <c r="CE835" t="s">
        <v>687</v>
      </c>
      <c r="CF835" s="3">
        <v>45818</v>
      </c>
      <c r="CI835">
        <v>3</v>
      </c>
      <c r="CJ835">
        <v>1</v>
      </c>
      <c r="CK835">
        <v>43</v>
      </c>
      <c r="CL835" t="s">
        <v>90</v>
      </c>
    </row>
    <row r="836" spans="1:90" x14ac:dyDescent="0.3">
      <c r="A836" t="s">
        <v>72</v>
      </c>
      <c r="B836" t="s">
        <v>73</v>
      </c>
      <c r="C836" t="s">
        <v>74</v>
      </c>
      <c r="E836" t="str">
        <f>"080065810183"</f>
        <v>080065810183</v>
      </c>
      <c r="F836" s="3">
        <v>45814</v>
      </c>
      <c r="G836">
        <v>202603</v>
      </c>
      <c r="H836" t="s">
        <v>75</v>
      </c>
      <c r="I836" t="s">
        <v>76</v>
      </c>
      <c r="J836" t="s">
        <v>77</v>
      </c>
      <c r="K836" t="s">
        <v>78</v>
      </c>
      <c r="L836" t="s">
        <v>106</v>
      </c>
      <c r="M836" t="s">
        <v>107</v>
      </c>
      <c r="N836" t="s">
        <v>126</v>
      </c>
      <c r="O836" t="s">
        <v>82</v>
      </c>
      <c r="P836" t="str">
        <f>"4170042648                    "</f>
        <v xml:space="preserve">4170042648                    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20.9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1</v>
      </c>
      <c r="BI836">
        <v>1</v>
      </c>
      <c r="BJ836">
        <v>0.2</v>
      </c>
      <c r="BK836">
        <v>1</v>
      </c>
      <c r="BL836">
        <v>69.5</v>
      </c>
      <c r="BM836">
        <v>10.43</v>
      </c>
      <c r="BN836">
        <v>79.930000000000007</v>
      </c>
      <c r="BO836">
        <v>79.930000000000007</v>
      </c>
      <c r="BQ836" t="s">
        <v>127</v>
      </c>
      <c r="BR836" t="s">
        <v>84</v>
      </c>
      <c r="BS836" s="3">
        <v>45817</v>
      </c>
      <c r="BT836" s="4">
        <v>0.39097222222222222</v>
      </c>
      <c r="BU836" t="s">
        <v>128</v>
      </c>
      <c r="BV836" t="s">
        <v>86</v>
      </c>
      <c r="BY836">
        <v>1200</v>
      </c>
      <c r="BZ836" t="s">
        <v>87</v>
      </c>
      <c r="CA836" t="s">
        <v>368</v>
      </c>
      <c r="CC836" t="s">
        <v>107</v>
      </c>
      <c r="CD836">
        <v>30</v>
      </c>
      <c r="CE836" t="s">
        <v>89</v>
      </c>
      <c r="CF836" s="3">
        <v>45817</v>
      </c>
      <c r="CI836">
        <v>1</v>
      </c>
      <c r="CJ836">
        <v>1</v>
      </c>
      <c r="CK836">
        <v>21</v>
      </c>
      <c r="CL836" t="s">
        <v>90</v>
      </c>
    </row>
    <row r="837" spans="1:90" x14ac:dyDescent="0.3">
      <c r="A837" t="s">
        <v>72</v>
      </c>
      <c r="B837" t="s">
        <v>73</v>
      </c>
      <c r="C837" t="s">
        <v>74</v>
      </c>
      <c r="E837" t="str">
        <f>"080065810371"</f>
        <v>080065810371</v>
      </c>
      <c r="F837" s="3">
        <v>45814</v>
      </c>
      <c r="G837">
        <v>202603</v>
      </c>
      <c r="H837" t="s">
        <v>75</v>
      </c>
      <c r="I837" t="s">
        <v>76</v>
      </c>
      <c r="J837" t="s">
        <v>77</v>
      </c>
      <c r="K837" t="s">
        <v>78</v>
      </c>
      <c r="L837" t="s">
        <v>130</v>
      </c>
      <c r="M837" t="s">
        <v>131</v>
      </c>
      <c r="N837" t="s">
        <v>519</v>
      </c>
      <c r="O837" t="s">
        <v>82</v>
      </c>
      <c r="P837" t="str">
        <f>"4170042259                    "</f>
        <v xml:space="preserve">4170042259                    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16.32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1</v>
      </c>
      <c r="BI837">
        <v>1</v>
      </c>
      <c r="BJ837">
        <v>0.2</v>
      </c>
      <c r="BK837">
        <v>1</v>
      </c>
      <c r="BL837">
        <v>54.28</v>
      </c>
      <c r="BM837">
        <v>8.14</v>
      </c>
      <c r="BN837">
        <v>62.42</v>
      </c>
      <c r="BO837">
        <v>62.42</v>
      </c>
      <c r="BQ837" t="s">
        <v>520</v>
      </c>
      <c r="BR837" t="s">
        <v>84</v>
      </c>
      <c r="BS837" s="3">
        <v>45817</v>
      </c>
      <c r="BT837" s="4">
        <v>0.39374999999999999</v>
      </c>
      <c r="BU837" t="s">
        <v>1575</v>
      </c>
      <c r="BV837" t="s">
        <v>86</v>
      </c>
      <c r="BY837">
        <v>1200</v>
      </c>
      <c r="BZ837" t="s">
        <v>87</v>
      </c>
      <c r="CA837" t="s">
        <v>732</v>
      </c>
      <c r="CC837" t="s">
        <v>131</v>
      </c>
      <c r="CD837">
        <v>1459</v>
      </c>
      <c r="CE837" t="s">
        <v>89</v>
      </c>
      <c r="CF837" s="3">
        <v>45818</v>
      </c>
      <c r="CI837">
        <v>1</v>
      </c>
      <c r="CJ837">
        <v>1</v>
      </c>
      <c r="CK837">
        <v>22</v>
      </c>
      <c r="CL837" t="s">
        <v>90</v>
      </c>
    </row>
    <row r="838" spans="1:90" x14ac:dyDescent="0.3">
      <c r="A838" t="s">
        <v>72</v>
      </c>
      <c r="B838" t="s">
        <v>73</v>
      </c>
      <c r="C838" t="s">
        <v>74</v>
      </c>
      <c r="E838" t="str">
        <f>"080065810401"</f>
        <v>080065810401</v>
      </c>
      <c r="F838" s="3">
        <v>45814</v>
      </c>
      <c r="G838">
        <v>202603</v>
      </c>
      <c r="H838" t="s">
        <v>75</v>
      </c>
      <c r="I838" t="s">
        <v>76</v>
      </c>
      <c r="J838" t="s">
        <v>77</v>
      </c>
      <c r="K838" t="s">
        <v>78</v>
      </c>
      <c r="L838" t="s">
        <v>504</v>
      </c>
      <c r="M838" t="s">
        <v>505</v>
      </c>
      <c r="N838" t="s">
        <v>506</v>
      </c>
      <c r="O838" t="s">
        <v>82</v>
      </c>
      <c r="P838" t="str">
        <f>"4170042588                    "</f>
        <v xml:space="preserve">4170042588                    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40.49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1</v>
      </c>
      <c r="BI838">
        <v>1</v>
      </c>
      <c r="BJ838">
        <v>0.2</v>
      </c>
      <c r="BK838">
        <v>1</v>
      </c>
      <c r="BL838">
        <v>134.65</v>
      </c>
      <c r="BM838">
        <v>20.2</v>
      </c>
      <c r="BN838">
        <v>154.85</v>
      </c>
      <c r="BO838">
        <v>154.85</v>
      </c>
      <c r="BQ838" t="s">
        <v>507</v>
      </c>
      <c r="BR838" t="s">
        <v>84</v>
      </c>
      <c r="BS838" s="3">
        <v>45817</v>
      </c>
      <c r="BT838" s="4">
        <v>0.35416666666666669</v>
      </c>
      <c r="BU838" t="s">
        <v>1062</v>
      </c>
      <c r="BV838" t="s">
        <v>86</v>
      </c>
      <c r="BY838">
        <v>1200</v>
      </c>
      <c r="CA838" t="s">
        <v>1462</v>
      </c>
      <c r="CC838" t="s">
        <v>505</v>
      </c>
      <c r="CD838">
        <v>2740</v>
      </c>
      <c r="CE838" t="s">
        <v>215</v>
      </c>
      <c r="CF838" s="3">
        <v>45818</v>
      </c>
      <c r="CI838">
        <v>1</v>
      </c>
      <c r="CJ838">
        <v>1</v>
      </c>
      <c r="CK838">
        <v>23</v>
      </c>
      <c r="CL838" t="s">
        <v>90</v>
      </c>
    </row>
    <row r="839" spans="1:90" x14ac:dyDescent="0.3">
      <c r="A839" t="s">
        <v>72</v>
      </c>
      <c r="B839" t="s">
        <v>73</v>
      </c>
      <c r="C839" t="s">
        <v>74</v>
      </c>
      <c r="E839" t="str">
        <f>"080065810426"</f>
        <v>080065810426</v>
      </c>
      <c r="F839" s="3">
        <v>45814</v>
      </c>
      <c r="G839">
        <v>202603</v>
      </c>
      <c r="H839" t="s">
        <v>75</v>
      </c>
      <c r="I839" t="s">
        <v>76</v>
      </c>
      <c r="J839" t="s">
        <v>77</v>
      </c>
      <c r="K839" t="s">
        <v>78</v>
      </c>
      <c r="L839" t="s">
        <v>615</v>
      </c>
      <c r="M839" t="s">
        <v>616</v>
      </c>
      <c r="N839" t="s">
        <v>617</v>
      </c>
      <c r="O839" t="s">
        <v>82</v>
      </c>
      <c r="P839" t="str">
        <f>"4170042398                    "</f>
        <v xml:space="preserve">4170042398                    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40.49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1</v>
      </c>
      <c r="BI839">
        <v>1</v>
      </c>
      <c r="BJ839">
        <v>0.2</v>
      </c>
      <c r="BK839">
        <v>1</v>
      </c>
      <c r="BL839">
        <v>134.65</v>
      </c>
      <c r="BM839">
        <v>20.2</v>
      </c>
      <c r="BN839">
        <v>154.85</v>
      </c>
      <c r="BO839">
        <v>154.85</v>
      </c>
      <c r="BQ839" t="s">
        <v>618</v>
      </c>
      <c r="BR839" t="s">
        <v>84</v>
      </c>
      <c r="BS839" s="3">
        <v>45817</v>
      </c>
      <c r="BT839" s="4">
        <v>0.49513888888888891</v>
      </c>
      <c r="BU839" t="s">
        <v>1538</v>
      </c>
      <c r="BV839" t="s">
        <v>86</v>
      </c>
      <c r="BY839">
        <v>1200</v>
      </c>
      <c r="CA839" t="s">
        <v>866</v>
      </c>
      <c r="CC839" t="s">
        <v>616</v>
      </c>
      <c r="CD839">
        <v>6850</v>
      </c>
      <c r="CE839" t="s">
        <v>215</v>
      </c>
      <c r="CF839" s="3">
        <v>45818</v>
      </c>
      <c r="CI839">
        <v>2</v>
      </c>
      <c r="CJ839">
        <v>1</v>
      </c>
      <c r="CK839">
        <v>23</v>
      </c>
      <c r="CL839" t="s">
        <v>90</v>
      </c>
    </row>
    <row r="840" spans="1:90" x14ac:dyDescent="0.3">
      <c r="A840" t="s">
        <v>72</v>
      </c>
      <c r="B840" t="s">
        <v>73</v>
      </c>
      <c r="C840" t="s">
        <v>74</v>
      </c>
      <c r="E840" t="str">
        <f>"080065810428"</f>
        <v>080065810428</v>
      </c>
      <c r="F840" s="3">
        <v>45814</v>
      </c>
      <c r="G840">
        <v>202603</v>
      </c>
      <c r="H840" t="s">
        <v>75</v>
      </c>
      <c r="I840" t="s">
        <v>76</v>
      </c>
      <c r="J840" t="s">
        <v>77</v>
      </c>
      <c r="K840" t="s">
        <v>78</v>
      </c>
      <c r="L840" t="s">
        <v>504</v>
      </c>
      <c r="M840" t="s">
        <v>505</v>
      </c>
      <c r="N840" t="s">
        <v>506</v>
      </c>
      <c r="O840" t="s">
        <v>82</v>
      </c>
      <c r="P840" t="str">
        <f>"4170042566                    "</f>
        <v xml:space="preserve">4170042566                    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77.06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1</v>
      </c>
      <c r="BI840">
        <v>3</v>
      </c>
      <c r="BJ840">
        <v>4</v>
      </c>
      <c r="BK840">
        <v>4</v>
      </c>
      <c r="BL840">
        <v>256.26</v>
      </c>
      <c r="BM840">
        <v>38.44</v>
      </c>
      <c r="BN840">
        <v>294.7</v>
      </c>
      <c r="BO840">
        <v>294.7</v>
      </c>
      <c r="BQ840" t="s">
        <v>507</v>
      </c>
      <c r="BR840" t="s">
        <v>84</v>
      </c>
      <c r="BS840" s="3">
        <v>45817</v>
      </c>
      <c r="BT840" s="4">
        <v>0.35416666666666669</v>
      </c>
      <c r="BU840" t="s">
        <v>1062</v>
      </c>
      <c r="BV840" t="s">
        <v>86</v>
      </c>
      <c r="BY840">
        <v>20202</v>
      </c>
      <c r="CA840" t="s">
        <v>1462</v>
      </c>
      <c r="CC840" t="s">
        <v>505</v>
      </c>
      <c r="CD840">
        <v>2740</v>
      </c>
      <c r="CE840" t="s">
        <v>166</v>
      </c>
      <c r="CF840" s="3">
        <v>45818</v>
      </c>
      <c r="CI840">
        <v>1</v>
      </c>
      <c r="CJ840">
        <v>1</v>
      </c>
      <c r="CK840">
        <v>23</v>
      </c>
      <c r="CL840" t="s">
        <v>90</v>
      </c>
    </row>
    <row r="841" spans="1:90" x14ac:dyDescent="0.3">
      <c r="A841" t="s">
        <v>72</v>
      </c>
      <c r="B841" t="s">
        <v>73</v>
      </c>
      <c r="C841" t="s">
        <v>74</v>
      </c>
      <c r="E841" t="str">
        <f>"080065810450"</f>
        <v>080065810450</v>
      </c>
      <c r="F841" s="3">
        <v>45814</v>
      </c>
      <c r="G841">
        <v>202603</v>
      </c>
      <c r="H841" t="s">
        <v>75</v>
      </c>
      <c r="I841" t="s">
        <v>76</v>
      </c>
      <c r="J841" t="s">
        <v>77</v>
      </c>
      <c r="K841" t="s">
        <v>78</v>
      </c>
      <c r="L841" t="s">
        <v>106</v>
      </c>
      <c r="M841" t="s">
        <v>107</v>
      </c>
      <c r="N841" t="s">
        <v>509</v>
      </c>
      <c r="O841" t="s">
        <v>82</v>
      </c>
      <c r="P841" t="str">
        <f>"4170042765                    "</f>
        <v xml:space="preserve">4170042765                    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20.9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1</v>
      </c>
      <c r="BI841">
        <v>1</v>
      </c>
      <c r="BJ841">
        <v>0.2</v>
      </c>
      <c r="BK841">
        <v>1</v>
      </c>
      <c r="BL841">
        <v>69.5</v>
      </c>
      <c r="BM841">
        <v>10.43</v>
      </c>
      <c r="BN841">
        <v>79.930000000000007</v>
      </c>
      <c r="BO841">
        <v>79.930000000000007</v>
      </c>
      <c r="BQ841" t="s">
        <v>510</v>
      </c>
      <c r="BR841" t="s">
        <v>84</v>
      </c>
      <c r="BS841" s="3">
        <v>45817</v>
      </c>
      <c r="BT841" s="4">
        <v>0.30069444444444443</v>
      </c>
      <c r="BU841" t="s">
        <v>511</v>
      </c>
      <c r="BV841" t="s">
        <v>86</v>
      </c>
      <c r="BY841">
        <v>1200</v>
      </c>
      <c r="BZ841" t="s">
        <v>87</v>
      </c>
      <c r="CA841" t="s">
        <v>355</v>
      </c>
      <c r="CC841" t="s">
        <v>107</v>
      </c>
      <c r="CD841">
        <v>2</v>
      </c>
      <c r="CE841" t="s">
        <v>89</v>
      </c>
      <c r="CF841" s="3">
        <v>45817</v>
      </c>
      <c r="CI841">
        <v>1</v>
      </c>
      <c r="CJ841">
        <v>1</v>
      </c>
      <c r="CK841">
        <v>21</v>
      </c>
      <c r="CL841" t="s">
        <v>90</v>
      </c>
    </row>
    <row r="842" spans="1:90" x14ac:dyDescent="0.3">
      <c r="A842" t="s">
        <v>72</v>
      </c>
      <c r="B842" t="s">
        <v>73</v>
      </c>
      <c r="C842" t="s">
        <v>74</v>
      </c>
      <c r="E842" t="str">
        <f>"080065810467"</f>
        <v>080065810467</v>
      </c>
      <c r="F842" s="3">
        <v>45814</v>
      </c>
      <c r="G842">
        <v>202603</v>
      </c>
      <c r="H842" t="s">
        <v>75</v>
      </c>
      <c r="I842" t="s">
        <v>76</v>
      </c>
      <c r="J842" t="s">
        <v>77</v>
      </c>
      <c r="K842" t="s">
        <v>78</v>
      </c>
      <c r="L842" t="s">
        <v>174</v>
      </c>
      <c r="M842" t="s">
        <v>175</v>
      </c>
      <c r="N842" t="s">
        <v>337</v>
      </c>
      <c r="O842" t="s">
        <v>82</v>
      </c>
      <c r="P842" t="str">
        <f>"4170042750                    "</f>
        <v xml:space="preserve">4170042750                    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41.78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1</v>
      </c>
      <c r="BI842">
        <v>4</v>
      </c>
      <c r="BJ842">
        <v>1.7</v>
      </c>
      <c r="BK842">
        <v>4</v>
      </c>
      <c r="BL842">
        <v>138.94</v>
      </c>
      <c r="BM842">
        <v>20.84</v>
      </c>
      <c r="BN842">
        <v>159.78</v>
      </c>
      <c r="BO842">
        <v>159.78</v>
      </c>
      <c r="BQ842" t="s">
        <v>338</v>
      </c>
      <c r="BR842" t="s">
        <v>84</v>
      </c>
      <c r="BS842" s="3">
        <v>45817</v>
      </c>
      <c r="BT842" s="4">
        <v>0.56319444444444444</v>
      </c>
      <c r="BU842" t="s">
        <v>1576</v>
      </c>
      <c r="BV842" t="s">
        <v>90</v>
      </c>
      <c r="BW842" t="s">
        <v>212</v>
      </c>
      <c r="BX842" t="s">
        <v>213</v>
      </c>
      <c r="BY842">
        <v>8512</v>
      </c>
      <c r="BZ842" t="s">
        <v>87</v>
      </c>
      <c r="CA842" t="s">
        <v>596</v>
      </c>
      <c r="CC842" t="s">
        <v>175</v>
      </c>
      <c r="CD842">
        <v>3608</v>
      </c>
      <c r="CE842" t="s">
        <v>180</v>
      </c>
      <c r="CF842" s="3">
        <v>45818</v>
      </c>
      <c r="CI842">
        <v>1</v>
      </c>
      <c r="CJ842">
        <v>1</v>
      </c>
      <c r="CK842">
        <v>21</v>
      </c>
      <c r="CL842" t="s">
        <v>90</v>
      </c>
    </row>
    <row r="843" spans="1:90" x14ac:dyDescent="0.3">
      <c r="A843" t="s">
        <v>72</v>
      </c>
      <c r="B843" t="s">
        <v>73</v>
      </c>
      <c r="C843" t="s">
        <v>74</v>
      </c>
      <c r="E843" t="str">
        <f>"080065810511"</f>
        <v>080065810511</v>
      </c>
      <c r="F843" s="3">
        <v>45814</v>
      </c>
      <c r="G843">
        <v>202603</v>
      </c>
      <c r="H843" t="s">
        <v>75</v>
      </c>
      <c r="I843" t="s">
        <v>76</v>
      </c>
      <c r="J843" t="s">
        <v>77</v>
      </c>
      <c r="K843" t="s">
        <v>78</v>
      </c>
      <c r="L843" t="s">
        <v>445</v>
      </c>
      <c r="M843" t="s">
        <v>446</v>
      </c>
      <c r="N843" t="s">
        <v>447</v>
      </c>
      <c r="O843" t="s">
        <v>82</v>
      </c>
      <c r="P843" t="str">
        <f>"4170042697                    "</f>
        <v xml:space="preserve">4170042697                    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31.34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1</v>
      </c>
      <c r="BI843">
        <v>3</v>
      </c>
      <c r="BJ843">
        <v>1.9</v>
      </c>
      <c r="BK843">
        <v>3</v>
      </c>
      <c r="BL843">
        <v>104.22</v>
      </c>
      <c r="BM843">
        <v>15.63</v>
      </c>
      <c r="BN843">
        <v>119.85</v>
      </c>
      <c r="BO843">
        <v>119.85</v>
      </c>
      <c r="BQ843" t="s">
        <v>448</v>
      </c>
      <c r="BR843" t="s">
        <v>84</v>
      </c>
      <c r="BS843" s="3">
        <v>45817</v>
      </c>
      <c r="BT843" s="4">
        <v>0.43263888888888891</v>
      </c>
      <c r="BU843" t="s">
        <v>449</v>
      </c>
      <c r="BV843" t="s">
        <v>86</v>
      </c>
      <c r="BY843">
        <v>9600</v>
      </c>
      <c r="CA843" t="s">
        <v>450</v>
      </c>
      <c r="CC843" t="s">
        <v>446</v>
      </c>
      <c r="CD843">
        <v>4126</v>
      </c>
      <c r="CE843" t="s">
        <v>687</v>
      </c>
      <c r="CF843" s="3">
        <v>45818</v>
      </c>
      <c r="CI843">
        <v>1</v>
      </c>
      <c r="CJ843">
        <v>1</v>
      </c>
      <c r="CK843">
        <v>21</v>
      </c>
      <c r="CL843" t="s">
        <v>90</v>
      </c>
    </row>
    <row r="844" spans="1:90" x14ac:dyDescent="0.3">
      <c r="A844" t="s">
        <v>72</v>
      </c>
      <c r="B844" t="s">
        <v>73</v>
      </c>
      <c r="C844" t="s">
        <v>74</v>
      </c>
      <c r="E844" t="str">
        <f>"080065810547"</f>
        <v>080065810547</v>
      </c>
      <c r="F844" s="3">
        <v>45814</v>
      </c>
      <c r="G844">
        <v>202603</v>
      </c>
      <c r="H844" t="s">
        <v>75</v>
      </c>
      <c r="I844" t="s">
        <v>76</v>
      </c>
      <c r="J844" t="s">
        <v>77</v>
      </c>
      <c r="K844" t="s">
        <v>78</v>
      </c>
      <c r="L844" t="s">
        <v>106</v>
      </c>
      <c r="M844" t="s">
        <v>107</v>
      </c>
      <c r="N844" t="s">
        <v>1577</v>
      </c>
      <c r="O844" t="s">
        <v>94</v>
      </c>
      <c r="P844" t="str">
        <f>"4170042691                    "</f>
        <v xml:space="preserve">4170042691                    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40.409999999999997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1</v>
      </c>
      <c r="BI844">
        <v>12</v>
      </c>
      <c r="BJ844">
        <v>4.5</v>
      </c>
      <c r="BK844">
        <v>12</v>
      </c>
      <c r="BL844">
        <v>139.96</v>
      </c>
      <c r="BM844">
        <v>20.99</v>
      </c>
      <c r="BN844">
        <v>160.94999999999999</v>
      </c>
      <c r="BO844">
        <v>160.94999999999999</v>
      </c>
      <c r="BQ844" t="s">
        <v>1578</v>
      </c>
      <c r="BR844" t="s">
        <v>84</v>
      </c>
      <c r="BS844" s="3">
        <v>45817</v>
      </c>
      <c r="BT844" s="4">
        <v>0.35416666666666669</v>
      </c>
      <c r="BU844" t="s">
        <v>1579</v>
      </c>
      <c r="BV844" t="s">
        <v>86</v>
      </c>
      <c r="BY844">
        <v>22620</v>
      </c>
      <c r="BZ844" t="s">
        <v>97</v>
      </c>
      <c r="CA844" t="s">
        <v>111</v>
      </c>
      <c r="CC844" t="s">
        <v>107</v>
      </c>
      <c r="CD844">
        <v>182</v>
      </c>
      <c r="CE844" t="s">
        <v>99</v>
      </c>
      <c r="CF844" s="3">
        <v>45817</v>
      </c>
      <c r="CI844">
        <v>1</v>
      </c>
      <c r="CJ844">
        <v>1</v>
      </c>
      <c r="CK844">
        <v>41</v>
      </c>
      <c r="CL844" t="s">
        <v>90</v>
      </c>
    </row>
    <row r="845" spans="1:90" x14ac:dyDescent="0.3">
      <c r="A845" t="s">
        <v>72</v>
      </c>
      <c r="B845" t="s">
        <v>73</v>
      </c>
      <c r="C845" t="s">
        <v>74</v>
      </c>
      <c r="E845" t="str">
        <f>"080065810579"</f>
        <v>080065810579</v>
      </c>
      <c r="F845" s="3">
        <v>45814</v>
      </c>
      <c r="G845">
        <v>202603</v>
      </c>
      <c r="H845" t="s">
        <v>75</v>
      </c>
      <c r="I845" t="s">
        <v>76</v>
      </c>
      <c r="J845" t="s">
        <v>77</v>
      </c>
      <c r="K845" t="s">
        <v>78</v>
      </c>
      <c r="L845" t="s">
        <v>284</v>
      </c>
      <c r="M845" t="s">
        <v>285</v>
      </c>
      <c r="N845" t="s">
        <v>1580</v>
      </c>
      <c r="O845" t="s">
        <v>82</v>
      </c>
      <c r="P845" t="str">
        <f>"4170042599                    "</f>
        <v xml:space="preserve">4170042599                    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16.32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1</v>
      </c>
      <c r="BI845">
        <v>3</v>
      </c>
      <c r="BJ845">
        <v>3.4</v>
      </c>
      <c r="BK845">
        <v>4</v>
      </c>
      <c r="BL845">
        <v>54.28</v>
      </c>
      <c r="BM845">
        <v>8.14</v>
      </c>
      <c r="BN845">
        <v>62.42</v>
      </c>
      <c r="BO845">
        <v>62.42</v>
      </c>
      <c r="BQ845" t="s">
        <v>1581</v>
      </c>
      <c r="BR845" t="s">
        <v>84</v>
      </c>
      <c r="BS845" s="3">
        <v>45815</v>
      </c>
      <c r="BT845" s="4">
        <v>0.6875</v>
      </c>
      <c r="BU845" t="s">
        <v>1582</v>
      </c>
      <c r="BV845" t="s">
        <v>86</v>
      </c>
      <c r="BY845">
        <v>16965</v>
      </c>
      <c r="BZ845" t="s">
        <v>87</v>
      </c>
      <c r="CC845" t="s">
        <v>285</v>
      </c>
      <c r="CD845">
        <v>1559</v>
      </c>
      <c r="CE845" t="s">
        <v>99</v>
      </c>
      <c r="CF845" s="3">
        <v>45817</v>
      </c>
      <c r="CI845">
        <v>1</v>
      </c>
      <c r="CJ845">
        <v>0</v>
      </c>
      <c r="CK845">
        <v>22</v>
      </c>
      <c r="CL845" t="s">
        <v>90</v>
      </c>
    </row>
    <row r="846" spans="1:90" x14ac:dyDescent="0.3">
      <c r="A846" t="s">
        <v>72</v>
      </c>
      <c r="B846" t="s">
        <v>73</v>
      </c>
      <c r="C846" t="s">
        <v>74</v>
      </c>
      <c r="E846" t="str">
        <f>"080065810605"</f>
        <v>080065810605</v>
      </c>
      <c r="F846" s="3">
        <v>45814</v>
      </c>
      <c r="G846">
        <v>202603</v>
      </c>
      <c r="H846" t="s">
        <v>75</v>
      </c>
      <c r="I846" t="s">
        <v>76</v>
      </c>
      <c r="J846" t="s">
        <v>77</v>
      </c>
      <c r="K846" t="s">
        <v>78</v>
      </c>
      <c r="L846" t="s">
        <v>159</v>
      </c>
      <c r="M846" t="s">
        <v>160</v>
      </c>
      <c r="N846" t="s">
        <v>856</v>
      </c>
      <c r="O846" t="s">
        <v>82</v>
      </c>
      <c r="P846" t="str">
        <f>"4170042747                    "</f>
        <v xml:space="preserve">4170042747                    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16.32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1</v>
      </c>
      <c r="BI846">
        <v>2</v>
      </c>
      <c r="BJ846">
        <v>0.6</v>
      </c>
      <c r="BK846">
        <v>2</v>
      </c>
      <c r="BL846">
        <v>54.28</v>
      </c>
      <c r="BM846">
        <v>8.14</v>
      </c>
      <c r="BN846">
        <v>62.42</v>
      </c>
      <c r="BO846">
        <v>62.42</v>
      </c>
      <c r="BQ846" t="s">
        <v>857</v>
      </c>
      <c r="BR846" t="s">
        <v>84</v>
      </c>
      <c r="BS846" s="3">
        <v>45817</v>
      </c>
      <c r="BT846" s="4">
        <v>0.43125000000000002</v>
      </c>
      <c r="BU846" t="s">
        <v>1544</v>
      </c>
      <c r="BV846" t="s">
        <v>86</v>
      </c>
      <c r="BY846">
        <v>3192</v>
      </c>
      <c r="CA846" t="s">
        <v>444</v>
      </c>
      <c r="CC846" t="s">
        <v>160</v>
      </c>
      <c r="CD846">
        <v>2013</v>
      </c>
      <c r="CE846" t="s">
        <v>292</v>
      </c>
      <c r="CF846" s="3">
        <v>45818</v>
      </c>
      <c r="CI846">
        <v>1</v>
      </c>
      <c r="CJ846">
        <v>1</v>
      </c>
      <c r="CK846">
        <v>22</v>
      </c>
      <c r="CL846" t="s">
        <v>90</v>
      </c>
    </row>
    <row r="847" spans="1:90" x14ac:dyDescent="0.3">
      <c r="A847" t="s">
        <v>72</v>
      </c>
      <c r="B847" t="s">
        <v>73</v>
      </c>
      <c r="C847" t="s">
        <v>74</v>
      </c>
      <c r="E847" t="str">
        <f>"080065810632"</f>
        <v>080065810632</v>
      </c>
      <c r="F847" s="3">
        <v>45814</v>
      </c>
      <c r="G847">
        <v>202603</v>
      </c>
      <c r="H847" t="s">
        <v>75</v>
      </c>
      <c r="I847" t="s">
        <v>76</v>
      </c>
      <c r="J847" t="s">
        <v>77</v>
      </c>
      <c r="K847" t="s">
        <v>78</v>
      </c>
      <c r="L847" t="s">
        <v>91</v>
      </c>
      <c r="M847" t="s">
        <v>92</v>
      </c>
      <c r="N847" t="s">
        <v>150</v>
      </c>
      <c r="O847" t="s">
        <v>82</v>
      </c>
      <c r="P847" t="str">
        <f>"4170042710                    "</f>
        <v xml:space="preserve">4170042710                    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125.3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1</v>
      </c>
      <c r="BI847">
        <v>12</v>
      </c>
      <c r="BJ847">
        <v>10.4</v>
      </c>
      <c r="BK847">
        <v>12</v>
      </c>
      <c r="BL847">
        <v>416.7</v>
      </c>
      <c r="BM847">
        <v>62.51</v>
      </c>
      <c r="BN847">
        <v>479.21</v>
      </c>
      <c r="BO847">
        <v>479.21</v>
      </c>
      <c r="BQ847" t="s">
        <v>151</v>
      </c>
      <c r="BR847" t="s">
        <v>84</v>
      </c>
      <c r="BS847" s="3">
        <v>45817</v>
      </c>
      <c r="BT847" s="4">
        <v>0.50694444444444442</v>
      </c>
      <c r="BU847" t="s">
        <v>1583</v>
      </c>
      <c r="BV847" t="s">
        <v>90</v>
      </c>
      <c r="BW847" t="s">
        <v>875</v>
      </c>
      <c r="BX847" t="s">
        <v>1365</v>
      </c>
      <c r="BY847">
        <v>51984</v>
      </c>
      <c r="BZ847" t="s">
        <v>87</v>
      </c>
      <c r="CC847" t="s">
        <v>92</v>
      </c>
      <c r="CD847">
        <v>7405</v>
      </c>
      <c r="CE847" t="s">
        <v>99</v>
      </c>
      <c r="CF847" s="3">
        <v>45818</v>
      </c>
      <c r="CI847">
        <v>1</v>
      </c>
      <c r="CJ847">
        <v>1</v>
      </c>
      <c r="CK847">
        <v>21</v>
      </c>
      <c r="CL847" t="s">
        <v>90</v>
      </c>
    </row>
    <row r="848" spans="1:90" x14ac:dyDescent="0.3">
      <c r="A848" t="s">
        <v>72</v>
      </c>
      <c r="B848" t="s">
        <v>73</v>
      </c>
      <c r="C848" t="s">
        <v>74</v>
      </c>
      <c r="E848" t="str">
        <f>"080065810671"</f>
        <v>080065810671</v>
      </c>
      <c r="F848" s="3">
        <v>45814</v>
      </c>
      <c r="G848">
        <v>202603</v>
      </c>
      <c r="H848" t="s">
        <v>75</v>
      </c>
      <c r="I848" t="s">
        <v>76</v>
      </c>
      <c r="J848" t="s">
        <v>77</v>
      </c>
      <c r="K848" t="s">
        <v>78</v>
      </c>
      <c r="L848" t="s">
        <v>106</v>
      </c>
      <c r="M848" t="s">
        <v>107</v>
      </c>
      <c r="N848" t="s">
        <v>1584</v>
      </c>
      <c r="O848" t="s">
        <v>94</v>
      </c>
      <c r="P848" t="str">
        <f>"4170042528                    "</f>
        <v xml:space="preserve">4170042528                    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40.409999999999997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4</v>
      </c>
      <c r="BI848">
        <v>12</v>
      </c>
      <c r="BJ848">
        <v>9</v>
      </c>
      <c r="BK848">
        <v>12</v>
      </c>
      <c r="BL848">
        <v>139.96</v>
      </c>
      <c r="BM848">
        <v>20.99</v>
      </c>
      <c r="BN848">
        <v>160.94999999999999</v>
      </c>
      <c r="BO848">
        <v>160.94999999999999</v>
      </c>
      <c r="BQ848" t="s">
        <v>1585</v>
      </c>
      <c r="BR848" t="s">
        <v>84</v>
      </c>
      <c r="BS848" s="3">
        <v>45817</v>
      </c>
      <c r="BT848" s="4">
        <v>0.35555555555555557</v>
      </c>
      <c r="BU848" t="s">
        <v>1586</v>
      </c>
      <c r="BV848" t="s">
        <v>86</v>
      </c>
      <c r="BY848">
        <v>11232</v>
      </c>
      <c r="BZ848" t="s">
        <v>97</v>
      </c>
      <c r="CA848" t="s">
        <v>747</v>
      </c>
      <c r="CC848" t="s">
        <v>107</v>
      </c>
      <c r="CD848">
        <v>117</v>
      </c>
      <c r="CE848" t="s">
        <v>1587</v>
      </c>
      <c r="CF848" s="3">
        <v>45817</v>
      </c>
      <c r="CI848">
        <v>1</v>
      </c>
      <c r="CJ848">
        <v>1</v>
      </c>
      <c r="CK848">
        <v>41</v>
      </c>
      <c r="CL848" t="s">
        <v>90</v>
      </c>
    </row>
    <row r="849" spans="1:90" x14ac:dyDescent="0.3">
      <c r="A849" t="s">
        <v>72</v>
      </c>
      <c r="B849" t="s">
        <v>73</v>
      </c>
      <c r="C849" t="s">
        <v>74</v>
      </c>
      <c r="E849" t="str">
        <f>"080065810749"</f>
        <v>080065810749</v>
      </c>
      <c r="F849" s="3">
        <v>45814</v>
      </c>
      <c r="G849">
        <v>202603</v>
      </c>
      <c r="H849" t="s">
        <v>75</v>
      </c>
      <c r="I849" t="s">
        <v>76</v>
      </c>
      <c r="J849" t="s">
        <v>77</v>
      </c>
      <c r="K849" t="s">
        <v>78</v>
      </c>
      <c r="L849" t="s">
        <v>331</v>
      </c>
      <c r="M849" t="s">
        <v>332</v>
      </c>
      <c r="N849" t="s">
        <v>1499</v>
      </c>
      <c r="O849" t="s">
        <v>82</v>
      </c>
      <c r="P849" t="str">
        <f>"4170042706                    "</f>
        <v xml:space="preserve">4170042706                    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20.9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1</v>
      </c>
      <c r="BI849">
        <v>1</v>
      </c>
      <c r="BJ849">
        <v>0.2</v>
      </c>
      <c r="BK849">
        <v>1</v>
      </c>
      <c r="BL849">
        <v>69.5</v>
      </c>
      <c r="BM849">
        <v>10.43</v>
      </c>
      <c r="BN849">
        <v>79.930000000000007</v>
      </c>
      <c r="BO849">
        <v>79.930000000000007</v>
      </c>
      <c r="BQ849" t="s">
        <v>1500</v>
      </c>
      <c r="BR849" t="s">
        <v>84</v>
      </c>
      <c r="BS849" s="3">
        <v>45817</v>
      </c>
      <c r="BT849" s="4">
        <v>0.3347222222222222</v>
      </c>
      <c r="BU849" t="s">
        <v>1136</v>
      </c>
      <c r="BV849" t="s">
        <v>86</v>
      </c>
      <c r="BY849">
        <v>1200</v>
      </c>
      <c r="BZ849" t="s">
        <v>87</v>
      </c>
      <c r="CA849" t="s">
        <v>1061</v>
      </c>
      <c r="CC849" t="s">
        <v>332</v>
      </c>
      <c r="CD849">
        <v>4000</v>
      </c>
      <c r="CE849" t="s">
        <v>89</v>
      </c>
      <c r="CF849" s="3">
        <v>45817</v>
      </c>
      <c r="CI849">
        <v>1</v>
      </c>
      <c r="CJ849">
        <v>1</v>
      </c>
      <c r="CK849">
        <v>21</v>
      </c>
      <c r="CL849" t="s">
        <v>90</v>
      </c>
    </row>
    <row r="850" spans="1:90" x14ac:dyDescent="0.3">
      <c r="A850" t="s">
        <v>72</v>
      </c>
      <c r="B850" t="s">
        <v>73</v>
      </c>
      <c r="C850" t="s">
        <v>74</v>
      </c>
      <c r="E850" t="str">
        <f>"080065810811"</f>
        <v>080065810811</v>
      </c>
      <c r="F850" s="3">
        <v>45814</v>
      </c>
      <c r="G850">
        <v>202603</v>
      </c>
      <c r="H850" t="s">
        <v>75</v>
      </c>
      <c r="I850" t="s">
        <v>76</v>
      </c>
      <c r="J850" t="s">
        <v>77</v>
      </c>
      <c r="K850" t="s">
        <v>78</v>
      </c>
      <c r="L850" t="s">
        <v>504</v>
      </c>
      <c r="M850" t="s">
        <v>505</v>
      </c>
      <c r="N850" t="s">
        <v>506</v>
      </c>
      <c r="O850" t="s">
        <v>94</v>
      </c>
      <c r="P850" t="str">
        <f>"4170042715                    "</f>
        <v xml:space="preserve">4170042715                    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106.49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1</v>
      </c>
      <c r="BI850">
        <v>14</v>
      </c>
      <c r="BJ850">
        <v>31.5</v>
      </c>
      <c r="BK850">
        <v>32</v>
      </c>
      <c r="BL850">
        <v>359.7</v>
      </c>
      <c r="BM850">
        <v>53.96</v>
      </c>
      <c r="BN850">
        <v>413.66</v>
      </c>
      <c r="BO850">
        <v>413.66</v>
      </c>
      <c r="BQ850" t="s">
        <v>507</v>
      </c>
      <c r="BR850" t="s">
        <v>84</v>
      </c>
      <c r="BS850" s="3">
        <v>45817</v>
      </c>
      <c r="BT850" s="4">
        <v>0.65277777777777779</v>
      </c>
      <c r="BU850" t="s">
        <v>1062</v>
      </c>
      <c r="BV850" t="s">
        <v>86</v>
      </c>
      <c r="BY850">
        <v>157320</v>
      </c>
      <c r="CA850" t="s">
        <v>1462</v>
      </c>
      <c r="CC850" t="s">
        <v>505</v>
      </c>
      <c r="CD850">
        <v>2740</v>
      </c>
      <c r="CE850" t="s">
        <v>687</v>
      </c>
      <c r="CF850" s="3">
        <v>45818</v>
      </c>
      <c r="CI850">
        <v>1</v>
      </c>
      <c r="CJ850">
        <v>1</v>
      </c>
      <c r="CK850">
        <v>43</v>
      </c>
      <c r="CL850" t="s">
        <v>90</v>
      </c>
    </row>
    <row r="851" spans="1:90" x14ac:dyDescent="0.3">
      <c r="A851" t="s">
        <v>72</v>
      </c>
      <c r="B851" t="s">
        <v>73</v>
      </c>
      <c r="C851" t="s">
        <v>74</v>
      </c>
      <c r="E851" t="str">
        <f>"080065810835"</f>
        <v>080065810835</v>
      </c>
      <c r="F851" s="3">
        <v>45814</v>
      </c>
      <c r="G851">
        <v>202603</v>
      </c>
      <c r="H851" t="s">
        <v>75</v>
      </c>
      <c r="I851" t="s">
        <v>76</v>
      </c>
      <c r="J851" t="s">
        <v>77</v>
      </c>
      <c r="K851" t="s">
        <v>78</v>
      </c>
      <c r="L851" t="s">
        <v>701</v>
      </c>
      <c r="M851" t="s">
        <v>702</v>
      </c>
      <c r="N851" t="s">
        <v>860</v>
      </c>
      <c r="O851" t="s">
        <v>94</v>
      </c>
      <c r="P851" t="str">
        <f>"4170042723                    "</f>
        <v xml:space="preserve">4170042723                    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62.82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1</v>
      </c>
      <c r="BI851">
        <v>16</v>
      </c>
      <c r="BJ851">
        <v>16.899999999999999</v>
      </c>
      <c r="BK851">
        <v>17</v>
      </c>
      <c r="BL851">
        <v>214.48</v>
      </c>
      <c r="BM851">
        <v>32.17</v>
      </c>
      <c r="BN851">
        <v>246.65</v>
      </c>
      <c r="BO851">
        <v>246.65</v>
      </c>
      <c r="BQ851" t="s">
        <v>861</v>
      </c>
      <c r="BR851" t="s">
        <v>84</v>
      </c>
      <c r="BS851" s="3">
        <v>45817</v>
      </c>
      <c r="BT851" s="4">
        <v>0.42986111111111114</v>
      </c>
      <c r="BU851" t="s">
        <v>1588</v>
      </c>
      <c r="BV851" t="s">
        <v>86</v>
      </c>
      <c r="BY851">
        <v>84700</v>
      </c>
      <c r="BZ851" t="s">
        <v>97</v>
      </c>
      <c r="CC851" t="s">
        <v>702</v>
      </c>
      <c r="CD851">
        <v>2302</v>
      </c>
      <c r="CE851" t="s">
        <v>912</v>
      </c>
      <c r="CF851" s="3">
        <v>45818</v>
      </c>
      <c r="CI851">
        <v>1</v>
      </c>
      <c r="CJ851">
        <v>1</v>
      </c>
      <c r="CK851">
        <v>43</v>
      </c>
      <c r="CL851" t="s">
        <v>90</v>
      </c>
    </row>
    <row r="852" spans="1:90" x14ac:dyDescent="0.3">
      <c r="A852" t="s">
        <v>72</v>
      </c>
      <c r="B852" t="s">
        <v>73</v>
      </c>
      <c r="C852" t="s">
        <v>74</v>
      </c>
      <c r="E852" t="str">
        <f>"080065810882"</f>
        <v>080065810882</v>
      </c>
      <c r="F852" s="3">
        <v>45814</v>
      </c>
      <c r="G852">
        <v>202603</v>
      </c>
      <c r="H852" t="s">
        <v>75</v>
      </c>
      <c r="I852" t="s">
        <v>76</v>
      </c>
      <c r="J852" t="s">
        <v>77</v>
      </c>
      <c r="K852" t="s">
        <v>78</v>
      </c>
      <c r="L852" t="s">
        <v>116</v>
      </c>
      <c r="M852" t="s">
        <v>117</v>
      </c>
      <c r="N852" t="s">
        <v>1016</v>
      </c>
      <c r="O852" t="s">
        <v>82</v>
      </c>
      <c r="P852" t="str">
        <f>"4170042675                    "</f>
        <v xml:space="preserve">4170042675                    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114.86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1</v>
      </c>
      <c r="BI852">
        <v>8</v>
      </c>
      <c r="BJ852">
        <v>11</v>
      </c>
      <c r="BK852">
        <v>11</v>
      </c>
      <c r="BL852">
        <v>381.98</v>
      </c>
      <c r="BM852">
        <v>57.3</v>
      </c>
      <c r="BN852">
        <v>439.28</v>
      </c>
      <c r="BO852">
        <v>439.28</v>
      </c>
      <c r="BQ852" t="s">
        <v>1017</v>
      </c>
      <c r="BR852" t="s">
        <v>84</v>
      </c>
      <c r="BS852" s="3">
        <v>45817</v>
      </c>
      <c r="BT852" s="4">
        <v>0.41666666666666669</v>
      </c>
      <c r="BU852" t="s">
        <v>1018</v>
      </c>
      <c r="BV852" t="s">
        <v>86</v>
      </c>
      <c r="BY852">
        <v>54872</v>
      </c>
      <c r="BZ852" t="s">
        <v>87</v>
      </c>
      <c r="CA852" t="s">
        <v>121</v>
      </c>
      <c r="CC852" t="s">
        <v>117</v>
      </c>
      <c r="CD852">
        <v>3201</v>
      </c>
      <c r="CE852" t="s">
        <v>166</v>
      </c>
      <c r="CF852" s="3">
        <v>45818</v>
      </c>
      <c r="CI852">
        <v>1</v>
      </c>
      <c r="CJ852">
        <v>1</v>
      </c>
      <c r="CK852">
        <v>21</v>
      </c>
      <c r="CL852" t="s">
        <v>90</v>
      </c>
    </row>
    <row r="853" spans="1:90" x14ac:dyDescent="0.3">
      <c r="A853" t="s">
        <v>72</v>
      </c>
      <c r="B853" t="s">
        <v>73</v>
      </c>
      <c r="C853" t="s">
        <v>74</v>
      </c>
      <c r="E853" t="str">
        <f>"080065811084"</f>
        <v>080065811084</v>
      </c>
      <c r="F853" s="3">
        <v>45814</v>
      </c>
      <c r="G853">
        <v>202603</v>
      </c>
      <c r="H853" t="s">
        <v>75</v>
      </c>
      <c r="I853" t="s">
        <v>76</v>
      </c>
      <c r="J853" t="s">
        <v>77</v>
      </c>
      <c r="K853" t="s">
        <v>78</v>
      </c>
      <c r="L853" t="s">
        <v>239</v>
      </c>
      <c r="M853" t="s">
        <v>240</v>
      </c>
      <c r="N853" t="s">
        <v>241</v>
      </c>
      <c r="O853" t="s">
        <v>82</v>
      </c>
      <c r="P853" t="str">
        <f>"4170042543                    "</f>
        <v xml:space="preserve">4170042543                    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241.61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1</v>
      </c>
      <c r="BI853">
        <v>13</v>
      </c>
      <c r="BJ853">
        <v>9.6</v>
      </c>
      <c r="BK853">
        <v>13</v>
      </c>
      <c r="BL853">
        <v>803.49</v>
      </c>
      <c r="BM853">
        <v>120.52</v>
      </c>
      <c r="BN853">
        <v>924.01</v>
      </c>
      <c r="BO853">
        <v>924.01</v>
      </c>
      <c r="BQ853" t="s">
        <v>242</v>
      </c>
      <c r="BR853" t="s">
        <v>84</v>
      </c>
      <c r="BS853" s="3">
        <v>45817</v>
      </c>
      <c r="BT853" s="4">
        <v>0.40972222222222221</v>
      </c>
      <c r="BU853" t="s">
        <v>1589</v>
      </c>
      <c r="BV853" t="s">
        <v>86</v>
      </c>
      <c r="BY853">
        <v>48125</v>
      </c>
      <c r="BZ853" t="s">
        <v>87</v>
      </c>
      <c r="CC853" t="s">
        <v>240</v>
      </c>
      <c r="CD853">
        <v>2531</v>
      </c>
      <c r="CE853" t="s">
        <v>99</v>
      </c>
      <c r="CI853">
        <v>1</v>
      </c>
      <c r="CJ853">
        <v>1</v>
      </c>
      <c r="CK853">
        <v>23</v>
      </c>
      <c r="CL853" t="s">
        <v>90</v>
      </c>
    </row>
    <row r="854" spans="1:90" x14ac:dyDescent="0.3">
      <c r="A854" t="s">
        <v>72</v>
      </c>
      <c r="B854" t="s">
        <v>73</v>
      </c>
      <c r="C854" t="s">
        <v>74</v>
      </c>
      <c r="E854" t="str">
        <f>"080065811114"</f>
        <v>080065811114</v>
      </c>
      <c r="F854" s="3">
        <v>45814</v>
      </c>
      <c r="G854">
        <v>202603</v>
      </c>
      <c r="H854" t="s">
        <v>75</v>
      </c>
      <c r="I854" t="s">
        <v>76</v>
      </c>
      <c r="J854" t="s">
        <v>77</v>
      </c>
      <c r="K854" t="s">
        <v>78</v>
      </c>
      <c r="L854" t="s">
        <v>413</v>
      </c>
      <c r="M854" t="s">
        <v>414</v>
      </c>
      <c r="N854" t="s">
        <v>236</v>
      </c>
      <c r="O854" t="s">
        <v>82</v>
      </c>
      <c r="P854" t="str">
        <f>"4170042756                    "</f>
        <v xml:space="preserve">4170042756                    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41.78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1</v>
      </c>
      <c r="BI854">
        <v>1</v>
      </c>
      <c r="BJ854">
        <v>3.6</v>
      </c>
      <c r="BK854">
        <v>4</v>
      </c>
      <c r="BL854">
        <v>138.94</v>
      </c>
      <c r="BM854">
        <v>20.84</v>
      </c>
      <c r="BN854">
        <v>159.78</v>
      </c>
      <c r="BO854">
        <v>159.78</v>
      </c>
      <c r="BQ854" t="s">
        <v>237</v>
      </c>
      <c r="BR854" t="s">
        <v>84</v>
      </c>
      <c r="BS854" s="3">
        <v>45817</v>
      </c>
      <c r="BT854" s="4">
        <v>0.6069444444444444</v>
      </c>
      <c r="BU854" t="s">
        <v>1590</v>
      </c>
      <c r="BV854" t="s">
        <v>90</v>
      </c>
      <c r="BW854" t="s">
        <v>212</v>
      </c>
      <c r="BX854" t="s">
        <v>213</v>
      </c>
      <c r="BY854">
        <v>17920</v>
      </c>
      <c r="BZ854" t="s">
        <v>87</v>
      </c>
      <c r="CA854" t="s">
        <v>418</v>
      </c>
      <c r="CC854" t="s">
        <v>414</v>
      </c>
      <c r="CD854">
        <v>4133</v>
      </c>
      <c r="CE854" t="s">
        <v>166</v>
      </c>
      <c r="CF854" s="3">
        <v>45817</v>
      </c>
      <c r="CI854">
        <v>1</v>
      </c>
      <c r="CJ854">
        <v>1</v>
      </c>
      <c r="CK854">
        <v>21</v>
      </c>
      <c r="CL854" t="s">
        <v>90</v>
      </c>
    </row>
    <row r="855" spans="1:90" x14ac:dyDescent="0.3">
      <c r="A855" t="s">
        <v>72</v>
      </c>
      <c r="B855" t="s">
        <v>73</v>
      </c>
      <c r="C855" t="s">
        <v>74</v>
      </c>
      <c r="E855" t="str">
        <f>"080065811130"</f>
        <v>080065811130</v>
      </c>
      <c r="F855" s="3">
        <v>45814</v>
      </c>
      <c r="G855">
        <v>202603</v>
      </c>
      <c r="H855" t="s">
        <v>75</v>
      </c>
      <c r="I855" t="s">
        <v>76</v>
      </c>
      <c r="J855" t="s">
        <v>77</v>
      </c>
      <c r="K855" t="s">
        <v>78</v>
      </c>
      <c r="L855" t="s">
        <v>321</v>
      </c>
      <c r="M855" t="s">
        <v>322</v>
      </c>
      <c r="N855" t="s">
        <v>323</v>
      </c>
      <c r="O855" t="s">
        <v>82</v>
      </c>
      <c r="P855" t="str">
        <f>"4170042690                    "</f>
        <v xml:space="preserve">4170042690                    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29.39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1</v>
      </c>
      <c r="BI855">
        <v>1</v>
      </c>
      <c r="BJ855">
        <v>0.2</v>
      </c>
      <c r="BK855">
        <v>1</v>
      </c>
      <c r="BL855">
        <v>97.74</v>
      </c>
      <c r="BM855">
        <v>14.66</v>
      </c>
      <c r="BN855">
        <v>112.4</v>
      </c>
      <c r="BO855">
        <v>112.4</v>
      </c>
      <c r="BQ855" t="s">
        <v>324</v>
      </c>
      <c r="BR855" t="s">
        <v>84</v>
      </c>
      <c r="BS855" s="3">
        <v>45817</v>
      </c>
      <c r="BT855" s="4">
        <v>0.3923611111111111</v>
      </c>
      <c r="BU855" t="s">
        <v>1591</v>
      </c>
      <c r="BV855" t="s">
        <v>86</v>
      </c>
      <c r="BY855">
        <v>1200</v>
      </c>
      <c r="CA855" t="s">
        <v>326</v>
      </c>
      <c r="CC855" t="s">
        <v>322</v>
      </c>
      <c r="CD855">
        <v>1438</v>
      </c>
      <c r="CE855" t="s">
        <v>215</v>
      </c>
      <c r="CF855" s="3">
        <v>45817</v>
      </c>
      <c r="CI855">
        <v>1</v>
      </c>
      <c r="CJ855">
        <v>1</v>
      </c>
      <c r="CK855">
        <v>24</v>
      </c>
      <c r="CL855" t="s">
        <v>90</v>
      </c>
    </row>
    <row r="856" spans="1:90" x14ac:dyDescent="0.3">
      <c r="A856" t="s">
        <v>72</v>
      </c>
      <c r="B856" t="s">
        <v>73</v>
      </c>
      <c r="C856" t="s">
        <v>74</v>
      </c>
      <c r="E856" t="str">
        <f>"080065811152"</f>
        <v>080065811152</v>
      </c>
      <c r="F856" s="3">
        <v>45814</v>
      </c>
      <c r="G856">
        <v>202603</v>
      </c>
      <c r="H856" t="s">
        <v>75</v>
      </c>
      <c r="I856" t="s">
        <v>76</v>
      </c>
      <c r="J856" t="s">
        <v>77</v>
      </c>
      <c r="K856" t="s">
        <v>78</v>
      </c>
      <c r="L856" t="s">
        <v>100</v>
      </c>
      <c r="M856" t="s">
        <v>101</v>
      </c>
      <c r="N856" t="s">
        <v>123</v>
      </c>
      <c r="O856" t="s">
        <v>82</v>
      </c>
      <c r="P856" t="str">
        <f>"4170042709                    "</f>
        <v xml:space="preserve">4170042709                    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20.9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1</v>
      </c>
      <c r="BI856">
        <v>1</v>
      </c>
      <c r="BJ856">
        <v>0.2</v>
      </c>
      <c r="BK856">
        <v>1</v>
      </c>
      <c r="BL856">
        <v>69.5</v>
      </c>
      <c r="BM856">
        <v>10.43</v>
      </c>
      <c r="BN856">
        <v>79.930000000000007</v>
      </c>
      <c r="BO856">
        <v>79.930000000000007</v>
      </c>
      <c r="BQ856" t="s">
        <v>124</v>
      </c>
      <c r="BR856" t="s">
        <v>84</v>
      </c>
      <c r="BS856" s="3">
        <v>45817</v>
      </c>
      <c r="BT856" s="4">
        <v>0.38541666666666669</v>
      </c>
      <c r="BU856" t="s">
        <v>234</v>
      </c>
      <c r="BV856" t="s">
        <v>86</v>
      </c>
      <c r="BY856">
        <v>1200</v>
      </c>
      <c r="BZ856" t="s">
        <v>87</v>
      </c>
      <c r="CA856" t="s">
        <v>235</v>
      </c>
      <c r="CC856" t="s">
        <v>101</v>
      </c>
      <c r="CD856">
        <v>6001</v>
      </c>
      <c r="CE856" t="s">
        <v>89</v>
      </c>
      <c r="CF856" s="3">
        <v>45817</v>
      </c>
      <c r="CI856">
        <v>1</v>
      </c>
      <c r="CJ856">
        <v>1</v>
      </c>
      <c r="CK856">
        <v>21</v>
      </c>
      <c r="CL856" t="s">
        <v>90</v>
      </c>
    </row>
    <row r="857" spans="1:90" x14ac:dyDescent="0.3">
      <c r="A857" t="s">
        <v>72</v>
      </c>
      <c r="B857" t="s">
        <v>73</v>
      </c>
      <c r="C857" t="s">
        <v>74</v>
      </c>
      <c r="E857" t="str">
        <f>"080065811174"</f>
        <v>080065811174</v>
      </c>
      <c r="F857" s="3">
        <v>45814</v>
      </c>
      <c r="G857">
        <v>202603</v>
      </c>
      <c r="H857" t="s">
        <v>75</v>
      </c>
      <c r="I857" t="s">
        <v>76</v>
      </c>
      <c r="J857" t="s">
        <v>77</v>
      </c>
      <c r="K857" t="s">
        <v>78</v>
      </c>
      <c r="L857" t="s">
        <v>159</v>
      </c>
      <c r="M857" t="s">
        <v>160</v>
      </c>
      <c r="N857" t="s">
        <v>1378</v>
      </c>
      <c r="O857" t="s">
        <v>82</v>
      </c>
      <c r="P857" t="str">
        <f>"4170042611                    "</f>
        <v xml:space="preserve">4170042611                    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16.32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1</v>
      </c>
      <c r="BI857">
        <v>3</v>
      </c>
      <c r="BJ857">
        <v>4</v>
      </c>
      <c r="BK857">
        <v>4</v>
      </c>
      <c r="BL857">
        <v>54.28</v>
      </c>
      <c r="BM857">
        <v>8.14</v>
      </c>
      <c r="BN857">
        <v>62.42</v>
      </c>
      <c r="BO857">
        <v>62.42</v>
      </c>
      <c r="BQ857" t="s">
        <v>1379</v>
      </c>
      <c r="BR857" t="s">
        <v>84</v>
      </c>
      <c r="BS857" s="3">
        <v>45817</v>
      </c>
      <c r="BT857" s="4">
        <v>0.35972222222222222</v>
      </c>
      <c r="BU857" t="s">
        <v>1592</v>
      </c>
      <c r="BV857" t="s">
        <v>86</v>
      </c>
      <c r="BY857">
        <v>20216</v>
      </c>
      <c r="CA857" t="s">
        <v>1381</v>
      </c>
      <c r="CC857" t="s">
        <v>160</v>
      </c>
      <c r="CD857">
        <v>2007</v>
      </c>
      <c r="CE857" t="s">
        <v>166</v>
      </c>
      <c r="CF857" s="3">
        <v>45817</v>
      </c>
      <c r="CI857">
        <v>1</v>
      </c>
      <c r="CJ857">
        <v>1</v>
      </c>
      <c r="CK857">
        <v>22</v>
      </c>
      <c r="CL857" t="s">
        <v>90</v>
      </c>
    </row>
    <row r="858" spans="1:90" x14ac:dyDescent="0.3">
      <c r="A858" t="s">
        <v>72</v>
      </c>
      <c r="B858" t="s">
        <v>73</v>
      </c>
      <c r="C858" t="s">
        <v>74</v>
      </c>
      <c r="E858" t="str">
        <f>"080065811178"</f>
        <v>080065811178</v>
      </c>
      <c r="F858" s="3">
        <v>45814</v>
      </c>
      <c r="G858">
        <v>202603</v>
      </c>
      <c r="H858" t="s">
        <v>75</v>
      </c>
      <c r="I858" t="s">
        <v>76</v>
      </c>
      <c r="J858" t="s">
        <v>77</v>
      </c>
      <c r="K858" t="s">
        <v>78</v>
      </c>
      <c r="L858" t="s">
        <v>106</v>
      </c>
      <c r="M858" t="s">
        <v>107</v>
      </c>
      <c r="N858" t="s">
        <v>1593</v>
      </c>
      <c r="O858" t="s">
        <v>82</v>
      </c>
      <c r="P858" t="str">
        <f>"4170042820                    "</f>
        <v xml:space="preserve">4170042820                    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20.9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0</v>
      </c>
      <c r="BF858">
        <v>0</v>
      </c>
      <c r="BG858">
        <v>0</v>
      </c>
      <c r="BH858">
        <v>1</v>
      </c>
      <c r="BI858">
        <v>1</v>
      </c>
      <c r="BJ858">
        <v>0.2</v>
      </c>
      <c r="BK858">
        <v>1</v>
      </c>
      <c r="BL858">
        <v>69.5</v>
      </c>
      <c r="BM858">
        <v>10.43</v>
      </c>
      <c r="BN858">
        <v>79.930000000000007</v>
      </c>
      <c r="BO858">
        <v>79.930000000000007</v>
      </c>
      <c r="BQ858" t="s">
        <v>1594</v>
      </c>
      <c r="BR858" t="s">
        <v>84</v>
      </c>
      <c r="BS858" s="3">
        <v>45817</v>
      </c>
      <c r="BT858" s="4">
        <v>0.33819444444444446</v>
      </c>
      <c r="BU858" t="s">
        <v>1595</v>
      </c>
      <c r="BV858" t="s">
        <v>86</v>
      </c>
      <c r="BY858">
        <v>1200</v>
      </c>
      <c r="BZ858" t="s">
        <v>87</v>
      </c>
      <c r="CA858" t="s">
        <v>1596</v>
      </c>
      <c r="CC858" t="s">
        <v>107</v>
      </c>
      <c r="CD858">
        <v>40</v>
      </c>
      <c r="CE858" t="s">
        <v>89</v>
      </c>
      <c r="CF858" s="3">
        <v>45817</v>
      </c>
      <c r="CI858">
        <v>1</v>
      </c>
      <c r="CJ858">
        <v>1</v>
      </c>
      <c r="CK858">
        <v>21</v>
      </c>
      <c r="CL858" t="s">
        <v>90</v>
      </c>
    </row>
    <row r="859" spans="1:90" x14ac:dyDescent="0.3">
      <c r="A859" t="s">
        <v>72</v>
      </c>
      <c r="B859" t="s">
        <v>73</v>
      </c>
      <c r="C859" t="s">
        <v>74</v>
      </c>
      <c r="E859" t="str">
        <f>"080065811194"</f>
        <v>080065811194</v>
      </c>
      <c r="F859" s="3">
        <v>45814</v>
      </c>
      <c r="G859">
        <v>202603</v>
      </c>
      <c r="H859" t="s">
        <v>75</v>
      </c>
      <c r="I859" t="s">
        <v>76</v>
      </c>
      <c r="J859" t="s">
        <v>77</v>
      </c>
      <c r="K859" t="s">
        <v>78</v>
      </c>
      <c r="L859" t="s">
        <v>91</v>
      </c>
      <c r="M859" t="s">
        <v>92</v>
      </c>
      <c r="N859" t="s">
        <v>93</v>
      </c>
      <c r="O859" t="s">
        <v>82</v>
      </c>
      <c r="P859" t="str">
        <f>"4170042606                    "</f>
        <v xml:space="preserve">4170042606                    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20.9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1</v>
      </c>
      <c r="BI859">
        <v>1</v>
      </c>
      <c r="BJ859">
        <v>0.2</v>
      </c>
      <c r="BK859">
        <v>1</v>
      </c>
      <c r="BL859">
        <v>69.5</v>
      </c>
      <c r="BM859">
        <v>10.43</v>
      </c>
      <c r="BN859">
        <v>79.930000000000007</v>
      </c>
      <c r="BO859">
        <v>79.930000000000007</v>
      </c>
      <c r="BQ859" t="s">
        <v>95</v>
      </c>
      <c r="BR859" t="s">
        <v>84</v>
      </c>
      <c r="BS859" s="3">
        <v>45817</v>
      </c>
      <c r="BT859" s="4">
        <v>0.37638888888888888</v>
      </c>
      <c r="BU859" t="s">
        <v>290</v>
      </c>
      <c r="BV859" t="s">
        <v>86</v>
      </c>
      <c r="BY859">
        <v>1200</v>
      </c>
      <c r="BZ859" t="s">
        <v>87</v>
      </c>
      <c r="CA859" t="s">
        <v>291</v>
      </c>
      <c r="CC859" t="s">
        <v>92</v>
      </c>
      <c r="CD859">
        <v>7441</v>
      </c>
      <c r="CE859" t="s">
        <v>89</v>
      </c>
      <c r="CF859" s="3">
        <v>45818</v>
      </c>
      <c r="CI859">
        <v>1</v>
      </c>
      <c r="CJ859">
        <v>1</v>
      </c>
      <c r="CK859">
        <v>21</v>
      </c>
      <c r="CL859" t="s">
        <v>90</v>
      </c>
    </row>
    <row r="860" spans="1:90" x14ac:dyDescent="0.3">
      <c r="A860" t="s">
        <v>72</v>
      </c>
      <c r="B860" t="s">
        <v>73</v>
      </c>
      <c r="C860" t="s">
        <v>74</v>
      </c>
      <c r="E860" t="str">
        <f>"080065811196"</f>
        <v>080065811196</v>
      </c>
      <c r="F860" s="3">
        <v>45814</v>
      </c>
      <c r="G860">
        <v>202603</v>
      </c>
      <c r="H860" t="s">
        <v>75</v>
      </c>
      <c r="I860" t="s">
        <v>76</v>
      </c>
      <c r="J860" t="s">
        <v>77</v>
      </c>
      <c r="K860" t="s">
        <v>78</v>
      </c>
      <c r="L860" t="s">
        <v>266</v>
      </c>
      <c r="M860" t="s">
        <v>267</v>
      </c>
      <c r="N860" t="s">
        <v>1597</v>
      </c>
      <c r="O860" t="s">
        <v>82</v>
      </c>
      <c r="P860" t="str">
        <f>"4170042556                    "</f>
        <v xml:space="preserve">4170042556                    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20.9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0</v>
      </c>
      <c r="BF860">
        <v>0</v>
      </c>
      <c r="BG860">
        <v>0</v>
      </c>
      <c r="BH860">
        <v>1</v>
      </c>
      <c r="BI860">
        <v>1</v>
      </c>
      <c r="BJ860">
        <v>1.1000000000000001</v>
      </c>
      <c r="BK860">
        <v>1.5</v>
      </c>
      <c r="BL860">
        <v>69.5</v>
      </c>
      <c r="BM860">
        <v>10.43</v>
      </c>
      <c r="BN860">
        <v>79.930000000000007</v>
      </c>
      <c r="BO860">
        <v>79.930000000000007</v>
      </c>
      <c r="BQ860" t="s">
        <v>1598</v>
      </c>
      <c r="BR860" t="s">
        <v>84</v>
      </c>
      <c r="BS860" s="3">
        <v>45817</v>
      </c>
      <c r="BT860" s="4">
        <v>0.33333333333333331</v>
      </c>
      <c r="BU860" t="s">
        <v>1389</v>
      </c>
      <c r="BV860" t="s">
        <v>86</v>
      </c>
      <c r="BY860">
        <v>5320</v>
      </c>
      <c r="BZ860" t="s">
        <v>87</v>
      </c>
      <c r="CA860" t="s">
        <v>271</v>
      </c>
      <c r="CC860" t="s">
        <v>267</v>
      </c>
      <c r="CD860">
        <v>6230</v>
      </c>
      <c r="CE860" t="s">
        <v>99</v>
      </c>
      <c r="CF860" s="3">
        <v>45817</v>
      </c>
      <c r="CI860">
        <v>1</v>
      </c>
      <c r="CJ860">
        <v>1</v>
      </c>
      <c r="CK860">
        <v>21</v>
      </c>
      <c r="CL860" t="s">
        <v>90</v>
      </c>
    </row>
    <row r="861" spans="1:90" x14ac:dyDescent="0.3">
      <c r="A861" t="s">
        <v>72</v>
      </c>
      <c r="B861" t="s">
        <v>73</v>
      </c>
      <c r="C861" t="s">
        <v>74</v>
      </c>
      <c r="E861" t="str">
        <f>"080065811217"</f>
        <v>080065811217</v>
      </c>
      <c r="F861" s="3">
        <v>45814</v>
      </c>
      <c r="G861">
        <v>202603</v>
      </c>
      <c r="H861" t="s">
        <v>75</v>
      </c>
      <c r="I861" t="s">
        <v>76</v>
      </c>
      <c r="J861" t="s">
        <v>77</v>
      </c>
      <c r="K861" t="s">
        <v>78</v>
      </c>
      <c r="L861" t="s">
        <v>174</v>
      </c>
      <c r="M861" t="s">
        <v>175</v>
      </c>
      <c r="N861" t="s">
        <v>1599</v>
      </c>
      <c r="O861" t="s">
        <v>82</v>
      </c>
      <c r="P861" t="str">
        <f>"4170042567                    "</f>
        <v xml:space="preserve">4170042567                    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20.9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1</v>
      </c>
      <c r="BI861">
        <v>1</v>
      </c>
      <c r="BJ861">
        <v>0.2</v>
      </c>
      <c r="BK861">
        <v>1</v>
      </c>
      <c r="BL861">
        <v>69.5</v>
      </c>
      <c r="BM861">
        <v>10.43</v>
      </c>
      <c r="BN861">
        <v>79.930000000000007</v>
      </c>
      <c r="BO861">
        <v>79.930000000000007</v>
      </c>
      <c r="BQ861" t="s">
        <v>1600</v>
      </c>
      <c r="BR861" t="s">
        <v>84</v>
      </c>
      <c r="BS861" s="3">
        <v>45818</v>
      </c>
      <c r="BT861" s="4">
        <v>0.63263888888888886</v>
      </c>
      <c r="BU861" t="s">
        <v>1601</v>
      </c>
      <c r="BV861" t="s">
        <v>90</v>
      </c>
      <c r="BW861" t="s">
        <v>212</v>
      </c>
      <c r="BX861" t="s">
        <v>213</v>
      </c>
      <c r="BY861">
        <v>1200</v>
      </c>
      <c r="CA861" t="s">
        <v>596</v>
      </c>
      <c r="CC861" t="s">
        <v>175</v>
      </c>
      <c r="CD861">
        <v>3610</v>
      </c>
      <c r="CE861" t="s">
        <v>215</v>
      </c>
      <c r="CF861" s="3">
        <v>45819</v>
      </c>
      <c r="CI861">
        <v>1</v>
      </c>
      <c r="CJ861">
        <v>2</v>
      </c>
      <c r="CK861">
        <v>21</v>
      </c>
      <c r="CL861" t="s">
        <v>90</v>
      </c>
    </row>
    <row r="862" spans="1:90" x14ac:dyDescent="0.3">
      <c r="A862" t="s">
        <v>72</v>
      </c>
      <c r="B862" t="s">
        <v>73</v>
      </c>
      <c r="C862" t="s">
        <v>74</v>
      </c>
      <c r="E862" t="str">
        <f>"080065811228"</f>
        <v>080065811228</v>
      </c>
      <c r="F862" s="3">
        <v>45814</v>
      </c>
      <c r="G862">
        <v>202603</v>
      </c>
      <c r="H862" t="s">
        <v>75</v>
      </c>
      <c r="I862" t="s">
        <v>76</v>
      </c>
      <c r="J862" t="s">
        <v>77</v>
      </c>
      <c r="K862" t="s">
        <v>78</v>
      </c>
      <c r="L862" t="s">
        <v>369</v>
      </c>
      <c r="M862" t="s">
        <v>370</v>
      </c>
      <c r="N862" t="s">
        <v>371</v>
      </c>
      <c r="O862" t="s">
        <v>82</v>
      </c>
      <c r="P862" t="str">
        <f>"4170042703                    "</f>
        <v xml:space="preserve">4170042703                    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40.49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1</v>
      </c>
      <c r="BI862">
        <v>1</v>
      </c>
      <c r="BJ862">
        <v>0.2</v>
      </c>
      <c r="BK862">
        <v>1</v>
      </c>
      <c r="BL862">
        <v>134.65</v>
      </c>
      <c r="BM862">
        <v>20.2</v>
      </c>
      <c r="BN862">
        <v>154.85</v>
      </c>
      <c r="BO862">
        <v>154.85</v>
      </c>
      <c r="BQ862" t="s">
        <v>372</v>
      </c>
      <c r="BR862" t="s">
        <v>84</v>
      </c>
      <c r="BS862" s="3">
        <v>45817</v>
      </c>
      <c r="BT862" s="4">
        <v>0.39861111111111114</v>
      </c>
      <c r="BU862" t="s">
        <v>1332</v>
      </c>
      <c r="BV862" t="s">
        <v>86</v>
      </c>
      <c r="BY862">
        <v>1200</v>
      </c>
      <c r="CA862" t="s">
        <v>374</v>
      </c>
      <c r="CC862" t="s">
        <v>370</v>
      </c>
      <c r="CD862">
        <v>7130</v>
      </c>
      <c r="CE862" t="s">
        <v>215</v>
      </c>
      <c r="CF862" s="3">
        <v>45818</v>
      </c>
      <c r="CI862">
        <v>1</v>
      </c>
      <c r="CJ862">
        <v>1</v>
      </c>
      <c r="CK862">
        <v>23</v>
      </c>
      <c r="CL862" t="s">
        <v>90</v>
      </c>
    </row>
    <row r="863" spans="1:90" x14ac:dyDescent="0.3">
      <c r="A863" t="s">
        <v>72</v>
      </c>
      <c r="B863" t="s">
        <v>73</v>
      </c>
      <c r="C863" t="s">
        <v>74</v>
      </c>
      <c r="E863" t="str">
        <f>"080065811233"</f>
        <v>080065811233</v>
      </c>
      <c r="F863" s="3">
        <v>45814</v>
      </c>
      <c r="G863">
        <v>202603</v>
      </c>
      <c r="H863" t="s">
        <v>75</v>
      </c>
      <c r="I863" t="s">
        <v>76</v>
      </c>
      <c r="J863" t="s">
        <v>77</v>
      </c>
      <c r="K863" t="s">
        <v>78</v>
      </c>
      <c r="L863" t="s">
        <v>91</v>
      </c>
      <c r="M863" t="s">
        <v>92</v>
      </c>
      <c r="N863" t="s">
        <v>1602</v>
      </c>
      <c r="O863" t="s">
        <v>82</v>
      </c>
      <c r="P863" t="str">
        <f>"4170042626                    "</f>
        <v xml:space="preserve">4170042626                    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20.9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1</v>
      </c>
      <c r="BI863">
        <v>1</v>
      </c>
      <c r="BJ863">
        <v>1.7</v>
      </c>
      <c r="BK863">
        <v>2</v>
      </c>
      <c r="BL863">
        <v>69.5</v>
      </c>
      <c r="BM863">
        <v>10.43</v>
      </c>
      <c r="BN863">
        <v>79.930000000000007</v>
      </c>
      <c r="BO863">
        <v>79.930000000000007</v>
      </c>
      <c r="BQ863" t="s">
        <v>1603</v>
      </c>
      <c r="BR863" t="s">
        <v>84</v>
      </c>
      <c r="BS863" s="3">
        <v>45817</v>
      </c>
      <c r="BT863" s="4">
        <v>0.35</v>
      </c>
      <c r="BU863" t="s">
        <v>1604</v>
      </c>
      <c r="BV863" t="s">
        <v>86</v>
      </c>
      <c r="BY863">
        <v>8512</v>
      </c>
      <c r="BZ863" t="s">
        <v>87</v>
      </c>
      <c r="CA863" t="s">
        <v>330</v>
      </c>
      <c r="CC863" t="s">
        <v>92</v>
      </c>
      <c r="CD863">
        <v>7535</v>
      </c>
      <c r="CE863" t="s">
        <v>99</v>
      </c>
      <c r="CF863" s="3">
        <v>45818</v>
      </c>
      <c r="CI863">
        <v>1</v>
      </c>
      <c r="CJ863">
        <v>1</v>
      </c>
      <c r="CK863">
        <v>21</v>
      </c>
      <c r="CL863" t="s">
        <v>90</v>
      </c>
    </row>
    <row r="864" spans="1:90" x14ac:dyDescent="0.3">
      <c r="A864" t="s">
        <v>72</v>
      </c>
      <c r="B864" t="s">
        <v>73</v>
      </c>
      <c r="C864" t="s">
        <v>74</v>
      </c>
      <c r="E864" t="str">
        <f>"080065811238"</f>
        <v>080065811238</v>
      </c>
      <c r="F864" s="3">
        <v>45814</v>
      </c>
      <c r="G864">
        <v>202603</v>
      </c>
      <c r="H864" t="s">
        <v>75</v>
      </c>
      <c r="I864" t="s">
        <v>76</v>
      </c>
      <c r="J864" t="s">
        <v>77</v>
      </c>
      <c r="K864" t="s">
        <v>78</v>
      </c>
      <c r="L864" t="s">
        <v>91</v>
      </c>
      <c r="M864" t="s">
        <v>92</v>
      </c>
      <c r="N864" t="s">
        <v>540</v>
      </c>
      <c r="O864" t="s">
        <v>82</v>
      </c>
      <c r="P864" t="str">
        <f>"4170042639                    "</f>
        <v xml:space="preserve">4170042639                    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20.9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1</v>
      </c>
      <c r="BI864">
        <v>1</v>
      </c>
      <c r="BJ864">
        <v>0.2</v>
      </c>
      <c r="BK864">
        <v>1</v>
      </c>
      <c r="BL864">
        <v>69.5</v>
      </c>
      <c r="BM864">
        <v>10.43</v>
      </c>
      <c r="BN864">
        <v>79.930000000000007</v>
      </c>
      <c r="BO864">
        <v>79.930000000000007</v>
      </c>
      <c r="BQ864" t="s">
        <v>541</v>
      </c>
      <c r="BR864" t="s">
        <v>84</v>
      </c>
      <c r="BS864" s="3">
        <v>45817</v>
      </c>
      <c r="BT864" s="4">
        <v>0.42499999999999999</v>
      </c>
      <c r="BU864" t="s">
        <v>1106</v>
      </c>
      <c r="BV864" t="s">
        <v>86</v>
      </c>
      <c r="BY864">
        <v>1200</v>
      </c>
      <c r="BZ864" t="s">
        <v>87</v>
      </c>
      <c r="CA864" t="s">
        <v>291</v>
      </c>
      <c r="CC864" t="s">
        <v>92</v>
      </c>
      <c r="CD864">
        <v>7441</v>
      </c>
      <c r="CE864" t="s">
        <v>89</v>
      </c>
      <c r="CF864" s="3">
        <v>45818</v>
      </c>
      <c r="CI864">
        <v>1</v>
      </c>
      <c r="CJ864">
        <v>1</v>
      </c>
      <c r="CK864">
        <v>21</v>
      </c>
      <c r="CL864" t="s">
        <v>90</v>
      </c>
    </row>
    <row r="865" spans="1:90" x14ac:dyDescent="0.3">
      <c r="A865" t="s">
        <v>72</v>
      </c>
      <c r="B865" t="s">
        <v>73</v>
      </c>
      <c r="C865" t="s">
        <v>74</v>
      </c>
      <c r="E865" t="str">
        <f>"080065811246"</f>
        <v>080065811246</v>
      </c>
      <c r="F865" s="3">
        <v>45814</v>
      </c>
      <c r="G865">
        <v>202603</v>
      </c>
      <c r="H865" t="s">
        <v>75</v>
      </c>
      <c r="I865" t="s">
        <v>76</v>
      </c>
      <c r="J865" t="s">
        <v>77</v>
      </c>
      <c r="K865" t="s">
        <v>78</v>
      </c>
      <c r="L865" t="s">
        <v>159</v>
      </c>
      <c r="M865" t="s">
        <v>160</v>
      </c>
      <c r="N865" t="s">
        <v>1605</v>
      </c>
      <c r="O865" t="s">
        <v>82</v>
      </c>
      <c r="P865" t="str">
        <f>"4170042555                    "</f>
        <v xml:space="preserve">4170042555                    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16.32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1</v>
      </c>
      <c r="BI865">
        <v>1</v>
      </c>
      <c r="BJ865">
        <v>0.9</v>
      </c>
      <c r="BK865">
        <v>1</v>
      </c>
      <c r="BL865">
        <v>54.28</v>
      </c>
      <c r="BM865">
        <v>8.14</v>
      </c>
      <c r="BN865">
        <v>62.42</v>
      </c>
      <c r="BO865">
        <v>62.42</v>
      </c>
      <c r="BQ865" t="s">
        <v>1606</v>
      </c>
      <c r="BR865" t="s">
        <v>84</v>
      </c>
      <c r="BS865" s="3">
        <v>45817</v>
      </c>
      <c r="BT865" s="4">
        <v>0.3611111111111111</v>
      </c>
      <c r="BU865" t="s">
        <v>1607</v>
      </c>
      <c r="BV865" t="s">
        <v>86</v>
      </c>
      <c r="BY865">
        <v>4560</v>
      </c>
      <c r="CA865" t="s">
        <v>444</v>
      </c>
      <c r="CC865" t="s">
        <v>160</v>
      </c>
      <c r="CD865">
        <v>2001</v>
      </c>
      <c r="CE865" t="s">
        <v>687</v>
      </c>
      <c r="CF865" s="3">
        <v>45818</v>
      </c>
      <c r="CI865">
        <v>1</v>
      </c>
      <c r="CJ865">
        <v>1</v>
      </c>
      <c r="CK865">
        <v>22</v>
      </c>
      <c r="CL865" t="s">
        <v>90</v>
      </c>
    </row>
    <row r="866" spans="1:90" x14ac:dyDescent="0.3">
      <c r="A866" t="s">
        <v>72</v>
      </c>
      <c r="B866" t="s">
        <v>73</v>
      </c>
      <c r="C866" t="s">
        <v>74</v>
      </c>
      <c r="E866" t="str">
        <f>"080065811247"</f>
        <v>080065811247</v>
      </c>
      <c r="F866" s="3">
        <v>45814</v>
      </c>
      <c r="G866">
        <v>202603</v>
      </c>
      <c r="H866" t="s">
        <v>75</v>
      </c>
      <c r="I866" t="s">
        <v>76</v>
      </c>
      <c r="J866" t="s">
        <v>77</v>
      </c>
      <c r="K866" t="s">
        <v>78</v>
      </c>
      <c r="L866" t="s">
        <v>91</v>
      </c>
      <c r="M866" t="s">
        <v>92</v>
      </c>
      <c r="N866" t="s">
        <v>540</v>
      </c>
      <c r="O866" t="s">
        <v>82</v>
      </c>
      <c r="P866" t="str">
        <f>"4170042707                    "</f>
        <v xml:space="preserve">4170042707                    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20.9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1</v>
      </c>
      <c r="BI866">
        <v>1</v>
      </c>
      <c r="BJ866">
        <v>0.2</v>
      </c>
      <c r="BK866">
        <v>1</v>
      </c>
      <c r="BL866">
        <v>69.5</v>
      </c>
      <c r="BM866">
        <v>10.43</v>
      </c>
      <c r="BN866">
        <v>79.930000000000007</v>
      </c>
      <c r="BO866">
        <v>79.930000000000007</v>
      </c>
      <c r="BQ866" t="s">
        <v>541</v>
      </c>
      <c r="BR866" t="s">
        <v>84</v>
      </c>
      <c r="BS866" s="3">
        <v>45817</v>
      </c>
      <c r="BT866" s="4">
        <v>0.42499999999999999</v>
      </c>
      <c r="BU866" t="s">
        <v>1106</v>
      </c>
      <c r="BV866" t="s">
        <v>86</v>
      </c>
      <c r="BY866">
        <v>1200</v>
      </c>
      <c r="BZ866" t="s">
        <v>87</v>
      </c>
      <c r="CA866" t="s">
        <v>291</v>
      </c>
      <c r="CC866" t="s">
        <v>92</v>
      </c>
      <c r="CD866">
        <v>7441</v>
      </c>
      <c r="CE866" t="s">
        <v>89</v>
      </c>
      <c r="CF866" s="3">
        <v>45818</v>
      </c>
      <c r="CI866">
        <v>1</v>
      </c>
      <c r="CJ866">
        <v>1</v>
      </c>
      <c r="CK866">
        <v>21</v>
      </c>
      <c r="CL866" t="s">
        <v>90</v>
      </c>
    </row>
    <row r="867" spans="1:90" x14ac:dyDescent="0.3">
      <c r="A867" t="s">
        <v>72</v>
      </c>
      <c r="B867" t="s">
        <v>73</v>
      </c>
      <c r="C867" t="s">
        <v>74</v>
      </c>
      <c r="E867" t="str">
        <f>"080065811259"</f>
        <v>080065811259</v>
      </c>
      <c r="F867" s="3">
        <v>45814</v>
      </c>
      <c r="G867">
        <v>202603</v>
      </c>
      <c r="H867" t="s">
        <v>75</v>
      </c>
      <c r="I867" t="s">
        <v>76</v>
      </c>
      <c r="J867" t="s">
        <v>77</v>
      </c>
      <c r="K867" t="s">
        <v>78</v>
      </c>
      <c r="L867" t="s">
        <v>710</v>
      </c>
      <c r="M867" t="s">
        <v>711</v>
      </c>
      <c r="N867" t="s">
        <v>1445</v>
      </c>
      <c r="O867" t="s">
        <v>82</v>
      </c>
      <c r="P867" t="str">
        <f>"4170042819                    "</f>
        <v xml:space="preserve">4170042819                    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20.9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1</v>
      </c>
      <c r="BI867">
        <v>1</v>
      </c>
      <c r="BJ867">
        <v>0.2</v>
      </c>
      <c r="BK867">
        <v>1</v>
      </c>
      <c r="BL867">
        <v>69.5</v>
      </c>
      <c r="BM867">
        <v>10.43</v>
      </c>
      <c r="BN867">
        <v>79.930000000000007</v>
      </c>
      <c r="BO867">
        <v>79.930000000000007</v>
      </c>
      <c r="BQ867" t="s">
        <v>1446</v>
      </c>
      <c r="BR867" t="s">
        <v>84</v>
      </c>
      <c r="BS867" s="3">
        <v>45817</v>
      </c>
      <c r="BT867" s="4">
        <v>0.37291666666666667</v>
      </c>
      <c r="BU867" t="s">
        <v>1608</v>
      </c>
      <c r="BV867" t="s">
        <v>86</v>
      </c>
      <c r="BY867">
        <v>1200</v>
      </c>
      <c r="BZ867" t="s">
        <v>87</v>
      </c>
      <c r="CA867" t="s">
        <v>1609</v>
      </c>
      <c r="CC867" t="s">
        <v>711</v>
      </c>
      <c r="CD867">
        <v>7600</v>
      </c>
      <c r="CE867" t="s">
        <v>89</v>
      </c>
      <c r="CF867" s="3">
        <v>45818</v>
      </c>
      <c r="CI867">
        <v>1</v>
      </c>
      <c r="CJ867">
        <v>1</v>
      </c>
      <c r="CK867">
        <v>21</v>
      </c>
      <c r="CL867" t="s">
        <v>90</v>
      </c>
    </row>
    <row r="868" spans="1:90" x14ac:dyDescent="0.3">
      <c r="A868" t="s">
        <v>72</v>
      </c>
      <c r="B868" t="s">
        <v>73</v>
      </c>
      <c r="C868" t="s">
        <v>74</v>
      </c>
      <c r="E868" t="str">
        <f>"080065811267"</f>
        <v>080065811267</v>
      </c>
      <c r="F868" s="3">
        <v>45814</v>
      </c>
      <c r="G868">
        <v>202603</v>
      </c>
      <c r="H868" t="s">
        <v>75</v>
      </c>
      <c r="I868" t="s">
        <v>76</v>
      </c>
      <c r="J868" t="s">
        <v>77</v>
      </c>
      <c r="K868" t="s">
        <v>78</v>
      </c>
      <c r="L868" t="s">
        <v>154</v>
      </c>
      <c r="M868" t="s">
        <v>154</v>
      </c>
      <c r="N868" t="s">
        <v>1610</v>
      </c>
      <c r="O868" t="s">
        <v>82</v>
      </c>
      <c r="P868" t="str">
        <f>"4170042678                    "</f>
        <v xml:space="preserve">4170042678                    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40.49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1</v>
      </c>
      <c r="BI868">
        <v>1</v>
      </c>
      <c r="BJ868">
        <v>1.1000000000000001</v>
      </c>
      <c r="BK868">
        <v>1.5</v>
      </c>
      <c r="BL868">
        <v>134.65</v>
      </c>
      <c r="BM868">
        <v>20.2</v>
      </c>
      <c r="BN868">
        <v>154.85</v>
      </c>
      <c r="BO868">
        <v>154.85</v>
      </c>
      <c r="BQ868" t="s">
        <v>1611</v>
      </c>
      <c r="BR868" t="s">
        <v>84</v>
      </c>
      <c r="BS868" s="3">
        <v>45817</v>
      </c>
      <c r="BT868" s="4">
        <v>0.49722222222222223</v>
      </c>
      <c r="BU868" t="s">
        <v>1612</v>
      </c>
      <c r="BV868" t="s">
        <v>86</v>
      </c>
      <c r="BY868">
        <v>5320</v>
      </c>
      <c r="CA868" t="s">
        <v>158</v>
      </c>
      <c r="CC868" t="s">
        <v>154</v>
      </c>
      <c r="CD868">
        <v>7646</v>
      </c>
      <c r="CE868" t="s">
        <v>687</v>
      </c>
      <c r="CF868" s="3">
        <v>45818</v>
      </c>
      <c r="CI868">
        <v>1</v>
      </c>
      <c r="CJ868">
        <v>1</v>
      </c>
      <c r="CK868">
        <v>23</v>
      </c>
      <c r="CL868" t="s">
        <v>90</v>
      </c>
    </row>
    <row r="869" spans="1:90" x14ac:dyDescent="0.3">
      <c r="A869" t="s">
        <v>72</v>
      </c>
      <c r="B869" t="s">
        <v>73</v>
      </c>
      <c r="C869" t="s">
        <v>74</v>
      </c>
      <c r="E869" t="str">
        <f>"080065811277"</f>
        <v>080065811277</v>
      </c>
      <c r="F869" s="3">
        <v>45814</v>
      </c>
      <c r="G869">
        <v>202603</v>
      </c>
      <c r="H869" t="s">
        <v>75</v>
      </c>
      <c r="I869" t="s">
        <v>76</v>
      </c>
      <c r="J869" t="s">
        <v>77</v>
      </c>
      <c r="K869" t="s">
        <v>78</v>
      </c>
      <c r="L869" t="s">
        <v>91</v>
      </c>
      <c r="M869" t="s">
        <v>92</v>
      </c>
      <c r="N869" t="s">
        <v>540</v>
      </c>
      <c r="O869" t="s">
        <v>82</v>
      </c>
      <c r="P869" t="str">
        <f>"4170042716                    "</f>
        <v xml:space="preserve">4170042716                    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20.9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1</v>
      </c>
      <c r="BI869">
        <v>1</v>
      </c>
      <c r="BJ869">
        <v>0.2</v>
      </c>
      <c r="BK869">
        <v>1</v>
      </c>
      <c r="BL869">
        <v>69.5</v>
      </c>
      <c r="BM869">
        <v>10.43</v>
      </c>
      <c r="BN869">
        <v>79.930000000000007</v>
      </c>
      <c r="BO869">
        <v>79.930000000000007</v>
      </c>
      <c r="BQ869" t="s">
        <v>541</v>
      </c>
      <c r="BR869" t="s">
        <v>84</v>
      </c>
      <c r="BS869" s="3">
        <v>45817</v>
      </c>
      <c r="BT869" s="4">
        <v>0.42499999999999999</v>
      </c>
      <c r="BU869" t="s">
        <v>1106</v>
      </c>
      <c r="BV869" t="s">
        <v>86</v>
      </c>
      <c r="BY869">
        <v>1200</v>
      </c>
      <c r="BZ869" t="s">
        <v>87</v>
      </c>
      <c r="CA869" t="s">
        <v>291</v>
      </c>
      <c r="CC869" t="s">
        <v>92</v>
      </c>
      <c r="CD869">
        <v>7441</v>
      </c>
      <c r="CE869" t="s">
        <v>89</v>
      </c>
      <c r="CF869" s="3">
        <v>45818</v>
      </c>
      <c r="CI869">
        <v>1</v>
      </c>
      <c r="CJ869">
        <v>1</v>
      </c>
      <c r="CK869">
        <v>21</v>
      </c>
      <c r="CL869" t="s">
        <v>90</v>
      </c>
    </row>
    <row r="870" spans="1:90" x14ac:dyDescent="0.3">
      <c r="A870" t="s">
        <v>72</v>
      </c>
      <c r="B870" t="s">
        <v>73</v>
      </c>
      <c r="C870" t="s">
        <v>74</v>
      </c>
      <c r="E870" t="str">
        <f>"080065811293"</f>
        <v>080065811293</v>
      </c>
      <c r="F870" s="3">
        <v>45814</v>
      </c>
      <c r="G870">
        <v>202603</v>
      </c>
      <c r="H870" t="s">
        <v>75</v>
      </c>
      <c r="I870" t="s">
        <v>76</v>
      </c>
      <c r="J870" t="s">
        <v>77</v>
      </c>
      <c r="K870" t="s">
        <v>78</v>
      </c>
      <c r="L870" t="s">
        <v>100</v>
      </c>
      <c r="M870" t="s">
        <v>101</v>
      </c>
      <c r="N870" t="s">
        <v>581</v>
      </c>
      <c r="O870" t="s">
        <v>82</v>
      </c>
      <c r="P870" t="str">
        <f>"4170042532                    "</f>
        <v xml:space="preserve">4170042532                    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20.9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1</v>
      </c>
      <c r="BI870">
        <v>1</v>
      </c>
      <c r="BJ870">
        <v>1.1000000000000001</v>
      </c>
      <c r="BK870">
        <v>1.5</v>
      </c>
      <c r="BL870">
        <v>69.5</v>
      </c>
      <c r="BM870">
        <v>10.43</v>
      </c>
      <c r="BN870">
        <v>79.930000000000007</v>
      </c>
      <c r="BO870">
        <v>79.930000000000007</v>
      </c>
      <c r="BQ870" t="s">
        <v>582</v>
      </c>
      <c r="BR870" t="s">
        <v>84</v>
      </c>
      <c r="BS870" s="3">
        <v>45817</v>
      </c>
      <c r="BT870" s="4">
        <v>0.40486111111111112</v>
      </c>
      <c r="BU870" t="s">
        <v>1613</v>
      </c>
      <c r="BV870" t="s">
        <v>86</v>
      </c>
      <c r="BY870">
        <v>5320</v>
      </c>
      <c r="BZ870" t="s">
        <v>87</v>
      </c>
      <c r="CA870" t="s">
        <v>235</v>
      </c>
      <c r="CC870" t="s">
        <v>101</v>
      </c>
      <c r="CD870">
        <v>6056</v>
      </c>
      <c r="CE870" t="s">
        <v>99</v>
      </c>
      <c r="CF870" s="3">
        <v>45817</v>
      </c>
      <c r="CI870">
        <v>1</v>
      </c>
      <c r="CJ870">
        <v>1</v>
      </c>
      <c r="CK870">
        <v>21</v>
      </c>
      <c r="CL870" t="s">
        <v>90</v>
      </c>
    </row>
    <row r="871" spans="1:90" x14ac:dyDescent="0.3">
      <c r="A871" t="s">
        <v>72</v>
      </c>
      <c r="B871" t="s">
        <v>73</v>
      </c>
      <c r="C871" t="s">
        <v>74</v>
      </c>
      <c r="E871" t="str">
        <f>"080065811301"</f>
        <v>080065811301</v>
      </c>
      <c r="F871" s="3">
        <v>45814</v>
      </c>
      <c r="G871">
        <v>202603</v>
      </c>
      <c r="H871" t="s">
        <v>75</v>
      </c>
      <c r="I871" t="s">
        <v>76</v>
      </c>
      <c r="J871" t="s">
        <v>77</v>
      </c>
      <c r="K871" t="s">
        <v>78</v>
      </c>
      <c r="L871" t="s">
        <v>174</v>
      </c>
      <c r="M871" t="s">
        <v>175</v>
      </c>
      <c r="N871" t="s">
        <v>1311</v>
      </c>
      <c r="O871" t="s">
        <v>82</v>
      </c>
      <c r="P871" t="str">
        <f>"4170042748                    "</f>
        <v xml:space="preserve">4170042748                    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20.9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0</v>
      </c>
      <c r="BF871">
        <v>0</v>
      </c>
      <c r="BG871">
        <v>0</v>
      </c>
      <c r="BH871">
        <v>1</v>
      </c>
      <c r="BI871">
        <v>1</v>
      </c>
      <c r="BJ871">
        <v>0.2</v>
      </c>
      <c r="BK871">
        <v>1</v>
      </c>
      <c r="BL871">
        <v>69.5</v>
      </c>
      <c r="BM871">
        <v>10.43</v>
      </c>
      <c r="BN871">
        <v>79.930000000000007</v>
      </c>
      <c r="BO871">
        <v>79.930000000000007</v>
      </c>
      <c r="BQ871" t="s">
        <v>1312</v>
      </c>
      <c r="BR871" t="s">
        <v>84</v>
      </c>
      <c r="BS871" s="3">
        <v>45817</v>
      </c>
      <c r="BT871" s="4">
        <v>0.56180555555555556</v>
      </c>
      <c r="BU871" t="s">
        <v>1313</v>
      </c>
      <c r="BV871" t="s">
        <v>90</v>
      </c>
      <c r="BW871" t="s">
        <v>416</v>
      </c>
      <c r="BX871" t="s">
        <v>417</v>
      </c>
      <c r="BY871">
        <v>1200</v>
      </c>
      <c r="BZ871" t="s">
        <v>87</v>
      </c>
      <c r="CA871" t="s">
        <v>1508</v>
      </c>
      <c r="CC871" t="s">
        <v>175</v>
      </c>
      <c r="CD871">
        <v>3610</v>
      </c>
      <c r="CE871" t="s">
        <v>89</v>
      </c>
      <c r="CF871" s="3">
        <v>45818</v>
      </c>
      <c r="CI871">
        <v>1</v>
      </c>
      <c r="CJ871">
        <v>1</v>
      </c>
      <c r="CK871">
        <v>21</v>
      </c>
      <c r="CL871" t="s">
        <v>90</v>
      </c>
    </row>
    <row r="872" spans="1:90" x14ac:dyDescent="0.3">
      <c r="A872" t="s">
        <v>72</v>
      </c>
      <c r="B872" t="s">
        <v>73</v>
      </c>
      <c r="C872" t="s">
        <v>74</v>
      </c>
      <c r="E872" t="str">
        <f>"080065811319"</f>
        <v>080065811319</v>
      </c>
      <c r="F872" s="3">
        <v>45814</v>
      </c>
      <c r="G872">
        <v>202603</v>
      </c>
      <c r="H872" t="s">
        <v>75</v>
      </c>
      <c r="I872" t="s">
        <v>76</v>
      </c>
      <c r="J872" t="s">
        <v>77</v>
      </c>
      <c r="K872" t="s">
        <v>78</v>
      </c>
      <c r="L872" t="s">
        <v>91</v>
      </c>
      <c r="M872" t="s">
        <v>92</v>
      </c>
      <c r="N872" t="s">
        <v>1245</v>
      </c>
      <c r="O872" t="s">
        <v>82</v>
      </c>
      <c r="P872" t="str">
        <f>"4170042705                    "</f>
        <v xml:space="preserve">4170042705                    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20.9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2</v>
      </c>
      <c r="BK872">
        <v>2</v>
      </c>
      <c r="BL872">
        <v>69.5</v>
      </c>
      <c r="BM872">
        <v>10.43</v>
      </c>
      <c r="BN872">
        <v>79.930000000000007</v>
      </c>
      <c r="BO872">
        <v>79.930000000000007</v>
      </c>
      <c r="BQ872" t="s">
        <v>1246</v>
      </c>
      <c r="BR872" t="s">
        <v>84</v>
      </c>
      <c r="BS872" s="3">
        <v>45817</v>
      </c>
      <c r="BT872" s="4">
        <v>0.39513888888888887</v>
      </c>
      <c r="BU872" t="s">
        <v>1614</v>
      </c>
      <c r="BV872" t="s">
        <v>86</v>
      </c>
      <c r="BY872">
        <v>10240</v>
      </c>
      <c r="BZ872" t="s">
        <v>87</v>
      </c>
      <c r="CA872" t="s">
        <v>955</v>
      </c>
      <c r="CC872" t="s">
        <v>92</v>
      </c>
      <c r="CD872">
        <v>7945</v>
      </c>
      <c r="CE872" t="s">
        <v>166</v>
      </c>
      <c r="CF872" s="3">
        <v>45818</v>
      </c>
      <c r="CI872">
        <v>1</v>
      </c>
      <c r="CJ872">
        <v>1</v>
      </c>
      <c r="CK872">
        <v>21</v>
      </c>
      <c r="CL872" t="s">
        <v>90</v>
      </c>
    </row>
    <row r="873" spans="1:90" x14ac:dyDescent="0.3">
      <c r="A873" t="s">
        <v>72</v>
      </c>
      <c r="B873" t="s">
        <v>73</v>
      </c>
      <c r="C873" t="s">
        <v>74</v>
      </c>
      <c r="E873" t="str">
        <f>"080065811321"</f>
        <v>080065811321</v>
      </c>
      <c r="F873" s="3">
        <v>45814</v>
      </c>
      <c r="G873">
        <v>202603</v>
      </c>
      <c r="H873" t="s">
        <v>75</v>
      </c>
      <c r="I873" t="s">
        <v>76</v>
      </c>
      <c r="J873" t="s">
        <v>77</v>
      </c>
      <c r="K873" t="s">
        <v>78</v>
      </c>
      <c r="L873" t="s">
        <v>106</v>
      </c>
      <c r="M873" t="s">
        <v>107</v>
      </c>
      <c r="N873" t="s">
        <v>401</v>
      </c>
      <c r="O873" t="s">
        <v>82</v>
      </c>
      <c r="P873" t="str">
        <f>"4170042714                    "</f>
        <v xml:space="preserve">4170042714                    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20.9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1</v>
      </c>
      <c r="BI873">
        <v>1</v>
      </c>
      <c r="BJ873">
        <v>0.2</v>
      </c>
      <c r="BK873">
        <v>1</v>
      </c>
      <c r="BL873">
        <v>69.5</v>
      </c>
      <c r="BM873">
        <v>10.43</v>
      </c>
      <c r="BN873">
        <v>79.930000000000007</v>
      </c>
      <c r="BO873">
        <v>79.930000000000007</v>
      </c>
      <c r="BQ873" t="s">
        <v>402</v>
      </c>
      <c r="BR873" t="s">
        <v>84</v>
      </c>
      <c r="BS873" s="3">
        <v>45817</v>
      </c>
      <c r="BT873" s="4">
        <v>0.42986111111111114</v>
      </c>
      <c r="BU873" t="s">
        <v>1615</v>
      </c>
      <c r="BV873" t="s">
        <v>86</v>
      </c>
      <c r="BY873">
        <v>1200</v>
      </c>
      <c r="BZ873" t="s">
        <v>87</v>
      </c>
      <c r="CA873" t="s">
        <v>1616</v>
      </c>
      <c r="CC873" t="s">
        <v>107</v>
      </c>
      <c r="CD873">
        <v>184</v>
      </c>
      <c r="CE873" t="s">
        <v>89</v>
      </c>
      <c r="CF873" s="3">
        <v>45817</v>
      </c>
      <c r="CI873">
        <v>1</v>
      </c>
      <c r="CJ873">
        <v>1</v>
      </c>
      <c r="CK873">
        <v>21</v>
      </c>
      <c r="CL873" t="s">
        <v>90</v>
      </c>
    </row>
    <row r="874" spans="1:90" x14ac:dyDescent="0.3">
      <c r="A874" t="s">
        <v>72</v>
      </c>
      <c r="B874" t="s">
        <v>73</v>
      </c>
      <c r="C874" t="s">
        <v>74</v>
      </c>
      <c r="E874" t="str">
        <f>"080065811336"</f>
        <v>080065811336</v>
      </c>
      <c r="F874" s="3">
        <v>45814</v>
      </c>
      <c r="G874">
        <v>202603</v>
      </c>
      <c r="H874" t="s">
        <v>75</v>
      </c>
      <c r="I874" t="s">
        <v>76</v>
      </c>
      <c r="J874" t="s">
        <v>77</v>
      </c>
      <c r="K874" t="s">
        <v>78</v>
      </c>
      <c r="L874" t="s">
        <v>106</v>
      </c>
      <c r="M874" t="s">
        <v>107</v>
      </c>
      <c r="N874" t="s">
        <v>1146</v>
      </c>
      <c r="O874" t="s">
        <v>82</v>
      </c>
      <c r="P874" t="str">
        <f>"4170042598                    "</f>
        <v xml:space="preserve">4170042598                    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20.9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0</v>
      </c>
      <c r="BF874">
        <v>0</v>
      </c>
      <c r="BG874">
        <v>0</v>
      </c>
      <c r="BH874">
        <v>1</v>
      </c>
      <c r="BI874">
        <v>1</v>
      </c>
      <c r="BJ874">
        <v>0.2</v>
      </c>
      <c r="BK874">
        <v>1</v>
      </c>
      <c r="BL874">
        <v>69.5</v>
      </c>
      <c r="BM874">
        <v>10.43</v>
      </c>
      <c r="BN874">
        <v>79.930000000000007</v>
      </c>
      <c r="BO874">
        <v>79.930000000000007</v>
      </c>
      <c r="BQ874" t="s">
        <v>1147</v>
      </c>
      <c r="BR874" t="s">
        <v>84</v>
      </c>
      <c r="BS874" s="3">
        <v>45817</v>
      </c>
      <c r="BT874" s="4">
        <v>0.375</v>
      </c>
      <c r="BU874" t="s">
        <v>1617</v>
      </c>
      <c r="BV874" t="s">
        <v>86</v>
      </c>
      <c r="BY874">
        <v>1200</v>
      </c>
      <c r="BZ874" t="s">
        <v>87</v>
      </c>
      <c r="CA874" t="s">
        <v>111</v>
      </c>
      <c r="CC874" t="s">
        <v>107</v>
      </c>
      <c r="CD874">
        <v>200</v>
      </c>
      <c r="CE874" t="s">
        <v>89</v>
      </c>
      <c r="CF874" s="3">
        <v>45817</v>
      </c>
      <c r="CI874">
        <v>1</v>
      </c>
      <c r="CJ874">
        <v>1</v>
      </c>
      <c r="CK874">
        <v>21</v>
      </c>
      <c r="CL874" t="s">
        <v>90</v>
      </c>
    </row>
    <row r="875" spans="1:90" x14ac:dyDescent="0.3">
      <c r="A875" t="s">
        <v>72</v>
      </c>
      <c r="B875" t="s">
        <v>73</v>
      </c>
      <c r="C875" t="s">
        <v>74</v>
      </c>
      <c r="E875" t="str">
        <f>"080065811347"</f>
        <v>080065811347</v>
      </c>
      <c r="F875" s="3">
        <v>45814</v>
      </c>
      <c r="G875">
        <v>202603</v>
      </c>
      <c r="H875" t="s">
        <v>75</v>
      </c>
      <c r="I875" t="s">
        <v>76</v>
      </c>
      <c r="J875" t="s">
        <v>77</v>
      </c>
      <c r="K875" t="s">
        <v>78</v>
      </c>
      <c r="L875" t="s">
        <v>1618</v>
      </c>
      <c r="M875" t="s">
        <v>1619</v>
      </c>
      <c r="N875" t="s">
        <v>1620</v>
      </c>
      <c r="O875" t="s">
        <v>82</v>
      </c>
      <c r="P875" t="str">
        <f>"4170042619                    "</f>
        <v xml:space="preserve">4170042619                    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29.39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1</v>
      </c>
      <c r="BI875">
        <v>1</v>
      </c>
      <c r="BJ875">
        <v>0.2</v>
      </c>
      <c r="BK875">
        <v>1</v>
      </c>
      <c r="BL875">
        <v>97.74</v>
      </c>
      <c r="BM875">
        <v>14.66</v>
      </c>
      <c r="BN875">
        <v>112.4</v>
      </c>
      <c r="BO875">
        <v>112.4</v>
      </c>
      <c r="BQ875" t="s">
        <v>1621</v>
      </c>
      <c r="BR875" t="s">
        <v>84</v>
      </c>
      <c r="BS875" s="3">
        <v>45817</v>
      </c>
      <c r="BT875" s="4">
        <v>0.41388888888888886</v>
      </c>
      <c r="BU875" t="s">
        <v>449</v>
      </c>
      <c r="BV875" t="s">
        <v>86</v>
      </c>
      <c r="BY875">
        <v>1200</v>
      </c>
      <c r="CA875" t="s">
        <v>1622</v>
      </c>
      <c r="CC875" t="s">
        <v>1619</v>
      </c>
      <c r="CD875">
        <v>2210</v>
      </c>
      <c r="CE875" t="s">
        <v>215</v>
      </c>
      <c r="CF875" s="3">
        <v>45818</v>
      </c>
      <c r="CI875">
        <v>1</v>
      </c>
      <c r="CJ875">
        <v>1</v>
      </c>
      <c r="CK875">
        <v>24</v>
      </c>
      <c r="CL875" t="s">
        <v>90</v>
      </c>
    </row>
    <row r="876" spans="1:90" x14ac:dyDescent="0.3">
      <c r="A876" t="s">
        <v>72</v>
      </c>
      <c r="B876" t="s">
        <v>73</v>
      </c>
      <c r="C876" t="s">
        <v>74</v>
      </c>
      <c r="E876" t="str">
        <f>"080065811364"</f>
        <v>080065811364</v>
      </c>
      <c r="F876" s="3">
        <v>45814</v>
      </c>
      <c r="G876">
        <v>202603</v>
      </c>
      <c r="H876" t="s">
        <v>75</v>
      </c>
      <c r="I876" t="s">
        <v>76</v>
      </c>
      <c r="J876" t="s">
        <v>77</v>
      </c>
      <c r="K876" t="s">
        <v>78</v>
      </c>
      <c r="L876" t="s">
        <v>224</v>
      </c>
      <c r="M876" t="s">
        <v>225</v>
      </c>
      <c r="N876" t="s">
        <v>1442</v>
      </c>
      <c r="O876" t="s">
        <v>82</v>
      </c>
      <c r="P876" t="str">
        <f>"4170042622                    "</f>
        <v xml:space="preserve">4170042622                    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40.49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1</v>
      </c>
      <c r="BI876">
        <v>1</v>
      </c>
      <c r="BJ876">
        <v>0.2</v>
      </c>
      <c r="BK876">
        <v>1</v>
      </c>
      <c r="BL876">
        <v>134.65</v>
      </c>
      <c r="BM876">
        <v>20.2</v>
      </c>
      <c r="BN876">
        <v>154.85</v>
      </c>
      <c r="BO876">
        <v>154.85</v>
      </c>
      <c r="BQ876" t="s">
        <v>1443</v>
      </c>
      <c r="BR876" t="s">
        <v>84</v>
      </c>
      <c r="BS876" s="3">
        <v>45818</v>
      </c>
      <c r="BT876" s="4">
        <v>0.37847222222222221</v>
      </c>
      <c r="BU876" t="s">
        <v>1623</v>
      </c>
      <c r="BV876" t="s">
        <v>86</v>
      </c>
      <c r="BY876">
        <v>1200</v>
      </c>
      <c r="CC876" t="s">
        <v>225</v>
      </c>
      <c r="CD876">
        <v>6300</v>
      </c>
      <c r="CE876" t="s">
        <v>215</v>
      </c>
      <c r="CF876" s="3">
        <v>45818</v>
      </c>
      <c r="CI876">
        <v>2</v>
      </c>
      <c r="CJ876">
        <v>2</v>
      </c>
      <c r="CK876">
        <v>23</v>
      </c>
      <c r="CL876" t="s">
        <v>90</v>
      </c>
    </row>
    <row r="877" spans="1:90" x14ac:dyDescent="0.3">
      <c r="A877" t="s">
        <v>72</v>
      </c>
      <c r="B877" t="s">
        <v>73</v>
      </c>
      <c r="C877" t="s">
        <v>74</v>
      </c>
      <c r="E877" t="str">
        <f>"080065811375"</f>
        <v>080065811375</v>
      </c>
      <c r="F877" s="3">
        <v>45814</v>
      </c>
      <c r="G877">
        <v>202603</v>
      </c>
      <c r="H877" t="s">
        <v>75</v>
      </c>
      <c r="I877" t="s">
        <v>76</v>
      </c>
      <c r="J877" t="s">
        <v>77</v>
      </c>
      <c r="K877" t="s">
        <v>78</v>
      </c>
      <c r="L877" t="s">
        <v>154</v>
      </c>
      <c r="M877" t="s">
        <v>154</v>
      </c>
      <c r="N877" t="s">
        <v>155</v>
      </c>
      <c r="O877" t="s">
        <v>82</v>
      </c>
      <c r="P877" t="str">
        <f>"4170042711                    "</f>
        <v xml:space="preserve">4170042711                    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40.49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1</v>
      </c>
      <c r="BI877">
        <v>1</v>
      </c>
      <c r="BJ877">
        <v>0.2</v>
      </c>
      <c r="BK877">
        <v>1</v>
      </c>
      <c r="BL877">
        <v>134.65</v>
      </c>
      <c r="BM877">
        <v>20.2</v>
      </c>
      <c r="BN877">
        <v>154.85</v>
      </c>
      <c r="BO877">
        <v>154.85</v>
      </c>
      <c r="BQ877" t="s">
        <v>156</v>
      </c>
      <c r="BR877" t="s">
        <v>84</v>
      </c>
      <c r="BS877" s="3">
        <v>45817</v>
      </c>
      <c r="BT877" s="4">
        <v>0.49305555555555558</v>
      </c>
      <c r="BU877" t="s">
        <v>157</v>
      </c>
      <c r="BV877" t="s">
        <v>86</v>
      </c>
      <c r="BY877">
        <v>1200</v>
      </c>
      <c r="CA877" t="s">
        <v>158</v>
      </c>
      <c r="CC877" t="s">
        <v>154</v>
      </c>
      <c r="CD877">
        <v>7646</v>
      </c>
      <c r="CE877" t="s">
        <v>215</v>
      </c>
      <c r="CF877" s="3">
        <v>45818</v>
      </c>
      <c r="CI877">
        <v>1</v>
      </c>
      <c r="CJ877">
        <v>1</v>
      </c>
      <c r="CK877">
        <v>23</v>
      </c>
      <c r="CL877" t="s">
        <v>90</v>
      </c>
    </row>
    <row r="878" spans="1:90" x14ac:dyDescent="0.3">
      <c r="A878" t="s">
        <v>72</v>
      </c>
      <c r="B878" t="s">
        <v>73</v>
      </c>
      <c r="C878" t="s">
        <v>74</v>
      </c>
      <c r="E878" t="str">
        <f>"080065811387"</f>
        <v>080065811387</v>
      </c>
      <c r="F878" s="3">
        <v>45814</v>
      </c>
      <c r="G878">
        <v>202603</v>
      </c>
      <c r="H878" t="s">
        <v>75</v>
      </c>
      <c r="I878" t="s">
        <v>76</v>
      </c>
      <c r="J878" t="s">
        <v>77</v>
      </c>
      <c r="K878" t="s">
        <v>78</v>
      </c>
      <c r="L878" t="s">
        <v>154</v>
      </c>
      <c r="M878" t="s">
        <v>154</v>
      </c>
      <c r="N878" t="s">
        <v>949</v>
      </c>
      <c r="O878" t="s">
        <v>82</v>
      </c>
      <c r="P878" t="str">
        <f>"4170042670                    "</f>
        <v xml:space="preserve">4170042670                    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40.49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1</v>
      </c>
      <c r="BI878">
        <v>1</v>
      </c>
      <c r="BJ878">
        <v>0.2</v>
      </c>
      <c r="BK878">
        <v>1</v>
      </c>
      <c r="BL878">
        <v>134.65</v>
      </c>
      <c r="BM878">
        <v>20.2</v>
      </c>
      <c r="BN878">
        <v>154.85</v>
      </c>
      <c r="BO878">
        <v>154.85</v>
      </c>
      <c r="BQ878" t="s">
        <v>950</v>
      </c>
      <c r="BR878" t="s">
        <v>84</v>
      </c>
      <c r="BS878" s="3">
        <v>45817</v>
      </c>
      <c r="BT878" s="4">
        <v>0.48472222222222222</v>
      </c>
      <c r="BU878" t="s">
        <v>951</v>
      </c>
      <c r="BV878" t="s">
        <v>86</v>
      </c>
      <c r="BY878">
        <v>1200</v>
      </c>
      <c r="CA878" t="s">
        <v>158</v>
      </c>
      <c r="CC878" t="s">
        <v>154</v>
      </c>
      <c r="CD878">
        <v>7646</v>
      </c>
      <c r="CE878" t="s">
        <v>215</v>
      </c>
      <c r="CF878" s="3">
        <v>45818</v>
      </c>
      <c r="CI878">
        <v>1</v>
      </c>
      <c r="CJ878">
        <v>1</v>
      </c>
      <c r="CK878">
        <v>23</v>
      </c>
      <c r="CL878" t="s">
        <v>90</v>
      </c>
    </row>
    <row r="879" spans="1:90" x14ac:dyDescent="0.3">
      <c r="A879" t="s">
        <v>72</v>
      </c>
      <c r="B879" t="s">
        <v>73</v>
      </c>
      <c r="C879" t="s">
        <v>74</v>
      </c>
      <c r="E879" t="str">
        <f>"080065811402"</f>
        <v>080065811402</v>
      </c>
      <c r="F879" s="3">
        <v>45814</v>
      </c>
      <c r="G879">
        <v>202603</v>
      </c>
      <c r="H879" t="s">
        <v>75</v>
      </c>
      <c r="I879" t="s">
        <v>76</v>
      </c>
      <c r="J879" t="s">
        <v>77</v>
      </c>
      <c r="K879" t="s">
        <v>78</v>
      </c>
      <c r="L879" t="s">
        <v>413</v>
      </c>
      <c r="M879" t="s">
        <v>414</v>
      </c>
      <c r="N879" t="s">
        <v>236</v>
      </c>
      <c r="O879" t="s">
        <v>82</v>
      </c>
      <c r="P879" t="str">
        <f>"4170042755                    "</f>
        <v xml:space="preserve">4170042755                    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20.9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1</v>
      </c>
      <c r="BI879">
        <v>1</v>
      </c>
      <c r="BJ879">
        <v>0.2</v>
      </c>
      <c r="BK879">
        <v>1</v>
      </c>
      <c r="BL879">
        <v>69.5</v>
      </c>
      <c r="BM879">
        <v>10.43</v>
      </c>
      <c r="BN879">
        <v>79.930000000000007</v>
      </c>
      <c r="BO879">
        <v>79.930000000000007</v>
      </c>
      <c r="BQ879" t="s">
        <v>237</v>
      </c>
      <c r="BR879" t="s">
        <v>84</v>
      </c>
      <c r="BS879" s="3">
        <v>45818</v>
      </c>
      <c r="BT879" s="4">
        <v>0.47152777777777777</v>
      </c>
      <c r="BU879" t="s">
        <v>415</v>
      </c>
      <c r="BV879" t="s">
        <v>90</v>
      </c>
      <c r="BW879" t="s">
        <v>416</v>
      </c>
      <c r="BX879" t="s">
        <v>417</v>
      </c>
      <c r="BY879">
        <v>1200</v>
      </c>
      <c r="CA879" t="s">
        <v>418</v>
      </c>
      <c r="CC879" t="s">
        <v>414</v>
      </c>
      <c r="CD879">
        <v>4133</v>
      </c>
      <c r="CE879" t="s">
        <v>215</v>
      </c>
      <c r="CF879" s="3">
        <v>45818</v>
      </c>
      <c r="CI879">
        <v>1</v>
      </c>
      <c r="CJ879">
        <v>2</v>
      </c>
      <c r="CK879">
        <v>21</v>
      </c>
      <c r="CL879" t="s">
        <v>90</v>
      </c>
    </row>
    <row r="880" spans="1:90" x14ac:dyDescent="0.3">
      <c r="A880" t="s">
        <v>72</v>
      </c>
      <c r="B880" t="s">
        <v>73</v>
      </c>
      <c r="C880" t="s">
        <v>74</v>
      </c>
      <c r="E880" t="str">
        <f>"080065811424"</f>
        <v>080065811424</v>
      </c>
      <c r="F880" s="3">
        <v>45814</v>
      </c>
      <c r="G880">
        <v>202603</v>
      </c>
      <c r="H880" t="s">
        <v>75</v>
      </c>
      <c r="I880" t="s">
        <v>76</v>
      </c>
      <c r="J880" t="s">
        <v>77</v>
      </c>
      <c r="K880" t="s">
        <v>78</v>
      </c>
      <c r="L880" t="s">
        <v>91</v>
      </c>
      <c r="M880" t="s">
        <v>92</v>
      </c>
      <c r="N880" t="s">
        <v>93</v>
      </c>
      <c r="O880" t="s">
        <v>82</v>
      </c>
      <c r="P880" t="str">
        <f>"4170042745                    "</f>
        <v xml:space="preserve">4170042745                    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20.9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1</v>
      </c>
      <c r="BI880">
        <v>1</v>
      </c>
      <c r="BJ880">
        <v>0.2</v>
      </c>
      <c r="BK880">
        <v>1</v>
      </c>
      <c r="BL880">
        <v>69.5</v>
      </c>
      <c r="BM880">
        <v>10.43</v>
      </c>
      <c r="BN880">
        <v>79.930000000000007</v>
      </c>
      <c r="BO880">
        <v>79.930000000000007</v>
      </c>
      <c r="BQ880" t="s">
        <v>95</v>
      </c>
      <c r="BR880" t="s">
        <v>84</v>
      </c>
      <c r="BS880" s="3">
        <v>45817</v>
      </c>
      <c r="BT880" s="4">
        <v>0.37638888888888888</v>
      </c>
      <c r="BU880" t="s">
        <v>290</v>
      </c>
      <c r="BV880" t="s">
        <v>86</v>
      </c>
      <c r="BY880">
        <v>1200</v>
      </c>
      <c r="BZ880" t="s">
        <v>87</v>
      </c>
      <c r="CA880" t="s">
        <v>291</v>
      </c>
      <c r="CC880" t="s">
        <v>92</v>
      </c>
      <c r="CD880">
        <v>7441</v>
      </c>
      <c r="CE880" t="s">
        <v>89</v>
      </c>
      <c r="CF880" s="3">
        <v>45818</v>
      </c>
      <c r="CI880">
        <v>1</v>
      </c>
      <c r="CJ880">
        <v>1</v>
      </c>
      <c r="CK880">
        <v>21</v>
      </c>
      <c r="CL880" t="s">
        <v>90</v>
      </c>
    </row>
    <row r="881" spans="1:90" x14ac:dyDescent="0.3">
      <c r="A881" t="s">
        <v>72</v>
      </c>
      <c r="B881" t="s">
        <v>73</v>
      </c>
      <c r="C881" t="s">
        <v>74</v>
      </c>
      <c r="E881" t="str">
        <f>"080065811445"</f>
        <v>080065811445</v>
      </c>
      <c r="F881" s="3">
        <v>45814</v>
      </c>
      <c r="G881">
        <v>202603</v>
      </c>
      <c r="H881" t="s">
        <v>75</v>
      </c>
      <c r="I881" t="s">
        <v>76</v>
      </c>
      <c r="J881" t="s">
        <v>77</v>
      </c>
      <c r="K881" t="s">
        <v>78</v>
      </c>
      <c r="L881" t="s">
        <v>331</v>
      </c>
      <c r="M881" t="s">
        <v>332</v>
      </c>
      <c r="N881" t="s">
        <v>480</v>
      </c>
      <c r="O881" t="s">
        <v>82</v>
      </c>
      <c r="P881" t="str">
        <f>"4170042607                    "</f>
        <v xml:space="preserve">4170042607                    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20.9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1</v>
      </c>
      <c r="BI881">
        <v>1</v>
      </c>
      <c r="BJ881">
        <v>0.2</v>
      </c>
      <c r="BK881">
        <v>1</v>
      </c>
      <c r="BL881">
        <v>69.5</v>
      </c>
      <c r="BM881">
        <v>10.43</v>
      </c>
      <c r="BN881">
        <v>79.930000000000007</v>
      </c>
      <c r="BO881">
        <v>79.930000000000007</v>
      </c>
      <c r="BQ881" t="s">
        <v>1221</v>
      </c>
      <c r="BR881" t="s">
        <v>84</v>
      </c>
      <c r="BS881" s="3">
        <v>45818</v>
      </c>
      <c r="BT881" s="4">
        <v>0.43680555555555556</v>
      </c>
      <c r="BU881" t="s">
        <v>1624</v>
      </c>
      <c r="BV881" t="s">
        <v>90</v>
      </c>
      <c r="BW881" t="s">
        <v>814</v>
      </c>
      <c r="BX881" t="s">
        <v>1531</v>
      </c>
      <c r="BY881">
        <v>1200</v>
      </c>
      <c r="CA881" t="s">
        <v>487</v>
      </c>
      <c r="CC881" t="s">
        <v>332</v>
      </c>
      <c r="CD881">
        <v>4001</v>
      </c>
      <c r="CE881" t="s">
        <v>215</v>
      </c>
      <c r="CF881" s="3">
        <v>45819</v>
      </c>
      <c r="CI881">
        <v>1</v>
      </c>
      <c r="CJ881">
        <v>2</v>
      </c>
      <c r="CK881">
        <v>21</v>
      </c>
      <c r="CL881" t="s">
        <v>90</v>
      </c>
    </row>
    <row r="882" spans="1:90" x14ac:dyDescent="0.3">
      <c r="A882" t="s">
        <v>72</v>
      </c>
      <c r="B882" t="s">
        <v>73</v>
      </c>
      <c r="C882" t="s">
        <v>74</v>
      </c>
      <c r="E882" t="str">
        <f>"080065811458"</f>
        <v>080065811458</v>
      </c>
      <c r="F882" s="3">
        <v>45814</v>
      </c>
      <c r="G882">
        <v>202603</v>
      </c>
      <c r="H882" t="s">
        <v>75</v>
      </c>
      <c r="I882" t="s">
        <v>76</v>
      </c>
      <c r="J882" t="s">
        <v>77</v>
      </c>
      <c r="K882" t="s">
        <v>78</v>
      </c>
      <c r="L882" t="s">
        <v>159</v>
      </c>
      <c r="M882" t="s">
        <v>160</v>
      </c>
      <c r="N882" t="s">
        <v>409</v>
      </c>
      <c r="O882" t="s">
        <v>82</v>
      </c>
      <c r="P882" t="str">
        <f>"4170042568                    "</f>
        <v xml:space="preserve">4170042568                    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16.32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1</v>
      </c>
      <c r="BI882">
        <v>1</v>
      </c>
      <c r="BJ882">
        <v>0.2</v>
      </c>
      <c r="BK882">
        <v>1</v>
      </c>
      <c r="BL882">
        <v>54.28</v>
      </c>
      <c r="BM882">
        <v>8.14</v>
      </c>
      <c r="BN882">
        <v>62.42</v>
      </c>
      <c r="BO882">
        <v>62.42</v>
      </c>
      <c r="BQ882" t="s">
        <v>410</v>
      </c>
      <c r="BR882" t="s">
        <v>84</v>
      </c>
      <c r="BS882" s="3">
        <v>45817</v>
      </c>
      <c r="BT882" s="4">
        <v>0.35138888888888886</v>
      </c>
      <c r="BU882" t="s">
        <v>967</v>
      </c>
      <c r="BV882" t="s">
        <v>86</v>
      </c>
      <c r="BY882">
        <v>1200</v>
      </c>
      <c r="CA882" t="s">
        <v>444</v>
      </c>
      <c r="CC882" t="s">
        <v>160</v>
      </c>
      <c r="CD882">
        <v>2091</v>
      </c>
      <c r="CE882" t="s">
        <v>215</v>
      </c>
      <c r="CF882" s="3">
        <v>45818</v>
      </c>
      <c r="CI882">
        <v>1</v>
      </c>
      <c r="CJ882">
        <v>1</v>
      </c>
      <c r="CK882">
        <v>22</v>
      </c>
      <c r="CL882" t="s">
        <v>90</v>
      </c>
    </row>
    <row r="883" spans="1:90" x14ac:dyDescent="0.3">
      <c r="A883" t="s">
        <v>72</v>
      </c>
      <c r="B883" t="s">
        <v>73</v>
      </c>
      <c r="C883" t="s">
        <v>74</v>
      </c>
      <c r="E883" t="str">
        <f>"080065811514"</f>
        <v>080065811514</v>
      </c>
      <c r="F883" s="3">
        <v>45814</v>
      </c>
      <c r="G883">
        <v>202603</v>
      </c>
      <c r="H883" t="s">
        <v>75</v>
      </c>
      <c r="I883" t="s">
        <v>76</v>
      </c>
      <c r="J883" t="s">
        <v>77</v>
      </c>
      <c r="K883" t="s">
        <v>78</v>
      </c>
      <c r="L883" t="s">
        <v>436</v>
      </c>
      <c r="M883" t="s">
        <v>437</v>
      </c>
      <c r="N883" t="s">
        <v>438</v>
      </c>
      <c r="O883" t="s">
        <v>82</v>
      </c>
      <c r="P883" t="str">
        <f>"4170042553                    "</f>
        <v xml:space="preserve">4170042553                    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16.32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1</v>
      </c>
      <c r="BI883">
        <v>1</v>
      </c>
      <c r="BJ883">
        <v>0.2</v>
      </c>
      <c r="BK883">
        <v>1</v>
      </c>
      <c r="BL883">
        <v>54.28</v>
      </c>
      <c r="BM883">
        <v>8.14</v>
      </c>
      <c r="BN883">
        <v>62.42</v>
      </c>
      <c r="BO883">
        <v>62.42</v>
      </c>
      <c r="BQ883" t="s">
        <v>439</v>
      </c>
      <c r="BR883" t="s">
        <v>84</v>
      </c>
      <c r="BS883" s="3">
        <v>45817</v>
      </c>
      <c r="BT883" s="4">
        <v>0.42499999999999999</v>
      </c>
      <c r="BU883" t="s">
        <v>1625</v>
      </c>
      <c r="BV883" t="s">
        <v>86</v>
      </c>
      <c r="BY883">
        <v>1200</v>
      </c>
      <c r="BZ883" t="s">
        <v>87</v>
      </c>
      <c r="CA883" t="s">
        <v>1626</v>
      </c>
      <c r="CC883" t="s">
        <v>437</v>
      </c>
      <c r="CD883">
        <v>1500</v>
      </c>
      <c r="CE883" t="s">
        <v>89</v>
      </c>
      <c r="CF883" s="3">
        <v>45818</v>
      </c>
      <c r="CI883">
        <v>1</v>
      </c>
      <c r="CJ883">
        <v>1</v>
      </c>
      <c r="CK883">
        <v>22</v>
      </c>
      <c r="CL883" t="s">
        <v>90</v>
      </c>
    </row>
    <row r="884" spans="1:90" x14ac:dyDescent="0.3">
      <c r="A884" t="s">
        <v>72</v>
      </c>
      <c r="B884" t="s">
        <v>73</v>
      </c>
      <c r="C884" t="s">
        <v>74</v>
      </c>
      <c r="E884" t="str">
        <f>"080065811557"</f>
        <v>080065811557</v>
      </c>
      <c r="F884" s="3">
        <v>45814</v>
      </c>
      <c r="G884">
        <v>202603</v>
      </c>
      <c r="H884" t="s">
        <v>75</v>
      </c>
      <c r="I884" t="s">
        <v>76</v>
      </c>
      <c r="J884" t="s">
        <v>77</v>
      </c>
      <c r="K884" t="s">
        <v>78</v>
      </c>
      <c r="L884" t="s">
        <v>369</v>
      </c>
      <c r="M884" t="s">
        <v>370</v>
      </c>
      <c r="N884" t="s">
        <v>371</v>
      </c>
      <c r="O884" t="s">
        <v>82</v>
      </c>
      <c r="P884" t="str">
        <f>"4170042739                    "</f>
        <v xml:space="preserve">4170042739                    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40.49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1</v>
      </c>
      <c r="BI884">
        <v>2</v>
      </c>
      <c r="BJ884">
        <v>1.5</v>
      </c>
      <c r="BK884">
        <v>2</v>
      </c>
      <c r="BL884">
        <v>134.65</v>
      </c>
      <c r="BM884">
        <v>20.2</v>
      </c>
      <c r="BN884">
        <v>154.85</v>
      </c>
      <c r="BO884">
        <v>154.85</v>
      </c>
      <c r="BQ884" t="s">
        <v>372</v>
      </c>
      <c r="BR884" t="s">
        <v>84</v>
      </c>
      <c r="BS884" s="3">
        <v>45817</v>
      </c>
      <c r="BT884" s="4">
        <v>0.39861111111111114</v>
      </c>
      <c r="BU884" t="s">
        <v>1332</v>
      </c>
      <c r="BV884" t="s">
        <v>86</v>
      </c>
      <c r="BY884">
        <v>7448</v>
      </c>
      <c r="CA884" t="s">
        <v>374</v>
      </c>
      <c r="CC884" t="s">
        <v>370</v>
      </c>
      <c r="CD884">
        <v>7130</v>
      </c>
      <c r="CE884" t="s">
        <v>166</v>
      </c>
      <c r="CF884" s="3">
        <v>45818</v>
      </c>
      <c r="CI884">
        <v>1</v>
      </c>
      <c r="CJ884">
        <v>1</v>
      </c>
      <c r="CK884">
        <v>23</v>
      </c>
      <c r="CL884" t="s">
        <v>90</v>
      </c>
    </row>
    <row r="885" spans="1:90" x14ac:dyDescent="0.3">
      <c r="A885" t="s">
        <v>72</v>
      </c>
      <c r="B885" t="s">
        <v>73</v>
      </c>
      <c r="C885" t="s">
        <v>74</v>
      </c>
      <c r="E885" t="str">
        <f>"080065811592"</f>
        <v>080065811592</v>
      </c>
      <c r="F885" s="3">
        <v>45814</v>
      </c>
      <c r="G885">
        <v>202603</v>
      </c>
      <c r="H885" t="s">
        <v>75</v>
      </c>
      <c r="I885" t="s">
        <v>76</v>
      </c>
      <c r="J885" t="s">
        <v>77</v>
      </c>
      <c r="K885" t="s">
        <v>78</v>
      </c>
      <c r="L885" t="s">
        <v>116</v>
      </c>
      <c r="M885" t="s">
        <v>117</v>
      </c>
      <c r="N885" t="s">
        <v>183</v>
      </c>
      <c r="O885" t="s">
        <v>82</v>
      </c>
      <c r="P885" t="str">
        <f>"4170042685                    "</f>
        <v xml:space="preserve">4170042685                    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93.98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1</v>
      </c>
      <c r="BI885">
        <v>9</v>
      </c>
      <c r="BJ885">
        <v>4.0999999999999996</v>
      </c>
      <c r="BK885">
        <v>9</v>
      </c>
      <c r="BL885">
        <v>312.54000000000002</v>
      </c>
      <c r="BM885">
        <v>46.88</v>
      </c>
      <c r="BN885">
        <v>359.42</v>
      </c>
      <c r="BO885">
        <v>359.42</v>
      </c>
      <c r="BQ885" t="s">
        <v>184</v>
      </c>
      <c r="BR885" t="s">
        <v>84</v>
      </c>
      <c r="BS885" s="3">
        <v>45817</v>
      </c>
      <c r="BT885" s="4">
        <v>0.49305555555555558</v>
      </c>
      <c r="BU885" t="s">
        <v>1278</v>
      </c>
      <c r="BV885" t="s">
        <v>86</v>
      </c>
      <c r="BY885">
        <v>20358</v>
      </c>
      <c r="BZ885" t="s">
        <v>87</v>
      </c>
      <c r="CA885" t="s">
        <v>186</v>
      </c>
      <c r="CC885" t="s">
        <v>117</v>
      </c>
      <c r="CD885">
        <v>3212</v>
      </c>
      <c r="CE885" t="s">
        <v>99</v>
      </c>
      <c r="CF885" s="3">
        <v>45818</v>
      </c>
      <c r="CI885">
        <v>2</v>
      </c>
      <c r="CJ885">
        <v>1</v>
      </c>
      <c r="CK885">
        <v>21</v>
      </c>
      <c r="CL885" t="s">
        <v>90</v>
      </c>
    </row>
    <row r="886" spans="1:90" x14ac:dyDescent="0.3">
      <c r="A886" t="s">
        <v>72</v>
      </c>
      <c r="B886" t="s">
        <v>73</v>
      </c>
      <c r="C886" t="s">
        <v>74</v>
      </c>
      <c r="E886" t="str">
        <f>"080065811611"</f>
        <v>080065811611</v>
      </c>
      <c r="F886" s="3">
        <v>45814</v>
      </c>
      <c r="G886">
        <v>202603</v>
      </c>
      <c r="H886" t="s">
        <v>75</v>
      </c>
      <c r="I886" t="s">
        <v>76</v>
      </c>
      <c r="J886" t="s">
        <v>77</v>
      </c>
      <c r="K886" t="s">
        <v>78</v>
      </c>
      <c r="L886" t="s">
        <v>461</v>
      </c>
      <c r="M886" t="s">
        <v>462</v>
      </c>
      <c r="N886" t="s">
        <v>463</v>
      </c>
      <c r="O886" t="s">
        <v>82</v>
      </c>
      <c r="P886" t="str">
        <f>"4170042764                    "</f>
        <v xml:space="preserve">4170042764                    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16.32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1</v>
      </c>
      <c r="BI886">
        <v>4</v>
      </c>
      <c r="BJ886">
        <v>1.7</v>
      </c>
      <c r="BK886">
        <v>4</v>
      </c>
      <c r="BL886">
        <v>54.28</v>
      </c>
      <c r="BM886">
        <v>8.14</v>
      </c>
      <c r="BN886">
        <v>62.42</v>
      </c>
      <c r="BO886">
        <v>62.42</v>
      </c>
      <c r="BQ886" t="s">
        <v>464</v>
      </c>
      <c r="BR886" t="s">
        <v>84</v>
      </c>
      <c r="BS886" s="3">
        <v>45817</v>
      </c>
      <c r="BT886" s="4">
        <v>0.43472222222222223</v>
      </c>
      <c r="BU886" t="s">
        <v>1627</v>
      </c>
      <c r="BV886" t="s">
        <v>86</v>
      </c>
      <c r="BY886">
        <v>8512</v>
      </c>
      <c r="CA886" t="s">
        <v>1628</v>
      </c>
      <c r="CC886" t="s">
        <v>462</v>
      </c>
      <c r="CD886">
        <v>1682</v>
      </c>
      <c r="CE886" t="s">
        <v>687</v>
      </c>
      <c r="CF886" s="3">
        <v>45818</v>
      </c>
      <c r="CI886">
        <v>1</v>
      </c>
      <c r="CJ886">
        <v>1</v>
      </c>
      <c r="CK886">
        <v>22</v>
      </c>
      <c r="CL886" t="s">
        <v>90</v>
      </c>
    </row>
    <row r="887" spans="1:90" x14ac:dyDescent="0.3">
      <c r="A887" t="s">
        <v>72</v>
      </c>
      <c r="B887" t="s">
        <v>73</v>
      </c>
      <c r="C887" t="s">
        <v>74</v>
      </c>
      <c r="E887" t="str">
        <f>"080065811638"</f>
        <v>080065811638</v>
      </c>
      <c r="F887" s="3">
        <v>45814</v>
      </c>
      <c r="G887">
        <v>202603</v>
      </c>
      <c r="H887" t="s">
        <v>75</v>
      </c>
      <c r="I887" t="s">
        <v>76</v>
      </c>
      <c r="J887" t="s">
        <v>77</v>
      </c>
      <c r="K887" t="s">
        <v>78</v>
      </c>
      <c r="L887" t="s">
        <v>136</v>
      </c>
      <c r="M887" t="s">
        <v>137</v>
      </c>
      <c r="N887" t="s">
        <v>806</v>
      </c>
      <c r="O887" t="s">
        <v>82</v>
      </c>
      <c r="P887" t="str">
        <f>"4170042663                    "</f>
        <v xml:space="preserve">4170042663                    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20.9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1</v>
      </c>
      <c r="BI887">
        <v>1</v>
      </c>
      <c r="BJ887">
        <v>0.2</v>
      </c>
      <c r="BK887">
        <v>1</v>
      </c>
      <c r="BL887">
        <v>69.5</v>
      </c>
      <c r="BM887">
        <v>10.43</v>
      </c>
      <c r="BN887">
        <v>79.930000000000007</v>
      </c>
      <c r="BO887">
        <v>79.930000000000007</v>
      </c>
      <c r="BQ887" t="s">
        <v>807</v>
      </c>
      <c r="BR887" t="s">
        <v>84</v>
      </c>
      <c r="BS887" s="3">
        <v>45817</v>
      </c>
      <c r="BT887" s="4">
        <v>0.3659722222222222</v>
      </c>
      <c r="BU887" t="s">
        <v>1629</v>
      </c>
      <c r="BV887" t="s">
        <v>86</v>
      </c>
      <c r="BY887">
        <v>1200</v>
      </c>
      <c r="BZ887" t="s">
        <v>87</v>
      </c>
      <c r="CA887" t="s">
        <v>320</v>
      </c>
      <c r="CC887" t="s">
        <v>137</v>
      </c>
      <c r="CD887">
        <v>5200</v>
      </c>
      <c r="CE887" t="s">
        <v>89</v>
      </c>
      <c r="CF887" s="3">
        <v>45818</v>
      </c>
      <c r="CI887">
        <v>1</v>
      </c>
      <c r="CJ887">
        <v>1</v>
      </c>
      <c r="CK887">
        <v>21</v>
      </c>
      <c r="CL887" t="s">
        <v>90</v>
      </c>
    </row>
    <row r="888" spans="1:90" x14ac:dyDescent="0.3">
      <c r="A888" t="s">
        <v>72</v>
      </c>
      <c r="B888" t="s">
        <v>73</v>
      </c>
      <c r="C888" t="s">
        <v>74</v>
      </c>
      <c r="E888" t="str">
        <f>"080065811645"</f>
        <v>080065811645</v>
      </c>
      <c r="F888" s="3">
        <v>45814</v>
      </c>
      <c r="G888">
        <v>202603</v>
      </c>
      <c r="H888" t="s">
        <v>75</v>
      </c>
      <c r="I888" t="s">
        <v>76</v>
      </c>
      <c r="J888" t="s">
        <v>77</v>
      </c>
      <c r="K888" t="s">
        <v>78</v>
      </c>
      <c r="L888" t="s">
        <v>75</v>
      </c>
      <c r="M888" t="s">
        <v>76</v>
      </c>
      <c r="N888" t="s">
        <v>112</v>
      </c>
      <c r="O888" t="s">
        <v>82</v>
      </c>
      <c r="P888" t="str">
        <f>"4170042542                    "</f>
        <v xml:space="preserve">4170042542                    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16.32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1</v>
      </c>
      <c r="BI888">
        <v>3</v>
      </c>
      <c r="BJ888">
        <v>1.7</v>
      </c>
      <c r="BK888">
        <v>3</v>
      </c>
      <c r="BL888">
        <v>54.28</v>
      </c>
      <c r="BM888">
        <v>8.14</v>
      </c>
      <c r="BN888">
        <v>62.42</v>
      </c>
      <c r="BO888">
        <v>62.42</v>
      </c>
      <c r="BQ888" t="s">
        <v>113</v>
      </c>
      <c r="BR888" t="s">
        <v>84</v>
      </c>
      <c r="BS888" s="3">
        <v>45817</v>
      </c>
      <c r="BT888" s="4">
        <v>0.3576388888888889</v>
      </c>
      <c r="BU888" t="s">
        <v>1630</v>
      </c>
      <c r="BV888" t="s">
        <v>86</v>
      </c>
      <c r="BY888">
        <v>8512</v>
      </c>
      <c r="CA888" t="s">
        <v>115</v>
      </c>
      <c r="CC888" t="s">
        <v>76</v>
      </c>
      <c r="CD888">
        <v>1600</v>
      </c>
      <c r="CE888" t="s">
        <v>687</v>
      </c>
      <c r="CF888" s="3">
        <v>45818</v>
      </c>
      <c r="CI888">
        <v>1</v>
      </c>
      <c r="CJ888">
        <v>1</v>
      </c>
      <c r="CK888">
        <v>22</v>
      </c>
      <c r="CL888" t="s">
        <v>90</v>
      </c>
    </row>
    <row r="889" spans="1:90" x14ac:dyDescent="0.3">
      <c r="A889" t="s">
        <v>72</v>
      </c>
      <c r="B889" t="s">
        <v>73</v>
      </c>
      <c r="C889" t="s">
        <v>74</v>
      </c>
      <c r="E889" t="str">
        <f>"080065811651"</f>
        <v>080065811651</v>
      </c>
      <c r="F889" s="3">
        <v>45814</v>
      </c>
      <c r="G889">
        <v>202603</v>
      </c>
      <c r="H889" t="s">
        <v>75</v>
      </c>
      <c r="I889" t="s">
        <v>76</v>
      </c>
      <c r="J889" t="s">
        <v>77</v>
      </c>
      <c r="K889" t="s">
        <v>78</v>
      </c>
      <c r="L889" t="s">
        <v>91</v>
      </c>
      <c r="M889" t="s">
        <v>92</v>
      </c>
      <c r="N889" t="s">
        <v>763</v>
      </c>
      <c r="O889" t="s">
        <v>82</v>
      </c>
      <c r="P889" t="str">
        <f>"4170042635                    "</f>
        <v xml:space="preserve">4170042635                    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20.9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1</v>
      </c>
      <c r="BI889">
        <v>1</v>
      </c>
      <c r="BJ889">
        <v>0.2</v>
      </c>
      <c r="BK889">
        <v>1</v>
      </c>
      <c r="BL889">
        <v>69.5</v>
      </c>
      <c r="BM889">
        <v>10.43</v>
      </c>
      <c r="BN889">
        <v>79.930000000000007</v>
      </c>
      <c r="BO889">
        <v>79.930000000000007</v>
      </c>
      <c r="BQ889" t="s">
        <v>764</v>
      </c>
      <c r="BR889" t="s">
        <v>84</v>
      </c>
      <c r="BS889" s="3">
        <v>45817</v>
      </c>
      <c r="BT889" s="4">
        <v>0.62291666666666667</v>
      </c>
      <c r="BU889" t="s">
        <v>1459</v>
      </c>
      <c r="BV889" t="s">
        <v>90</v>
      </c>
      <c r="BW889" t="s">
        <v>875</v>
      </c>
      <c r="BX889" t="s">
        <v>1460</v>
      </c>
      <c r="BY889">
        <v>1200</v>
      </c>
      <c r="CA889" t="s">
        <v>1461</v>
      </c>
      <c r="CC889" t="s">
        <v>92</v>
      </c>
      <c r="CD889">
        <v>7550</v>
      </c>
      <c r="CE889" t="s">
        <v>215</v>
      </c>
      <c r="CF889" s="3">
        <v>45818</v>
      </c>
      <c r="CI889">
        <v>1</v>
      </c>
      <c r="CJ889">
        <v>1</v>
      </c>
      <c r="CK889">
        <v>21</v>
      </c>
      <c r="CL889" t="s">
        <v>90</v>
      </c>
    </row>
    <row r="890" spans="1:90" x14ac:dyDescent="0.3">
      <c r="A890" t="s">
        <v>72</v>
      </c>
      <c r="B890" t="s">
        <v>73</v>
      </c>
      <c r="C890" t="s">
        <v>74</v>
      </c>
      <c r="E890" t="str">
        <f>"080065811667"</f>
        <v>080065811667</v>
      </c>
      <c r="F890" s="3">
        <v>45814</v>
      </c>
      <c r="G890">
        <v>202603</v>
      </c>
      <c r="H890" t="s">
        <v>75</v>
      </c>
      <c r="I890" t="s">
        <v>76</v>
      </c>
      <c r="J890" t="s">
        <v>77</v>
      </c>
      <c r="K890" t="s">
        <v>78</v>
      </c>
      <c r="L890" t="s">
        <v>331</v>
      </c>
      <c r="M890" t="s">
        <v>332</v>
      </c>
      <c r="N890" t="s">
        <v>1499</v>
      </c>
      <c r="O890" t="s">
        <v>82</v>
      </c>
      <c r="P890" t="str">
        <f>"4170042687                    "</f>
        <v xml:space="preserve">4170042687                    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20.9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1</v>
      </c>
      <c r="BI890">
        <v>1</v>
      </c>
      <c r="BJ890">
        <v>0.2</v>
      </c>
      <c r="BK890">
        <v>1</v>
      </c>
      <c r="BL890">
        <v>69.5</v>
      </c>
      <c r="BM890">
        <v>10.43</v>
      </c>
      <c r="BN890">
        <v>79.930000000000007</v>
      </c>
      <c r="BO890">
        <v>79.930000000000007</v>
      </c>
      <c r="BQ890" t="s">
        <v>1500</v>
      </c>
      <c r="BR890" t="s">
        <v>84</v>
      </c>
      <c r="BS890" s="3">
        <v>45817</v>
      </c>
      <c r="BT890" s="4">
        <v>0.3347222222222222</v>
      </c>
      <c r="BU890" t="s">
        <v>1136</v>
      </c>
      <c r="BV890" t="s">
        <v>86</v>
      </c>
      <c r="BY890">
        <v>1200</v>
      </c>
      <c r="BZ890" t="s">
        <v>87</v>
      </c>
      <c r="CA890" t="s">
        <v>1061</v>
      </c>
      <c r="CC890" t="s">
        <v>332</v>
      </c>
      <c r="CD890">
        <v>4000</v>
      </c>
      <c r="CE890" t="s">
        <v>89</v>
      </c>
      <c r="CF890" s="3">
        <v>45817</v>
      </c>
      <c r="CI890">
        <v>1</v>
      </c>
      <c r="CJ890">
        <v>1</v>
      </c>
      <c r="CK890">
        <v>21</v>
      </c>
      <c r="CL890" t="s">
        <v>90</v>
      </c>
    </row>
    <row r="891" spans="1:90" x14ac:dyDescent="0.3">
      <c r="A891" t="s">
        <v>72</v>
      </c>
      <c r="B891" t="s">
        <v>73</v>
      </c>
      <c r="C891" t="s">
        <v>74</v>
      </c>
      <c r="E891" t="str">
        <f>"080065811669"</f>
        <v>080065811669</v>
      </c>
      <c r="F891" s="3">
        <v>45814</v>
      </c>
      <c r="G891">
        <v>202603</v>
      </c>
      <c r="H891" t="s">
        <v>75</v>
      </c>
      <c r="I891" t="s">
        <v>76</v>
      </c>
      <c r="J891" t="s">
        <v>77</v>
      </c>
      <c r="K891" t="s">
        <v>78</v>
      </c>
      <c r="L891" t="s">
        <v>130</v>
      </c>
      <c r="M891" t="s">
        <v>131</v>
      </c>
      <c r="N891" t="s">
        <v>422</v>
      </c>
      <c r="O891" t="s">
        <v>82</v>
      </c>
      <c r="P891" t="str">
        <f>"4170042563                    "</f>
        <v xml:space="preserve">4170042563                    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16.32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1</v>
      </c>
      <c r="BJ891">
        <v>0.9</v>
      </c>
      <c r="BK891">
        <v>1</v>
      </c>
      <c r="BL891">
        <v>54.28</v>
      </c>
      <c r="BM891">
        <v>8.14</v>
      </c>
      <c r="BN891">
        <v>62.42</v>
      </c>
      <c r="BO891">
        <v>62.42</v>
      </c>
      <c r="BQ891" t="s">
        <v>423</v>
      </c>
      <c r="BR891" t="s">
        <v>84</v>
      </c>
      <c r="BS891" s="3">
        <v>45817</v>
      </c>
      <c r="BT891" s="4">
        <v>0.34930555555555554</v>
      </c>
      <c r="BU891" t="s">
        <v>1631</v>
      </c>
      <c r="BV891" t="s">
        <v>86</v>
      </c>
      <c r="BY891">
        <v>4560</v>
      </c>
      <c r="BZ891" t="s">
        <v>87</v>
      </c>
      <c r="CA891" t="s">
        <v>732</v>
      </c>
      <c r="CC891" t="s">
        <v>131</v>
      </c>
      <c r="CD891">
        <v>1459</v>
      </c>
      <c r="CE891" t="s">
        <v>99</v>
      </c>
      <c r="CF891" s="3">
        <v>45818</v>
      </c>
      <c r="CI891">
        <v>1</v>
      </c>
      <c r="CJ891">
        <v>1</v>
      </c>
      <c r="CK891">
        <v>22</v>
      </c>
      <c r="CL891" t="s">
        <v>90</v>
      </c>
    </row>
    <row r="892" spans="1:90" x14ac:dyDescent="0.3">
      <c r="A892" t="s">
        <v>72</v>
      </c>
      <c r="B892" t="s">
        <v>73</v>
      </c>
      <c r="C892" t="s">
        <v>74</v>
      </c>
      <c r="E892" t="str">
        <f>"080065811699"</f>
        <v>080065811699</v>
      </c>
      <c r="F892" s="3">
        <v>45814</v>
      </c>
      <c r="G892">
        <v>202603</v>
      </c>
      <c r="H892" t="s">
        <v>75</v>
      </c>
      <c r="I892" t="s">
        <v>76</v>
      </c>
      <c r="J892" t="s">
        <v>77</v>
      </c>
      <c r="K892" t="s">
        <v>78</v>
      </c>
      <c r="L892" t="s">
        <v>266</v>
      </c>
      <c r="M892" t="s">
        <v>267</v>
      </c>
      <c r="N892" t="s">
        <v>1632</v>
      </c>
      <c r="O892" t="s">
        <v>82</v>
      </c>
      <c r="P892" t="str">
        <f>"4170042559                    "</f>
        <v xml:space="preserve">4170042559                    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20.9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1</v>
      </c>
      <c r="BI892">
        <v>1</v>
      </c>
      <c r="BJ892">
        <v>0.2</v>
      </c>
      <c r="BK892">
        <v>1</v>
      </c>
      <c r="BL892">
        <v>69.5</v>
      </c>
      <c r="BM892">
        <v>10.43</v>
      </c>
      <c r="BN892">
        <v>79.930000000000007</v>
      </c>
      <c r="BO892">
        <v>79.930000000000007</v>
      </c>
      <c r="BQ892" t="s">
        <v>1633</v>
      </c>
      <c r="BR892" t="s">
        <v>84</v>
      </c>
      <c r="BS892" s="3">
        <v>45818</v>
      </c>
      <c r="BT892" s="4">
        <v>0.34027777777777779</v>
      </c>
      <c r="BU892" t="s">
        <v>1389</v>
      </c>
      <c r="BV892" t="s">
        <v>90</v>
      </c>
      <c r="BW892" t="s">
        <v>416</v>
      </c>
      <c r="BX892" t="s">
        <v>614</v>
      </c>
      <c r="BY892">
        <v>1200</v>
      </c>
      <c r="CA892" t="s">
        <v>271</v>
      </c>
      <c r="CC892" t="s">
        <v>267</v>
      </c>
      <c r="CD892">
        <v>6230</v>
      </c>
      <c r="CE892" t="s">
        <v>215</v>
      </c>
      <c r="CF892" s="3">
        <v>45818</v>
      </c>
      <c r="CI892">
        <v>1</v>
      </c>
      <c r="CJ892">
        <v>2</v>
      </c>
      <c r="CK892">
        <v>21</v>
      </c>
      <c r="CL892" t="s">
        <v>90</v>
      </c>
    </row>
    <row r="893" spans="1:90" x14ac:dyDescent="0.3">
      <c r="A893" t="s">
        <v>72</v>
      </c>
      <c r="B893" t="s">
        <v>73</v>
      </c>
      <c r="C893" t="s">
        <v>74</v>
      </c>
      <c r="E893" t="str">
        <f>"080065811712"</f>
        <v>080065811712</v>
      </c>
      <c r="F893" s="3">
        <v>45814</v>
      </c>
      <c r="G893">
        <v>202603</v>
      </c>
      <c r="H893" t="s">
        <v>75</v>
      </c>
      <c r="I893" t="s">
        <v>76</v>
      </c>
      <c r="J893" t="s">
        <v>77</v>
      </c>
      <c r="K893" t="s">
        <v>78</v>
      </c>
      <c r="L893" t="s">
        <v>1526</v>
      </c>
      <c r="M893" t="s">
        <v>1527</v>
      </c>
      <c r="N893" t="s">
        <v>1546</v>
      </c>
      <c r="O893" t="s">
        <v>82</v>
      </c>
      <c r="P893" t="str">
        <f>"4170042770                    "</f>
        <v xml:space="preserve">4170042770                    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58.77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1</v>
      </c>
      <c r="BI893">
        <v>3</v>
      </c>
      <c r="BJ893">
        <v>1.7</v>
      </c>
      <c r="BK893">
        <v>3</v>
      </c>
      <c r="BL893">
        <v>195.45</v>
      </c>
      <c r="BM893">
        <v>29.32</v>
      </c>
      <c r="BN893">
        <v>224.77</v>
      </c>
      <c r="BO893">
        <v>224.77</v>
      </c>
      <c r="BQ893" t="s">
        <v>1547</v>
      </c>
      <c r="BR893" t="s">
        <v>84</v>
      </c>
      <c r="BS893" s="3">
        <v>45819</v>
      </c>
      <c r="BT893" s="4">
        <v>0.5756944444444444</v>
      </c>
      <c r="BU893" t="s">
        <v>1634</v>
      </c>
      <c r="BV893" t="s">
        <v>90</v>
      </c>
      <c r="BW893" t="s">
        <v>416</v>
      </c>
      <c r="BX893" t="s">
        <v>417</v>
      </c>
      <c r="BY893">
        <v>8512</v>
      </c>
      <c r="CA893" t="s">
        <v>553</v>
      </c>
      <c r="CC893" t="s">
        <v>1527</v>
      </c>
      <c r="CD893">
        <v>4400</v>
      </c>
      <c r="CE893" t="s">
        <v>687</v>
      </c>
      <c r="CI893">
        <v>1</v>
      </c>
      <c r="CJ893">
        <v>3</v>
      </c>
      <c r="CK893">
        <v>23</v>
      </c>
      <c r="CL893" t="s">
        <v>90</v>
      </c>
    </row>
    <row r="894" spans="1:90" x14ac:dyDescent="0.3">
      <c r="A894" t="s">
        <v>72</v>
      </c>
      <c r="B894" t="s">
        <v>73</v>
      </c>
      <c r="C894" t="s">
        <v>74</v>
      </c>
      <c r="E894" t="str">
        <f>"080065811718"</f>
        <v>080065811718</v>
      </c>
      <c r="F894" s="3">
        <v>45814</v>
      </c>
      <c r="G894">
        <v>202603</v>
      </c>
      <c r="H894" t="s">
        <v>75</v>
      </c>
      <c r="I894" t="s">
        <v>76</v>
      </c>
      <c r="J894" t="s">
        <v>77</v>
      </c>
      <c r="K894" t="s">
        <v>78</v>
      </c>
      <c r="L894" t="s">
        <v>331</v>
      </c>
      <c r="M894" t="s">
        <v>332</v>
      </c>
      <c r="N894" t="s">
        <v>1499</v>
      </c>
      <c r="O894" t="s">
        <v>82</v>
      </c>
      <c r="P894" t="str">
        <f>"4170042641                    "</f>
        <v xml:space="preserve">4170042641                    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20.9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1</v>
      </c>
      <c r="BI894">
        <v>1</v>
      </c>
      <c r="BJ894">
        <v>0.2</v>
      </c>
      <c r="BK894">
        <v>1</v>
      </c>
      <c r="BL894">
        <v>69.5</v>
      </c>
      <c r="BM894">
        <v>10.43</v>
      </c>
      <c r="BN894">
        <v>79.930000000000007</v>
      </c>
      <c r="BO894">
        <v>79.930000000000007</v>
      </c>
      <c r="BQ894" t="s">
        <v>1500</v>
      </c>
      <c r="BR894" t="s">
        <v>84</v>
      </c>
      <c r="BS894" s="3">
        <v>45817</v>
      </c>
      <c r="BT894" s="4">
        <v>0.3347222222222222</v>
      </c>
      <c r="BU894" t="s">
        <v>1136</v>
      </c>
      <c r="BV894" t="s">
        <v>86</v>
      </c>
      <c r="BY894">
        <v>1200</v>
      </c>
      <c r="BZ894" t="s">
        <v>87</v>
      </c>
      <c r="CA894" t="s">
        <v>1061</v>
      </c>
      <c r="CC894" t="s">
        <v>332</v>
      </c>
      <c r="CD894">
        <v>4000</v>
      </c>
      <c r="CE894" t="s">
        <v>89</v>
      </c>
      <c r="CF894" s="3">
        <v>45817</v>
      </c>
      <c r="CI894">
        <v>1</v>
      </c>
      <c r="CJ894">
        <v>1</v>
      </c>
      <c r="CK894">
        <v>21</v>
      </c>
      <c r="CL894" t="s">
        <v>90</v>
      </c>
    </row>
    <row r="895" spans="1:90" x14ac:dyDescent="0.3">
      <c r="A895" t="s">
        <v>72</v>
      </c>
      <c r="B895" t="s">
        <v>73</v>
      </c>
      <c r="C895" t="s">
        <v>74</v>
      </c>
      <c r="E895" t="str">
        <f>"080065811745"</f>
        <v>080065811745</v>
      </c>
      <c r="F895" s="3">
        <v>45814</v>
      </c>
      <c r="G895">
        <v>202603</v>
      </c>
      <c r="H895" t="s">
        <v>75</v>
      </c>
      <c r="I895" t="s">
        <v>76</v>
      </c>
      <c r="J895" t="s">
        <v>77</v>
      </c>
      <c r="K895" t="s">
        <v>78</v>
      </c>
      <c r="L895" t="s">
        <v>1635</v>
      </c>
      <c r="M895" t="s">
        <v>1636</v>
      </c>
      <c r="N895" t="s">
        <v>1637</v>
      </c>
      <c r="O895" t="s">
        <v>94</v>
      </c>
      <c r="P895" t="str">
        <f>"4170042718                    "</f>
        <v xml:space="preserve">4170042718                    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31.18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1</v>
      </c>
      <c r="BI895">
        <v>1</v>
      </c>
      <c r="BJ895">
        <v>0.2</v>
      </c>
      <c r="BK895">
        <v>1</v>
      </c>
      <c r="BL895">
        <v>109.27</v>
      </c>
      <c r="BM895">
        <v>16.39</v>
      </c>
      <c r="BN895">
        <v>125.66</v>
      </c>
      <c r="BO895">
        <v>125.66</v>
      </c>
      <c r="BQ895" t="s">
        <v>1638</v>
      </c>
      <c r="BR895" t="s">
        <v>84</v>
      </c>
      <c r="BS895" s="3">
        <v>45819</v>
      </c>
      <c r="BT895" s="4">
        <v>0.53472222222222221</v>
      </c>
      <c r="BU895" t="s">
        <v>197</v>
      </c>
      <c r="BV895" t="s">
        <v>90</v>
      </c>
      <c r="BW895" t="s">
        <v>1639</v>
      </c>
      <c r="BX895" t="s">
        <v>199</v>
      </c>
      <c r="BY895">
        <v>1200</v>
      </c>
      <c r="CA895" t="s">
        <v>200</v>
      </c>
      <c r="CC895" t="s">
        <v>1636</v>
      </c>
      <c r="CD895">
        <v>1554</v>
      </c>
      <c r="CE895" t="s">
        <v>215</v>
      </c>
      <c r="CI895">
        <v>1</v>
      </c>
      <c r="CJ895">
        <v>3</v>
      </c>
      <c r="CK895">
        <v>42</v>
      </c>
      <c r="CL895" t="s">
        <v>90</v>
      </c>
    </row>
    <row r="896" spans="1:90" x14ac:dyDescent="0.3">
      <c r="A896" t="s">
        <v>72</v>
      </c>
      <c r="B896" t="s">
        <v>73</v>
      </c>
      <c r="C896" t="s">
        <v>74</v>
      </c>
      <c r="E896" t="str">
        <f>"080065811748"</f>
        <v>080065811748</v>
      </c>
      <c r="F896" s="3">
        <v>45814</v>
      </c>
      <c r="G896">
        <v>202603</v>
      </c>
      <c r="H896" t="s">
        <v>75</v>
      </c>
      <c r="I896" t="s">
        <v>76</v>
      </c>
      <c r="J896" t="s">
        <v>77</v>
      </c>
      <c r="K896" t="s">
        <v>78</v>
      </c>
      <c r="L896" t="s">
        <v>201</v>
      </c>
      <c r="M896" t="s">
        <v>202</v>
      </c>
      <c r="N896" t="s">
        <v>203</v>
      </c>
      <c r="O896" t="s">
        <v>82</v>
      </c>
      <c r="P896" t="str">
        <f>"4170042629                    "</f>
        <v xml:space="preserve">4170042629                    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67.91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1</v>
      </c>
      <c r="BI896">
        <v>3</v>
      </c>
      <c r="BJ896">
        <v>3.4</v>
      </c>
      <c r="BK896">
        <v>3.5</v>
      </c>
      <c r="BL896">
        <v>225.85</v>
      </c>
      <c r="BM896">
        <v>33.880000000000003</v>
      </c>
      <c r="BN896">
        <v>259.73</v>
      </c>
      <c r="BO896">
        <v>259.73</v>
      </c>
      <c r="BQ896" t="s">
        <v>204</v>
      </c>
      <c r="BR896" t="s">
        <v>84</v>
      </c>
      <c r="BS896" s="3">
        <v>45817</v>
      </c>
      <c r="BT896" s="4">
        <v>0.44583333333333336</v>
      </c>
      <c r="BU896" t="s">
        <v>1091</v>
      </c>
      <c r="BV896" t="s">
        <v>86</v>
      </c>
      <c r="BY896">
        <v>16965</v>
      </c>
      <c r="BZ896" t="s">
        <v>87</v>
      </c>
      <c r="CC896" t="s">
        <v>202</v>
      </c>
      <c r="CD896">
        <v>5257</v>
      </c>
      <c r="CE896" t="s">
        <v>99</v>
      </c>
      <c r="CF896" s="3">
        <v>45818</v>
      </c>
      <c r="CI896">
        <v>1</v>
      </c>
      <c r="CJ896">
        <v>1</v>
      </c>
      <c r="CK896">
        <v>23</v>
      </c>
      <c r="CL896" t="s">
        <v>90</v>
      </c>
    </row>
    <row r="897" spans="1:90" x14ac:dyDescent="0.3">
      <c r="A897" t="s">
        <v>72</v>
      </c>
      <c r="B897" t="s">
        <v>73</v>
      </c>
      <c r="C897" t="s">
        <v>74</v>
      </c>
      <c r="E897" t="str">
        <f>"080065811761"</f>
        <v>080065811761</v>
      </c>
      <c r="F897" s="3">
        <v>45814</v>
      </c>
      <c r="G897">
        <v>202603</v>
      </c>
      <c r="H897" t="s">
        <v>75</v>
      </c>
      <c r="I897" t="s">
        <v>76</v>
      </c>
      <c r="J897" t="s">
        <v>77</v>
      </c>
      <c r="K897" t="s">
        <v>78</v>
      </c>
      <c r="L897" t="s">
        <v>331</v>
      </c>
      <c r="M897" t="s">
        <v>332</v>
      </c>
      <c r="N897" t="s">
        <v>484</v>
      </c>
      <c r="O897" t="s">
        <v>82</v>
      </c>
      <c r="P897" t="str">
        <f>"4170042769                    "</f>
        <v xml:space="preserve">4170042769                    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20.9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1</v>
      </c>
      <c r="BI897">
        <v>1</v>
      </c>
      <c r="BJ897">
        <v>0.2</v>
      </c>
      <c r="BK897">
        <v>1</v>
      </c>
      <c r="BL897">
        <v>69.5</v>
      </c>
      <c r="BM897">
        <v>10.43</v>
      </c>
      <c r="BN897">
        <v>79.930000000000007</v>
      </c>
      <c r="BO897">
        <v>79.930000000000007</v>
      </c>
      <c r="BQ897" t="s">
        <v>485</v>
      </c>
      <c r="BR897" t="s">
        <v>84</v>
      </c>
      <c r="BS897" s="3">
        <v>45818</v>
      </c>
      <c r="BT897" s="4">
        <v>0.39097222222222222</v>
      </c>
      <c r="BU897" t="s">
        <v>1324</v>
      </c>
      <c r="BV897" t="s">
        <v>90</v>
      </c>
      <c r="BW897" t="s">
        <v>416</v>
      </c>
      <c r="BX897" t="s">
        <v>417</v>
      </c>
      <c r="BY897">
        <v>1200</v>
      </c>
      <c r="CA897" t="s">
        <v>418</v>
      </c>
      <c r="CC897" t="s">
        <v>332</v>
      </c>
      <c r="CD897">
        <v>4052</v>
      </c>
      <c r="CE897" t="s">
        <v>215</v>
      </c>
      <c r="CF897" s="3">
        <v>45818</v>
      </c>
      <c r="CI897">
        <v>1</v>
      </c>
      <c r="CJ897">
        <v>2</v>
      </c>
      <c r="CK897">
        <v>21</v>
      </c>
      <c r="CL897" t="s">
        <v>90</v>
      </c>
    </row>
    <row r="898" spans="1:90" x14ac:dyDescent="0.3">
      <c r="A898" t="s">
        <v>72</v>
      </c>
      <c r="B898" t="s">
        <v>73</v>
      </c>
      <c r="C898" t="s">
        <v>74</v>
      </c>
      <c r="E898" t="str">
        <f>"080065811787"</f>
        <v>080065811787</v>
      </c>
      <c r="F898" s="3">
        <v>45814</v>
      </c>
      <c r="G898">
        <v>202603</v>
      </c>
      <c r="H898" t="s">
        <v>75</v>
      </c>
      <c r="I898" t="s">
        <v>76</v>
      </c>
      <c r="J898" t="s">
        <v>77</v>
      </c>
      <c r="K898" t="s">
        <v>78</v>
      </c>
      <c r="L898" t="s">
        <v>106</v>
      </c>
      <c r="M898" t="s">
        <v>107</v>
      </c>
      <c r="N898" t="s">
        <v>509</v>
      </c>
      <c r="O898" t="s">
        <v>82</v>
      </c>
      <c r="P898" t="str">
        <f>"4170042620                    "</f>
        <v xml:space="preserve">4170042620                    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20.9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1</v>
      </c>
      <c r="BI898">
        <v>2</v>
      </c>
      <c r="BJ898">
        <v>1.9</v>
      </c>
      <c r="BK898">
        <v>2</v>
      </c>
      <c r="BL898">
        <v>69.5</v>
      </c>
      <c r="BM898">
        <v>10.43</v>
      </c>
      <c r="BN898">
        <v>79.930000000000007</v>
      </c>
      <c r="BO898">
        <v>79.930000000000007</v>
      </c>
      <c r="BQ898" t="s">
        <v>510</v>
      </c>
      <c r="BR898" t="s">
        <v>84</v>
      </c>
      <c r="BS898" s="3">
        <v>45817</v>
      </c>
      <c r="BT898" s="4">
        <v>0.30069444444444443</v>
      </c>
      <c r="BU898" t="s">
        <v>511</v>
      </c>
      <c r="BV898" t="s">
        <v>86</v>
      </c>
      <c r="BY898">
        <v>9600</v>
      </c>
      <c r="BZ898" t="s">
        <v>87</v>
      </c>
      <c r="CA898" t="s">
        <v>355</v>
      </c>
      <c r="CC898" t="s">
        <v>107</v>
      </c>
      <c r="CD898">
        <v>2</v>
      </c>
      <c r="CE898" t="s">
        <v>99</v>
      </c>
      <c r="CF898" s="3">
        <v>45817</v>
      </c>
      <c r="CI898">
        <v>1</v>
      </c>
      <c r="CJ898">
        <v>1</v>
      </c>
      <c r="CK898">
        <v>21</v>
      </c>
      <c r="CL898" t="s">
        <v>90</v>
      </c>
    </row>
    <row r="899" spans="1:90" x14ac:dyDescent="0.3">
      <c r="A899" t="s">
        <v>72</v>
      </c>
      <c r="B899" t="s">
        <v>73</v>
      </c>
      <c r="C899" t="s">
        <v>74</v>
      </c>
      <c r="E899" t="str">
        <f>"080065811796"</f>
        <v>080065811796</v>
      </c>
      <c r="F899" s="3">
        <v>45814</v>
      </c>
      <c r="G899">
        <v>202603</v>
      </c>
      <c r="H899" t="s">
        <v>75</v>
      </c>
      <c r="I899" t="s">
        <v>76</v>
      </c>
      <c r="J899" t="s">
        <v>77</v>
      </c>
      <c r="K899" t="s">
        <v>78</v>
      </c>
      <c r="L899" t="s">
        <v>91</v>
      </c>
      <c r="M899" t="s">
        <v>92</v>
      </c>
      <c r="N899" t="s">
        <v>1252</v>
      </c>
      <c r="O899" t="s">
        <v>82</v>
      </c>
      <c r="P899" t="str">
        <f>"4170042558                    "</f>
        <v xml:space="preserve">4170042558                    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20.9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1</v>
      </c>
      <c r="BI899">
        <v>1</v>
      </c>
      <c r="BJ899">
        <v>0.2</v>
      </c>
      <c r="BK899">
        <v>1</v>
      </c>
      <c r="BL899">
        <v>69.5</v>
      </c>
      <c r="BM899">
        <v>10.43</v>
      </c>
      <c r="BN899">
        <v>79.930000000000007</v>
      </c>
      <c r="BO899">
        <v>79.930000000000007</v>
      </c>
      <c r="BQ899" t="s">
        <v>1253</v>
      </c>
      <c r="BR899" t="s">
        <v>84</v>
      </c>
      <c r="BS899" s="3">
        <v>45817</v>
      </c>
      <c r="BT899" s="4">
        <v>0.43402777777777779</v>
      </c>
      <c r="BU899" t="s">
        <v>1640</v>
      </c>
      <c r="BV899" t="s">
        <v>86</v>
      </c>
      <c r="BY899">
        <v>1200</v>
      </c>
      <c r="BZ899" t="s">
        <v>87</v>
      </c>
      <c r="CA899" t="s">
        <v>1641</v>
      </c>
      <c r="CC899" t="s">
        <v>92</v>
      </c>
      <c r="CD899">
        <v>7800</v>
      </c>
      <c r="CE899" t="s">
        <v>89</v>
      </c>
      <c r="CF899" s="3">
        <v>45818</v>
      </c>
      <c r="CI899">
        <v>1</v>
      </c>
      <c r="CJ899">
        <v>1</v>
      </c>
      <c r="CK899">
        <v>21</v>
      </c>
      <c r="CL899" t="s">
        <v>90</v>
      </c>
    </row>
    <row r="900" spans="1:90" x14ac:dyDescent="0.3">
      <c r="A900" t="s">
        <v>72</v>
      </c>
      <c r="B900" t="s">
        <v>73</v>
      </c>
      <c r="C900" t="s">
        <v>74</v>
      </c>
      <c r="E900" t="str">
        <f>"080065811825"</f>
        <v>080065811825</v>
      </c>
      <c r="F900" s="3">
        <v>45814</v>
      </c>
      <c r="G900">
        <v>202603</v>
      </c>
      <c r="H900" t="s">
        <v>75</v>
      </c>
      <c r="I900" t="s">
        <v>76</v>
      </c>
      <c r="J900" t="s">
        <v>77</v>
      </c>
      <c r="K900" t="s">
        <v>78</v>
      </c>
      <c r="L900" t="s">
        <v>100</v>
      </c>
      <c r="M900" t="s">
        <v>101</v>
      </c>
      <c r="N900" t="s">
        <v>1642</v>
      </c>
      <c r="O900" t="s">
        <v>82</v>
      </c>
      <c r="P900" t="str">
        <f>"4170042601                    "</f>
        <v xml:space="preserve">4170042601                    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20.9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1</v>
      </c>
      <c r="BI900">
        <v>1</v>
      </c>
      <c r="BJ900">
        <v>0.2</v>
      </c>
      <c r="BK900">
        <v>1</v>
      </c>
      <c r="BL900">
        <v>69.5</v>
      </c>
      <c r="BM900">
        <v>10.43</v>
      </c>
      <c r="BN900">
        <v>79.930000000000007</v>
      </c>
      <c r="BO900">
        <v>79.930000000000007</v>
      </c>
      <c r="BQ900" t="s">
        <v>1643</v>
      </c>
      <c r="BR900" t="s">
        <v>84</v>
      </c>
      <c r="BS900" s="3">
        <v>45817</v>
      </c>
      <c r="BT900" s="4">
        <v>0.36249999999999999</v>
      </c>
      <c r="BU900" t="s">
        <v>1644</v>
      </c>
      <c r="BV900" t="s">
        <v>86</v>
      </c>
      <c r="BY900">
        <v>1200</v>
      </c>
      <c r="BZ900" t="s">
        <v>87</v>
      </c>
      <c r="CA900" t="s">
        <v>283</v>
      </c>
      <c r="CC900" t="s">
        <v>101</v>
      </c>
      <c r="CD900">
        <v>6001</v>
      </c>
      <c r="CE900" t="s">
        <v>215</v>
      </c>
      <c r="CF900" s="3">
        <v>45817</v>
      </c>
      <c r="CI900">
        <v>1</v>
      </c>
      <c r="CJ900">
        <v>1</v>
      </c>
      <c r="CK900">
        <v>21</v>
      </c>
      <c r="CL900" t="s">
        <v>90</v>
      </c>
    </row>
    <row r="901" spans="1:90" x14ac:dyDescent="0.3">
      <c r="A901" t="s">
        <v>72</v>
      </c>
      <c r="B901" t="s">
        <v>73</v>
      </c>
      <c r="C901" t="s">
        <v>74</v>
      </c>
      <c r="E901" t="str">
        <f>"080065811843"</f>
        <v>080065811843</v>
      </c>
      <c r="F901" s="3">
        <v>45814</v>
      </c>
      <c r="G901">
        <v>202603</v>
      </c>
      <c r="H901" t="s">
        <v>75</v>
      </c>
      <c r="I901" t="s">
        <v>76</v>
      </c>
      <c r="J901" t="s">
        <v>77</v>
      </c>
      <c r="K901" t="s">
        <v>78</v>
      </c>
      <c r="L901" t="s">
        <v>1645</v>
      </c>
      <c r="M901" t="s">
        <v>1646</v>
      </c>
      <c r="N901" t="s">
        <v>1647</v>
      </c>
      <c r="O901" t="s">
        <v>82</v>
      </c>
      <c r="P901" t="str">
        <f>"4170042644                    "</f>
        <v xml:space="preserve">4170042644                    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29.39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1</v>
      </c>
      <c r="BI901">
        <v>1</v>
      </c>
      <c r="BJ901">
        <v>0.9</v>
      </c>
      <c r="BK901">
        <v>1</v>
      </c>
      <c r="BL901">
        <v>97.74</v>
      </c>
      <c r="BM901">
        <v>14.66</v>
      </c>
      <c r="BN901">
        <v>112.4</v>
      </c>
      <c r="BO901">
        <v>112.4</v>
      </c>
      <c r="BQ901" t="s">
        <v>1648</v>
      </c>
      <c r="BR901" t="s">
        <v>84</v>
      </c>
      <c r="BS901" s="3">
        <v>45817</v>
      </c>
      <c r="BT901" s="4">
        <v>0.39652777777777776</v>
      </c>
      <c r="BU901" t="s">
        <v>1649</v>
      </c>
      <c r="BV901" t="s">
        <v>86</v>
      </c>
      <c r="BY901">
        <v>4560</v>
      </c>
      <c r="BZ901" t="s">
        <v>87</v>
      </c>
      <c r="CA901" t="s">
        <v>1650</v>
      </c>
      <c r="CC901" t="s">
        <v>1646</v>
      </c>
      <c r="CD901">
        <v>2410</v>
      </c>
      <c r="CE901" t="s">
        <v>687</v>
      </c>
      <c r="CF901" s="3">
        <v>45817</v>
      </c>
      <c r="CI901">
        <v>1</v>
      </c>
      <c r="CJ901">
        <v>1</v>
      </c>
      <c r="CK901">
        <v>24</v>
      </c>
      <c r="CL901" t="s">
        <v>90</v>
      </c>
    </row>
    <row r="902" spans="1:90" x14ac:dyDescent="0.3">
      <c r="A902" t="s">
        <v>72</v>
      </c>
      <c r="B902" t="s">
        <v>73</v>
      </c>
      <c r="C902" t="s">
        <v>74</v>
      </c>
      <c r="E902" t="str">
        <f>"080065811888"</f>
        <v>080065811888</v>
      </c>
      <c r="F902" s="3">
        <v>45814</v>
      </c>
      <c r="G902">
        <v>202603</v>
      </c>
      <c r="H902" t="s">
        <v>75</v>
      </c>
      <c r="I902" t="s">
        <v>76</v>
      </c>
      <c r="J902" t="s">
        <v>77</v>
      </c>
      <c r="K902" t="s">
        <v>78</v>
      </c>
      <c r="L902" t="s">
        <v>174</v>
      </c>
      <c r="M902" t="s">
        <v>175</v>
      </c>
      <c r="N902" t="s">
        <v>1311</v>
      </c>
      <c r="O902" t="s">
        <v>82</v>
      </c>
      <c r="P902" t="str">
        <f>"4170042740                    "</f>
        <v xml:space="preserve">4170042740                    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20.9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1</v>
      </c>
      <c r="BI902">
        <v>1</v>
      </c>
      <c r="BJ902">
        <v>0.2</v>
      </c>
      <c r="BK902">
        <v>1</v>
      </c>
      <c r="BL902">
        <v>69.5</v>
      </c>
      <c r="BM902">
        <v>10.43</v>
      </c>
      <c r="BN902">
        <v>79.930000000000007</v>
      </c>
      <c r="BO902">
        <v>79.930000000000007</v>
      </c>
      <c r="BQ902" t="s">
        <v>1312</v>
      </c>
      <c r="BR902" t="s">
        <v>84</v>
      </c>
      <c r="BS902" s="3">
        <v>45817</v>
      </c>
      <c r="BT902" s="4">
        <v>0.42430555555555555</v>
      </c>
      <c r="BU902" t="s">
        <v>1651</v>
      </c>
      <c r="BV902" t="s">
        <v>86</v>
      </c>
      <c r="BY902">
        <v>1200</v>
      </c>
      <c r="CA902" t="s">
        <v>179</v>
      </c>
      <c r="CC902" t="s">
        <v>175</v>
      </c>
      <c r="CD902">
        <v>3610</v>
      </c>
      <c r="CE902" t="s">
        <v>1029</v>
      </c>
      <c r="CF902" s="3">
        <v>45818</v>
      </c>
      <c r="CI902">
        <v>1</v>
      </c>
      <c r="CJ902">
        <v>1</v>
      </c>
      <c r="CK902">
        <v>21</v>
      </c>
      <c r="CL902" t="s">
        <v>90</v>
      </c>
    </row>
    <row r="903" spans="1:90" x14ac:dyDescent="0.3">
      <c r="A903" t="s">
        <v>72</v>
      </c>
      <c r="B903" t="s">
        <v>73</v>
      </c>
      <c r="C903" t="s">
        <v>74</v>
      </c>
      <c r="E903" t="str">
        <f>"080065811894"</f>
        <v>080065811894</v>
      </c>
      <c r="F903" s="3">
        <v>45814</v>
      </c>
      <c r="G903">
        <v>202603</v>
      </c>
      <c r="H903" t="s">
        <v>75</v>
      </c>
      <c r="I903" t="s">
        <v>76</v>
      </c>
      <c r="J903" t="s">
        <v>77</v>
      </c>
      <c r="K903" t="s">
        <v>78</v>
      </c>
      <c r="L903" t="s">
        <v>130</v>
      </c>
      <c r="M903" t="s">
        <v>131</v>
      </c>
      <c r="N903" t="s">
        <v>729</v>
      </c>
      <c r="O903" t="s">
        <v>82</v>
      </c>
      <c r="P903" t="str">
        <f>"4170041680                    "</f>
        <v xml:space="preserve">4170041680                    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18.28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1</v>
      </c>
      <c r="BI903">
        <v>9</v>
      </c>
      <c r="BJ903">
        <v>3.4</v>
      </c>
      <c r="BK903">
        <v>9</v>
      </c>
      <c r="BL903">
        <v>60.79</v>
      </c>
      <c r="BM903">
        <v>9.1199999999999992</v>
      </c>
      <c r="BN903">
        <v>69.91</v>
      </c>
      <c r="BO903">
        <v>69.91</v>
      </c>
      <c r="BQ903" t="s">
        <v>730</v>
      </c>
      <c r="BR903" t="s">
        <v>84</v>
      </c>
      <c r="BS903" s="3">
        <v>45817</v>
      </c>
      <c r="BT903" s="4">
        <v>0.37847222222222221</v>
      </c>
      <c r="BU903" t="s">
        <v>1458</v>
      </c>
      <c r="BV903" t="s">
        <v>86</v>
      </c>
      <c r="BY903">
        <v>16965</v>
      </c>
      <c r="BZ903" t="s">
        <v>87</v>
      </c>
      <c r="CA903" t="s">
        <v>732</v>
      </c>
      <c r="CC903" t="s">
        <v>131</v>
      </c>
      <c r="CD903">
        <v>1459</v>
      </c>
      <c r="CE903" t="s">
        <v>687</v>
      </c>
      <c r="CF903" s="3">
        <v>45818</v>
      </c>
      <c r="CI903">
        <v>1</v>
      </c>
      <c r="CJ903">
        <v>1</v>
      </c>
      <c r="CK903">
        <v>22</v>
      </c>
      <c r="CL903" t="s">
        <v>90</v>
      </c>
    </row>
    <row r="904" spans="1:90" x14ac:dyDescent="0.3">
      <c r="A904" t="s">
        <v>72</v>
      </c>
      <c r="B904" t="s">
        <v>73</v>
      </c>
      <c r="C904" t="s">
        <v>74</v>
      </c>
      <c r="E904" t="str">
        <f>"080065811915"</f>
        <v>080065811915</v>
      </c>
      <c r="F904" s="3">
        <v>45814</v>
      </c>
      <c r="G904">
        <v>202603</v>
      </c>
      <c r="H904" t="s">
        <v>75</v>
      </c>
      <c r="I904" t="s">
        <v>76</v>
      </c>
      <c r="J904" t="s">
        <v>77</v>
      </c>
      <c r="K904" t="s">
        <v>78</v>
      </c>
      <c r="L904" t="s">
        <v>75</v>
      </c>
      <c r="M904" t="s">
        <v>76</v>
      </c>
      <c r="N904" t="s">
        <v>692</v>
      </c>
      <c r="O904" t="s">
        <v>82</v>
      </c>
      <c r="P904" t="str">
        <f>"4170042610                    "</f>
        <v xml:space="preserve">4170042610                    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16.32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1</v>
      </c>
      <c r="BI904">
        <v>1</v>
      </c>
      <c r="BJ904">
        <v>0.2</v>
      </c>
      <c r="BK904">
        <v>1</v>
      </c>
      <c r="BL904">
        <v>54.28</v>
      </c>
      <c r="BM904">
        <v>8.14</v>
      </c>
      <c r="BN904">
        <v>62.42</v>
      </c>
      <c r="BO904">
        <v>62.42</v>
      </c>
      <c r="BQ904" t="s">
        <v>693</v>
      </c>
      <c r="BR904" t="s">
        <v>84</v>
      </c>
      <c r="BS904" s="3">
        <v>45817</v>
      </c>
      <c r="BT904" s="4">
        <v>0.34722222222222221</v>
      </c>
      <c r="BU904" t="s">
        <v>1652</v>
      </c>
      <c r="BV904" t="s">
        <v>86</v>
      </c>
      <c r="BY904">
        <v>1200</v>
      </c>
      <c r="BZ904" t="s">
        <v>87</v>
      </c>
      <c r="CA904" t="s">
        <v>193</v>
      </c>
      <c r="CC904" t="s">
        <v>76</v>
      </c>
      <c r="CD904">
        <v>1601</v>
      </c>
      <c r="CE904" t="s">
        <v>215</v>
      </c>
      <c r="CF904" s="3">
        <v>45817</v>
      </c>
      <c r="CI904">
        <v>1</v>
      </c>
      <c r="CJ904">
        <v>1</v>
      </c>
      <c r="CK904">
        <v>22</v>
      </c>
      <c r="CL904" t="s">
        <v>90</v>
      </c>
    </row>
    <row r="905" spans="1:90" x14ac:dyDescent="0.3">
      <c r="A905" t="s">
        <v>72</v>
      </c>
      <c r="B905" t="s">
        <v>73</v>
      </c>
      <c r="C905" t="s">
        <v>74</v>
      </c>
      <c r="E905" t="str">
        <f>"080065811934"</f>
        <v>080065811934</v>
      </c>
      <c r="F905" s="3">
        <v>45814</v>
      </c>
      <c r="G905">
        <v>202603</v>
      </c>
      <c r="H905" t="s">
        <v>75</v>
      </c>
      <c r="I905" t="s">
        <v>76</v>
      </c>
      <c r="J905" t="s">
        <v>77</v>
      </c>
      <c r="K905" t="s">
        <v>78</v>
      </c>
      <c r="L905" t="s">
        <v>174</v>
      </c>
      <c r="M905" t="s">
        <v>175</v>
      </c>
      <c r="N905" t="s">
        <v>680</v>
      </c>
      <c r="O905" t="s">
        <v>82</v>
      </c>
      <c r="P905" t="str">
        <f>"4170042575                    "</f>
        <v xml:space="preserve">4170042575                    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20.9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1</v>
      </c>
      <c r="BI905">
        <v>1</v>
      </c>
      <c r="BJ905">
        <v>0.2</v>
      </c>
      <c r="BK905">
        <v>1</v>
      </c>
      <c r="BL905">
        <v>69.5</v>
      </c>
      <c r="BM905">
        <v>10.43</v>
      </c>
      <c r="BN905">
        <v>79.930000000000007</v>
      </c>
      <c r="BO905">
        <v>79.930000000000007</v>
      </c>
      <c r="BQ905" t="s">
        <v>681</v>
      </c>
      <c r="BR905" t="s">
        <v>84</v>
      </c>
      <c r="BS905" s="3">
        <v>45817</v>
      </c>
      <c r="BT905" s="4">
        <v>0.47499999999999998</v>
      </c>
      <c r="BU905" t="s">
        <v>1653</v>
      </c>
      <c r="BV905" t="s">
        <v>86</v>
      </c>
      <c r="BY905">
        <v>1200</v>
      </c>
      <c r="BZ905" t="s">
        <v>87</v>
      </c>
      <c r="CA905" t="s">
        <v>1654</v>
      </c>
      <c r="CC905" t="s">
        <v>175</v>
      </c>
      <c r="CD905">
        <v>3610</v>
      </c>
      <c r="CE905" t="s">
        <v>215</v>
      </c>
      <c r="CF905" s="3">
        <v>45817</v>
      </c>
      <c r="CI905">
        <v>1</v>
      </c>
      <c r="CJ905">
        <v>1</v>
      </c>
      <c r="CK905">
        <v>21</v>
      </c>
      <c r="CL905" t="s">
        <v>90</v>
      </c>
    </row>
    <row r="906" spans="1:90" x14ac:dyDescent="0.3">
      <c r="A906" t="s">
        <v>72</v>
      </c>
      <c r="B906" t="s">
        <v>73</v>
      </c>
      <c r="C906" t="s">
        <v>74</v>
      </c>
      <c r="E906" t="str">
        <f>"080065811955"</f>
        <v>080065811955</v>
      </c>
      <c r="F906" s="3">
        <v>45814</v>
      </c>
      <c r="G906">
        <v>202603</v>
      </c>
      <c r="H906" t="s">
        <v>75</v>
      </c>
      <c r="I906" t="s">
        <v>76</v>
      </c>
      <c r="J906" t="s">
        <v>77</v>
      </c>
      <c r="K906" t="s">
        <v>78</v>
      </c>
      <c r="L906" t="s">
        <v>91</v>
      </c>
      <c r="M906" t="s">
        <v>92</v>
      </c>
      <c r="N906" t="s">
        <v>307</v>
      </c>
      <c r="O906" t="s">
        <v>82</v>
      </c>
      <c r="P906" t="str">
        <f>"4170042676                    "</f>
        <v xml:space="preserve">4170042676                    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20.9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1</v>
      </c>
      <c r="BI906">
        <v>1</v>
      </c>
      <c r="BJ906">
        <v>0.2</v>
      </c>
      <c r="BK906">
        <v>1</v>
      </c>
      <c r="BL906">
        <v>69.5</v>
      </c>
      <c r="BM906">
        <v>10.43</v>
      </c>
      <c r="BN906">
        <v>79.930000000000007</v>
      </c>
      <c r="BO906">
        <v>79.930000000000007</v>
      </c>
      <c r="BQ906" t="s">
        <v>308</v>
      </c>
      <c r="BR906" t="s">
        <v>84</v>
      </c>
      <c r="BS906" s="3">
        <v>45818</v>
      </c>
      <c r="BT906" s="4">
        <v>0.40347222222222223</v>
      </c>
      <c r="BU906" t="s">
        <v>1655</v>
      </c>
      <c r="BV906" t="s">
        <v>90</v>
      </c>
      <c r="BW906" t="s">
        <v>198</v>
      </c>
      <c r="BX906" t="s">
        <v>1365</v>
      </c>
      <c r="BY906">
        <v>1200</v>
      </c>
      <c r="CA906" t="s">
        <v>310</v>
      </c>
      <c r="CC906" t="s">
        <v>92</v>
      </c>
      <c r="CD906">
        <v>7480</v>
      </c>
      <c r="CE906" t="s">
        <v>1029</v>
      </c>
      <c r="CF906" s="3">
        <v>45819</v>
      </c>
      <c r="CI906">
        <v>1</v>
      </c>
      <c r="CJ906">
        <v>2</v>
      </c>
      <c r="CK906">
        <v>21</v>
      </c>
      <c r="CL906" t="s">
        <v>90</v>
      </c>
    </row>
    <row r="907" spans="1:90" x14ac:dyDescent="0.3">
      <c r="A907" t="s">
        <v>72</v>
      </c>
      <c r="B907" t="s">
        <v>73</v>
      </c>
      <c r="C907" t="s">
        <v>74</v>
      </c>
      <c r="E907" t="str">
        <f>"080065811961"</f>
        <v>080065811961</v>
      </c>
      <c r="F907" s="3">
        <v>45814</v>
      </c>
      <c r="G907">
        <v>202603</v>
      </c>
      <c r="H907" t="s">
        <v>75</v>
      </c>
      <c r="I907" t="s">
        <v>76</v>
      </c>
      <c r="J907" t="s">
        <v>77</v>
      </c>
      <c r="K907" t="s">
        <v>78</v>
      </c>
      <c r="L907" t="s">
        <v>159</v>
      </c>
      <c r="M907" t="s">
        <v>160</v>
      </c>
      <c r="N907" t="s">
        <v>1340</v>
      </c>
      <c r="O907" t="s">
        <v>82</v>
      </c>
      <c r="P907" t="str">
        <f>"4170042699                    "</f>
        <v xml:space="preserve">4170042699                    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16.32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1</v>
      </c>
      <c r="BI907">
        <v>3</v>
      </c>
      <c r="BJ907">
        <v>6.4</v>
      </c>
      <c r="BK907">
        <v>7</v>
      </c>
      <c r="BL907">
        <v>54.28</v>
      </c>
      <c r="BM907">
        <v>8.14</v>
      </c>
      <c r="BN907">
        <v>62.42</v>
      </c>
      <c r="BO907">
        <v>62.42</v>
      </c>
      <c r="BQ907" t="s">
        <v>1341</v>
      </c>
      <c r="BR907" t="s">
        <v>84</v>
      </c>
      <c r="BS907" s="3">
        <v>45817</v>
      </c>
      <c r="BT907" s="4">
        <v>0.3527777777777778</v>
      </c>
      <c r="BU907" t="s">
        <v>1656</v>
      </c>
      <c r="BV907" t="s">
        <v>86</v>
      </c>
      <c r="BY907">
        <v>31824</v>
      </c>
      <c r="BZ907" t="s">
        <v>87</v>
      </c>
      <c r="CA907" t="s">
        <v>1343</v>
      </c>
      <c r="CC907" t="s">
        <v>160</v>
      </c>
      <c r="CD907">
        <v>2191</v>
      </c>
      <c r="CE907" t="s">
        <v>166</v>
      </c>
      <c r="CF907" s="3">
        <v>45817</v>
      </c>
      <c r="CI907">
        <v>1</v>
      </c>
      <c r="CJ907">
        <v>1</v>
      </c>
      <c r="CK907">
        <v>22</v>
      </c>
      <c r="CL907" t="s">
        <v>90</v>
      </c>
    </row>
    <row r="908" spans="1:90" x14ac:dyDescent="0.3">
      <c r="A908" t="s">
        <v>72</v>
      </c>
      <c r="B908" t="s">
        <v>73</v>
      </c>
      <c r="C908" t="s">
        <v>74</v>
      </c>
      <c r="E908" t="str">
        <f>"080065811990"</f>
        <v>080065811990</v>
      </c>
      <c r="F908" s="3">
        <v>45814</v>
      </c>
      <c r="G908">
        <v>202603</v>
      </c>
      <c r="H908" t="s">
        <v>75</v>
      </c>
      <c r="I908" t="s">
        <v>76</v>
      </c>
      <c r="J908" t="s">
        <v>77</v>
      </c>
      <c r="K908" t="s">
        <v>78</v>
      </c>
      <c r="L908" t="s">
        <v>75</v>
      </c>
      <c r="M908" t="s">
        <v>76</v>
      </c>
      <c r="N908" t="s">
        <v>1023</v>
      </c>
      <c r="O908" t="s">
        <v>82</v>
      </c>
      <c r="P908" t="str">
        <f>"4170042806                    "</f>
        <v xml:space="preserve">4170042806                    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16.32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1</v>
      </c>
      <c r="BI908">
        <v>1</v>
      </c>
      <c r="BJ908">
        <v>1.7</v>
      </c>
      <c r="BK908">
        <v>2</v>
      </c>
      <c r="BL908">
        <v>54.28</v>
      </c>
      <c r="BM908">
        <v>8.14</v>
      </c>
      <c r="BN908">
        <v>62.42</v>
      </c>
      <c r="BO908">
        <v>62.42</v>
      </c>
      <c r="BQ908" t="s">
        <v>1024</v>
      </c>
      <c r="BR908" t="s">
        <v>84</v>
      </c>
      <c r="BS908" s="3">
        <v>45817</v>
      </c>
      <c r="BT908" s="4">
        <v>0.3125</v>
      </c>
      <c r="BU908" t="s">
        <v>1657</v>
      </c>
      <c r="BV908" t="s">
        <v>86</v>
      </c>
      <c r="BY908">
        <v>8512</v>
      </c>
      <c r="CA908" t="s">
        <v>115</v>
      </c>
      <c r="CC908" t="s">
        <v>76</v>
      </c>
      <c r="CD908">
        <v>1619</v>
      </c>
      <c r="CE908" t="s">
        <v>687</v>
      </c>
      <c r="CF908" s="3">
        <v>45818</v>
      </c>
      <c r="CI908">
        <v>1</v>
      </c>
      <c r="CJ908">
        <v>1</v>
      </c>
      <c r="CK908">
        <v>22</v>
      </c>
      <c r="CL908" t="s">
        <v>90</v>
      </c>
    </row>
    <row r="909" spans="1:90" x14ac:dyDescent="0.3">
      <c r="A909" t="s">
        <v>72</v>
      </c>
      <c r="B909" t="s">
        <v>73</v>
      </c>
      <c r="C909" t="s">
        <v>74</v>
      </c>
      <c r="E909" t="str">
        <f>"080065812014"</f>
        <v>080065812014</v>
      </c>
      <c r="F909" s="3">
        <v>45814</v>
      </c>
      <c r="G909">
        <v>202603</v>
      </c>
      <c r="H909" t="s">
        <v>75</v>
      </c>
      <c r="I909" t="s">
        <v>76</v>
      </c>
      <c r="J909" t="s">
        <v>77</v>
      </c>
      <c r="K909" t="s">
        <v>78</v>
      </c>
      <c r="L909" t="s">
        <v>154</v>
      </c>
      <c r="M909" t="s">
        <v>154</v>
      </c>
      <c r="N909" t="s">
        <v>530</v>
      </c>
      <c r="O909" t="s">
        <v>82</v>
      </c>
      <c r="P909" t="str">
        <f>"4170042684                    "</f>
        <v xml:space="preserve">4170042684                    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223.32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1</v>
      </c>
      <c r="BI909">
        <v>6</v>
      </c>
      <c r="BJ909">
        <v>12</v>
      </c>
      <c r="BK909">
        <v>12</v>
      </c>
      <c r="BL909">
        <v>742.68</v>
      </c>
      <c r="BM909">
        <v>111.4</v>
      </c>
      <c r="BN909">
        <v>854.08</v>
      </c>
      <c r="BO909">
        <v>854.08</v>
      </c>
      <c r="BQ909" t="s">
        <v>531</v>
      </c>
      <c r="BR909" t="s">
        <v>84</v>
      </c>
      <c r="BS909" s="3">
        <v>45817</v>
      </c>
      <c r="BT909" s="4">
        <v>0.49305555555555558</v>
      </c>
      <c r="BU909" t="s">
        <v>157</v>
      </c>
      <c r="BV909" t="s">
        <v>86</v>
      </c>
      <c r="BY909">
        <v>60000</v>
      </c>
      <c r="CA909" t="s">
        <v>158</v>
      </c>
      <c r="CC909" t="s">
        <v>154</v>
      </c>
      <c r="CD909">
        <v>7646</v>
      </c>
      <c r="CE909" t="s">
        <v>166</v>
      </c>
      <c r="CF909" s="3">
        <v>45818</v>
      </c>
      <c r="CI909">
        <v>1</v>
      </c>
      <c r="CJ909">
        <v>1</v>
      </c>
      <c r="CK909">
        <v>23</v>
      </c>
      <c r="CL909" t="s">
        <v>90</v>
      </c>
    </row>
    <row r="910" spans="1:90" x14ac:dyDescent="0.3">
      <c r="A910" t="s">
        <v>72</v>
      </c>
      <c r="B910" t="s">
        <v>73</v>
      </c>
      <c r="C910" t="s">
        <v>74</v>
      </c>
      <c r="E910" t="str">
        <f>"080065812048"</f>
        <v>080065812048</v>
      </c>
      <c r="F910" s="3">
        <v>45814</v>
      </c>
      <c r="G910">
        <v>202603</v>
      </c>
      <c r="H910" t="s">
        <v>75</v>
      </c>
      <c r="I910" t="s">
        <v>76</v>
      </c>
      <c r="J910" t="s">
        <v>77</v>
      </c>
      <c r="K910" t="s">
        <v>78</v>
      </c>
      <c r="L910" t="s">
        <v>701</v>
      </c>
      <c r="M910" t="s">
        <v>702</v>
      </c>
      <c r="N910" t="s">
        <v>860</v>
      </c>
      <c r="O910" t="s">
        <v>82</v>
      </c>
      <c r="P910" t="str">
        <f>"4170042569                    "</f>
        <v xml:space="preserve">4170042569                    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40.49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1</v>
      </c>
      <c r="BI910">
        <v>1</v>
      </c>
      <c r="BJ910">
        <v>0.6</v>
      </c>
      <c r="BK910">
        <v>1</v>
      </c>
      <c r="BL910">
        <v>134.65</v>
      </c>
      <c r="BM910">
        <v>20.2</v>
      </c>
      <c r="BN910">
        <v>154.85</v>
      </c>
      <c r="BO910">
        <v>154.85</v>
      </c>
      <c r="BQ910" t="s">
        <v>861</v>
      </c>
      <c r="BR910" t="s">
        <v>84</v>
      </c>
      <c r="BS910" s="3">
        <v>45817</v>
      </c>
      <c r="BT910" s="4">
        <v>0.42986111111111114</v>
      </c>
      <c r="BU910" t="s">
        <v>1588</v>
      </c>
      <c r="BV910" t="s">
        <v>86</v>
      </c>
      <c r="BY910">
        <v>3192</v>
      </c>
      <c r="BZ910" t="s">
        <v>87</v>
      </c>
      <c r="CC910" t="s">
        <v>702</v>
      </c>
      <c r="CD910">
        <v>2302</v>
      </c>
      <c r="CE910" t="s">
        <v>99</v>
      </c>
      <c r="CF910" s="3">
        <v>45818</v>
      </c>
      <c r="CI910">
        <v>1</v>
      </c>
      <c r="CJ910">
        <v>1</v>
      </c>
      <c r="CK910">
        <v>23</v>
      </c>
      <c r="CL910" t="s">
        <v>90</v>
      </c>
    </row>
    <row r="911" spans="1:90" x14ac:dyDescent="0.3">
      <c r="A911" t="s">
        <v>72</v>
      </c>
      <c r="B911" t="s">
        <v>73</v>
      </c>
      <c r="C911" t="s">
        <v>74</v>
      </c>
      <c r="E911" t="str">
        <f>"080065812075"</f>
        <v>080065812075</v>
      </c>
      <c r="F911" s="3">
        <v>45814</v>
      </c>
      <c r="G911">
        <v>202603</v>
      </c>
      <c r="H911" t="s">
        <v>75</v>
      </c>
      <c r="I911" t="s">
        <v>76</v>
      </c>
      <c r="J911" t="s">
        <v>77</v>
      </c>
      <c r="K911" t="s">
        <v>78</v>
      </c>
      <c r="L911" t="s">
        <v>91</v>
      </c>
      <c r="M911" t="s">
        <v>92</v>
      </c>
      <c r="N911" t="s">
        <v>1162</v>
      </c>
      <c r="O911" t="s">
        <v>82</v>
      </c>
      <c r="P911" t="str">
        <f>"4170042574                    "</f>
        <v xml:space="preserve">4170042574                    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20.9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1</v>
      </c>
      <c r="BI911">
        <v>2</v>
      </c>
      <c r="BJ911">
        <v>1.7</v>
      </c>
      <c r="BK911">
        <v>2</v>
      </c>
      <c r="BL911">
        <v>69.5</v>
      </c>
      <c r="BM911">
        <v>10.43</v>
      </c>
      <c r="BN911">
        <v>79.930000000000007</v>
      </c>
      <c r="BO911">
        <v>79.930000000000007</v>
      </c>
      <c r="BQ911" t="s">
        <v>1163</v>
      </c>
      <c r="BR911" t="s">
        <v>84</v>
      </c>
      <c r="BS911" s="3">
        <v>45817</v>
      </c>
      <c r="BT911" s="4">
        <v>0.4152777777777778</v>
      </c>
      <c r="BU911" t="s">
        <v>1658</v>
      </c>
      <c r="BV911" t="s">
        <v>86</v>
      </c>
      <c r="BY911">
        <v>8512</v>
      </c>
      <c r="BZ911" t="s">
        <v>87</v>
      </c>
      <c r="CA911" t="s">
        <v>1659</v>
      </c>
      <c r="CC911" t="s">
        <v>92</v>
      </c>
      <c r="CD911">
        <v>7925</v>
      </c>
      <c r="CE911" t="s">
        <v>99</v>
      </c>
      <c r="CF911" s="3">
        <v>45818</v>
      </c>
      <c r="CI911">
        <v>1</v>
      </c>
      <c r="CJ911">
        <v>1</v>
      </c>
      <c r="CK911">
        <v>21</v>
      </c>
      <c r="CL911" t="s">
        <v>90</v>
      </c>
    </row>
    <row r="912" spans="1:90" x14ac:dyDescent="0.3">
      <c r="A912" t="s">
        <v>72</v>
      </c>
      <c r="B912" t="s">
        <v>73</v>
      </c>
      <c r="C912" t="s">
        <v>74</v>
      </c>
      <c r="E912" t="str">
        <f>"080065839095"</f>
        <v>080065839095</v>
      </c>
      <c r="F912" s="3">
        <v>45817</v>
      </c>
      <c r="G912">
        <v>202603</v>
      </c>
      <c r="H912" t="s">
        <v>75</v>
      </c>
      <c r="I912" t="s">
        <v>76</v>
      </c>
      <c r="J912" t="s">
        <v>77</v>
      </c>
      <c r="K912" t="s">
        <v>78</v>
      </c>
      <c r="L912" t="s">
        <v>224</v>
      </c>
      <c r="M912" t="s">
        <v>225</v>
      </c>
      <c r="N912" t="s">
        <v>1442</v>
      </c>
      <c r="O912" t="s">
        <v>82</v>
      </c>
      <c r="P912" t="str">
        <f>"4170042811                    "</f>
        <v xml:space="preserve">4170042811                    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40.49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1</v>
      </c>
      <c r="BI912">
        <v>1</v>
      </c>
      <c r="BJ912">
        <v>0.2</v>
      </c>
      <c r="BK912">
        <v>1</v>
      </c>
      <c r="BL912">
        <v>134.65</v>
      </c>
      <c r="BM912">
        <v>20.2</v>
      </c>
      <c r="BN912">
        <v>154.85</v>
      </c>
      <c r="BO912">
        <v>154.85</v>
      </c>
      <c r="BQ912" t="s">
        <v>1443</v>
      </c>
      <c r="BR912" t="s">
        <v>84</v>
      </c>
      <c r="BS912" s="3">
        <v>45818</v>
      </c>
      <c r="BT912" s="4">
        <v>0.37847222222222221</v>
      </c>
      <c r="BU912" t="s">
        <v>1660</v>
      </c>
      <c r="BV912" t="s">
        <v>86</v>
      </c>
      <c r="BY912">
        <v>1200</v>
      </c>
      <c r="CA912" t="s">
        <v>229</v>
      </c>
      <c r="CC912" t="s">
        <v>225</v>
      </c>
      <c r="CD912">
        <v>6300</v>
      </c>
      <c r="CE912" t="s">
        <v>1029</v>
      </c>
      <c r="CF912" s="3">
        <v>45818</v>
      </c>
      <c r="CI912">
        <v>2</v>
      </c>
      <c r="CJ912">
        <v>1</v>
      </c>
      <c r="CK912">
        <v>23</v>
      </c>
      <c r="CL912" t="s">
        <v>90</v>
      </c>
    </row>
    <row r="913" spans="1:90" x14ac:dyDescent="0.3">
      <c r="A913" t="s">
        <v>72</v>
      </c>
      <c r="B913" t="s">
        <v>73</v>
      </c>
      <c r="C913" t="s">
        <v>74</v>
      </c>
      <c r="E913" t="str">
        <f>"080065835330"</f>
        <v>080065835330</v>
      </c>
      <c r="F913" s="3">
        <v>45817</v>
      </c>
      <c r="G913">
        <v>202603</v>
      </c>
      <c r="H913" t="s">
        <v>75</v>
      </c>
      <c r="I913" t="s">
        <v>76</v>
      </c>
      <c r="J913" t="s">
        <v>77</v>
      </c>
      <c r="K913" t="s">
        <v>78</v>
      </c>
      <c r="L913" t="s">
        <v>331</v>
      </c>
      <c r="M913" t="s">
        <v>332</v>
      </c>
      <c r="N913" t="s">
        <v>1661</v>
      </c>
      <c r="O913" t="s">
        <v>82</v>
      </c>
      <c r="P913" t="str">
        <f>"4170042767                    "</f>
        <v xml:space="preserve">4170042767                    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20.9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1</v>
      </c>
      <c r="BI913">
        <v>1</v>
      </c>
      <c r="BJ913">
        <v>0.2</v>
      </c>
      <c r="BK913">
        <v>1</v>
      </c>
      <c r="BL913">
        <v>69.5</v>
      </c>
      <c r="BM913">
        <v>10.43</v>
      </c>
      <c r="BN913">
        <v>79.930000000000007</v>
      </c>
      <c r="BO913">
        <v>79.930000000000007</v>
      </c>
      <c r="BQ913" t="s">
        <v>1662</v>
      </c>
      <c r="BR913" t="s">
        <v>84</v>
      </c>
      <c r="BS913" s="3">
        <v>45818</v>
      </c>
      <c r="BT913" s="4">
        <v>0.3659722222222222</v>
      </c>
      <c r="BU913" t="s">
        <v>1663</v>
      </c>
      <c r="BV913" t="s">
        <v>86</v>
      </c>
      <c r="BY913">
        <v>1200</v>
      </c>
      <c r="CA913" t="s">
        <v>483</v>
      </c>
      <c r="CC913" t="s">
        <v>332</v>
      </c>
      <c r="CD913">
        <v>4001</v>
      </c>
      <c r="CE913" t="s">
        <v>215</v>
      </c>
      <c r="CF913" s="3">
        <v>45818</v>
      </c>
      <c r="CI913">
        <v>1</v>
      </c>
      <c r="CJ913">
        <v>1</v>
      </c>
      <c r="CK913">
        <v>21</v>
      </c>
      <c r="CL913" t="s">
        <v>90</v>
      </c>
    </row>
    <row r="914" spans="1:90" x14ac:dyDescent="0.3">
      <c r="A914" t="s">
        <v>72</v>
      </c>
      <c r="B914" t="s">
        <v>73</v>
      </c>
      <c r="C914" t="s">
        <v>74</v>
      </c>
      <c r="E914" t="str">
        <f>"080065835374"</f>
        <v>080065835374</v>
      </c>
      <c r="F914" s="3">
        <v>45817</v>
      </c>
      <c r="G914">
        <v>202603</v>
      </c>
      <c r="H914" t="s">
        <v>75</v>
      </c>
      <c r="I914" t="s">
        <v>76</v>
      </c>
      <c r="J914" t="s">
        <v>77</v>
      </c>
      <c r="K914" t="s">
        <v>78</v>
      </c>
      <c r="L914" t="s">
        <v>100</v>
      </c>
      <c r="M914" t="s">
        <v>101</v>
      </c>
      <c r="N914" t="s">
        <v>564</v>
      </c>
      <c r="O914" t="s">
        <v>82</v>
      </c>
      <c r="P914" t="str">
        <f>"4170042548                    "</f>
        <v xml:space="preserve">4170042548                    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20.9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1</v>
      </c>
      <c r="BI914">
        <v>1</v>
      </c>
      <c r="BJ914">
        <v>0.2</v>
      </c>
      <c r="BK914">
        <v>1</v>
      </c>
      <c r="BL914">
        <v>69.5</v>
      </c>
      <c r="BM914">
        <v>10.43</v>
      </c>
      <c r="BN914">
        <v>79.930000000000007</v>
      </c>
      <c r="BO914">
        <v>79.930000000000007</v>
      </c>
      <c r="BQ914" t="s">
        <v>565</v>
      </c>
      <c r="BR914" t="s">
        <v>84</v>
      </c>
      <c r="BS914" s="3">
        <v>45818</v>
      </c>
      <c r="BT914" s="4">
        <v>0.37222222222222223</v>
      </c>
      <c r="BU914" t="s">
        <v>1664</v>
      </c>
      <c r="BV914" t="s">
        <v>86</v>
      </c>
      <c r="BY914">
        <v>1200</v>
      </c>
      <c r="CA914" t="s">
        <v>223</v>
      </c>
      <c r="CC914" t="s">
        <v>101</v>
      </c>
      <c r="CD914">
        <v>6001</v>
      </c>
      <c r="CE914" t="s">
        <v>215</v>
      </c>
      <c r="CF914" s="3">
        <v>45818</v>
      </c>
      <c r="CI914">
        <v>1</v>
      </c>
      <c r="CJ914">
        <v>1</v>
      </c>
      <c r="CK914">
        <v>21</v>
      </c>
      <c r="CL914" t="s">
        <v>90</v>
      </c>
    </row>
    <row r="915" spans="1:90" x14ac:dyDescent="0.3">
      <c r="A915" t="s">
        <v>72</v>
      </c>
      <c r="B915" t="s">
        <v>73</v>
      </c>
      <c r="C915" t="s">
        <v>74</v>
      </c>
      <c r="E915" t="str">
        <f>"080065835443"</f>
        <v>080065835443</v>
      </c>
      <c r="F915" s="3">
        <v>45817</v>
      </c>
      <c r="G915">
        <v>202603</v>
      </c>
      <c r="H915" t="s">
        <v>75</v>
      </c>
      <c r="I915" t="s">
        <v>76</v>
      </c>
      <c r="J915" t="s">
        <v>77</v>
      </c>
      <c r="K915" t="s">
        <v>78</v>
      </c>
      <c r="L915" t="s">
        <v>100</v>
      </c>
      <c r="M915" t="s">
        <v>101</v>
      </c>
      <c r="N915" t="s">
        <v>123</v>
      </c>
      <c r="O915" t="s">
        <v>82</v>
      </c>
      <c r="P915" t="str">
        <f>"4170042816                    "</f>
        <v xml:space="preserve">4170042816                    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20.9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0</v>
      </c>
      <c r="BF915">
        <v>0</v>
      </c>
      <c r="BG915">
        <v>0</v>
      </c>
      <c r="BH915">
        <v>1</v>
      </c>
      <c r="BI915">
        <v>1</v>
      </c>
      <c r="BJ915">
        <v>0.2</v>
      </c>
      <c r="BK915">
        <v>1</v>
      </c>
      <c r="BL915">
        <v>69.5</v>
      </c>
      <c r="BM915">
        <v>10.43</v>
      </c>
      <c r="BN915">
        <v>79.930000000000007</v>
      </c>
      <c r="BO915">
        <v>79.930000000000007</v>
      </c>
      <c r="BQ915" t="s">
        <v>124</v>
      </c>
      <c r="BR915" t="s">
        <v>84</v>
      </c>
      <c r="BS915" s="3">
        <v>45818</v>
      </c>
      <c r="BT915" s="4">
        <v>0.39861111111111114</v>
      </c>
      <c r="BU915" t="s">
        <v>1015</v>
      </c>
      <c r="BV915" t="s">
        <v>86</v>
      </c>
      <c r="BY915">
        <v>1200</v>
      </c>
      <c r="CA915" t="s">
        <v>235</v>
      </c>
      <c r="CC915" t="s">
        <v>101</v>
      </c>
      <c r="CD915">
        <v>6001</v>
      </c>
      <c r="CE915" t="s">
        <v>215</v>
      </c>
      <c r="CF915" s="3">
        <v>45818</v>
      </c>
      <c r="CI915">
        <v>1</v>
      </c>
      <c r="CJ915">
        <v>1</v>
      </c>
      <c r="CK915">
        <v>21</v>
      </c>
      <c r="CL915" t="s">
        <v>90</v>
      </c>
    </row>
    <row r="916" spans="1:90" x14ac:dyDescent="0.3">
      <c r="A916" t="s">
        <v>72</v>
      </c>
      <c r="B916" t="s">
        <v>73</v>
      </c>
      <c r="C916" t="s">
        <v>74</v>
      </c>
      <c r="E916" t="str">
        <f>"080065835475"</f>
        <v>080065835475</v>
      </c>
      <c r="F916" s="3">
        <v>45817</v>
      </c>
      <c r="G916">
        <v>202603</v>
      </c>
      <c r="H916" t="s">
        <v>75</v>
      </c>
      <c r="I916" t="s">
        <v>76</v>
      </c>
      <c r="J916" t="s">
        <v>77</v>
      </c>
      <c r="K916" t="s">
        <v>78</v>
      </c>
      <c r="L916" t="s">
        <v>266</v>
      </c>
      <c r="M916" t="s">
        <v>267</v>
      </c>
      <c r="N916" t="s">
        <v>268</v>
      </c>
      <c r="O916" t="s">
        <v>82</v>
      </c>
      <c r="P916" t="str">
        <f>"4170042624                    "</f>
        <v xml:space="preserve">4170042624                    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20.9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1</v>
      </c>
      <c r="BI916">
        <v>1</v>
      </c>
      <c r="BJ916">
        <v>1.3</v>
      </c>
      <c r="BK916">
        <v>1.5</v>
      </c>
      <c r="BL916">
        <v>69.5</v>
      </c>
      <c r="BM916">
        <v>10.43</v>
      </c>
      <c r="BN916">
        <v>79.930000000000007</v>
      </c>
      <c r="BO916">
        <v>79.930000000000007</v>
      </c>
      <c r="BQ916" t="s">
        <v>269</v>
      </c>
      <c r="BR916" t="s">
        <v>84</v>
      </c>
      <c r="BS916" s="3">
        <v>45818</v>
      </c>
      <c r="BT916" s="4">
        <v>0.35694444444444445</v>
      </c>
      <c r="BU916" t="s">
        <v>1555</v>
      </c>
      <c r="BV916" t="s">
        <v>86</v>
      </c>
      <c r="BY916">
        <v>6384</v>
      </c>
      <c r="CA916" t="s">
        <v>271</v>
      </c>
      <c r="CC916" t="s">
        <v>267</v>
      </c>
      <c r="CD916">
        <v>6229</v>
      </c>
      <c r="CE916" t="s">
        <v>292</v>
      </c>
      <c r="CF916" s="3">
        <v>45818</v>
      </c>
      <c r="CI916">
        <v>1</v>
      </c>
      <c r="CJ916">
        <v>1</v>
      </c>
      <c r="CK916">
        <v>21</v>
      </c>
      <c r="CL916" t="s">
        <v>90</v>
      </c>
    </row>
    <row r="917" spans="1:90" x14ac:dyDescent="0.3">
      <c r="A917" t="s">
        <v>72</v>
      </c>
      <c r="B917" t="s">
        <v>73</v>
      </c>
      <c r="C917" t="s">
        <v>74</v>
      </c>
      <c r="E917" t="str">
        <f>"080065835543"</f>
        <v>080065835543</v>
      </c>
      <c r="F917" s="3">
        <v>45817</v>
      </c>
      <c r="G917">
        <v>202603</v>
      </c>
      <c r="H917" t="s">
        <v>75</v>
      </c>
      <c r="I917" t="s">
        <v>76</v>
      </c>
      <c r="J917" t="s">
        <v>77</v>
      </c>
      <c r="K917" t="s">
        <v>78</v>
      </c>
      <c r="L917" t="s">
        <v>75</v>
      </c>
      <c r="M917" t="s">
        <v>76</v>
      </c>
      <c r="N917" t="s">
        <v>1206</v>
      </c>
      <c r="O917" t="s">
        <v>82</v>
      </c>
      <c r="P917" t="str">
        <f>"4170042596                    "</f>
        <v xml:space="preserve">4170042596                    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16.32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1</v>
      </c>
      <c r="BI917">
        <v>2</v>
      </c>
      <c r="BJ917">
        <v>3.1</v>
      </c>
      <c r="BK917">
        <v>4</v>
      </c>
      <c r="BL917">
        <v>54.28</v>
      </c>
      <c r="BM917">
        <v>8.14</v>
      </c>
      <c r="BN917">
        <v>62.42</v>
      </c>
      <c r="BO917">
        <v>62.42</v>
      </c>
      <c r="BQ917" t="s">
        <v>1207</v>
      </c>
      <c r="BR917" t="s">
        <v>84</v>
      </c>
      <c r="BS917" s="3">
        <v>45818</v>
      </c>
      <c r="BT917" s="4">
        <v>0.37777777777777777</v>
      </c>
      <c r="BU917" t="s">
        <v>249</v>
      </c>
      <c r="BV917" t="s">
        <v>86</v>
      </c>
      <c r="BY917">
        <v>15360</v>
      </c>
      <c r="CA917" t="s">
        <v>193</v>
      </c>
      <c r="CC917" t="s">
        <v>76</v>
      </c>
      <c r="CD917">
        <v>1601</v>
      </c>
      <c r="CE917" t="s">
        <v>687</v>
      </c>
      <c r="CF917" s="3">
        <v>45818</v>
      </c>
      <c r="CI917">
        <v>1</v>
      </c>
      <c r="CJ917">
        <v>1</v>
      </c>
      <c r="CK917">
        <v>22</v>
      </c>
      <c r="CL917" t="s">
        <v>90</v>
      </c>
    </row>
    <row r="918" spans="1:90" x14ac:dyDescent="0.3">
      <c r="A918" t="s">
        <v>72</v>
      </c>
      <c r="B918" t="s">
        <v>73</v>
      </c>
      <c r="C918" t="s">
        <v>74</v>
      </c>
      <c r="E918" t="str">
        <f>"080065835591"</f>
        <v>080065835591</v>
      </c>
      <c r="F918" s="3">
        <v>45817</v>
      </c>
      <c r="G918">
        <v>202603</v>
      </c>
      <c r="H918" t="s">
        <v>75</v>
      </c>
      <c r="I918" t="s">
        <v>76</v>
      </c>
      <c r="J918" t="s">
        <v>77</v>
      </c>
      <c r="K918" t="s">
        <v>78</v>
      </c>
      <c r="L918" t="s">
        <v>75</v>
      </c>
      <c r="M918" t="s">
        <v>76</v>
      </c>
      <c r="N918" t="s">
        <v>1103</v>
      </c>
      <c r="O918" t="s">
        <v>82</v>
      </c>
      <c r="P918" t="str">
        <f>"4170042571                    "</f>
        <v xml:space="preserve">4170042571                    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16.32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2</v>
      </c>
      <c r="BI918">
        <v>4</v>
      </c>
      <c r="BJ918">
        <v>4.8</v>
      </c>
      <c r="BK918">
        <v>5</v>
      </c>
      <c r="BL918">
        <v>54.28</v>
      </c>
      <c r="BM918">
        <v>8.14</v>
      </c>
      <c r="BN918">
        <v>62.42</v>
      </c>
      <c r="BO918">
        <v>62.42</v>
      </c>
      <c r="BQ918" t="s">
        <v>1104</v>
      </c>
      <c r="BR918" t="s">
        <v>84</v>
      </c>
      <c r="BS918" s="3">
        <v>45818</v>
      </c>
      <c r="BT918" s="4">
        <v>0.42569444444444443</v>
      </c>
      <c r="BU918" t="s">
        <v>1665</v>
      </c>
      <c r="BV918" t="s">
        <v>86</v>
      </c>
      <c r="BY918">
        <v>23820</v>
      </c>
      <c r="CA918" t="s">
        <v>193</v>
      </c>
      <c r="CC918" t="s">
        <v>76</v>
      </c>
      <c r="CD918">
        <v>1619</v>
      </c>
      <c r="CE918" t="s">
        <v>215</v>
      </c>
      <c r="CF918" s="3">
        <v>45818</v>
      </c>
      <c r="CI918">
        <v>1</v>
      </c>
      <c r="CJ918">
        <v>1</v>
      </c>
      <c r="CK918">
        <v>22</v>
      </c>
      <c r="CL918" t="s">
        <v>90</v>
      </c>
    </row>
    <row r="919" spans="1:90" x14ac:dyDescent="0.3">
      <c r="A919" t="s">
        <v>72</v>
      </c>
      <c r="B919" t="s">
        <v>73</v>
      </c>
      <c r="C919" t="s">
        <v>74</v>
      </c>
      <c r="E919" t="str">
        <f>"080065835896"</f>
        <v>080065835896</v>
      </c>
      <c r="F919" s="3">
        <v>45817</v>
      </c>
      <c r="G919">
        <v>202603</v>
      </c>
      <c r="H919" t="s">
        <v>75</v>
      </c>
      <c r="I919" t="s">
        <v>76</v>
      </c>
      <c r="J919" t="s">
        <v>77</v>
      </c>
      <c r="K919" t="s">
        <v>78</v>
      </c>
      <c r="L919" t="s">
        <v>75</v>
      </c>
      <c r="M919" t="s">
        <v>76</v>
      </c>
      <c r="N919" t="s">
        <v>275</v>
      </c>
      <c r="O919" t="s">
        <v>82</v>
      </c>
      <c r="P919" t="str">
        <f>"4170042583                    "</f>
        <v xml:space="preserve">4170042583                    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16.32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1</v>
      </c>
      <c r="BI919">
        <v>5</v>
      </c>
      <c r="BJ919">
        <v>3.4</v>
      </c>
      <c r="BK919">
        <v>5</v>
      </c>
      <c r="BL919">
        <v>54.28</v>
      </c>
      <c r="BM919">
        <v>8.14</v>
      </c>
      <c r="BN919">
        <v>62.42</v>
      </c>
      <c r="BO919">
        <v>62.42</v>
      </c>
      <c r="BQ919" t="s">
        <v>277</v>
      </c>
      <c r="BR919" t="s">
        <v>84</v>
      </c>
      <c r="BS919" s="3">
        <v>45818</v>
      </c>
      <c r="BT919" s="4">
        <v>0.40208333333333335</v>
      </c>
      <c r="BU919" t="s">
        <v>1666</v>
      </c>
      <c r="BV919" t="s">
        <v>86</v>
      </c>
      <c r="BY919">
        <v>16965</v>
      </c>
      <c r="CA919" t="s">
        <v>279</v>
      </c>
      <c r="CC919" t="s">
        <v>76</v>
      </c>
      <c r="CD919">
        <v>1614</v>
      </c>
      <c r="CE919" t="s">
        <v>687</v>
      </c>
      <c r="CF919" s="3">
        <v>45819</v>
      </c>
      <c r="CI919">
        <v>1</v>
      </c>
      <c r="CJ919">
        <v>1</v>
      </c>
      <c r="CK919">
        <v>22</v>
      </c>
      <c r="CL919" t="s">
        <v>90</v>
      </c>
    </row>
    <row r="920" spans="1:90" x14ac:dyDescent="0.3">
      <c r="A920" t="s">
        <v>72</v>
      </c>
      <c r="B920" t="s">
        <v>73</v>
      </c>
      <c r="C920" t="s">
        <v>74</v>
      </c>
      <c r="E920" t="str">
        <f>"080065835953"</f>
        <v>080065835953</v>
      </c>
      <c r="F920" s="3">
        <v>45817</v>
      </c>
      <c r="G920">
        <v>202603</v>
      </c>
      <c r="H920" t="s">
        <v>75</v>
      </c>
      <c r="I920" t="s">
        <v>76</v>
      </c>
      <c r="J920" t="s">
        <v>77</v>
      </c>
      <c r="K920" t="s">
        <v>78</v>
      </c>
      <c r="L920" t="s">
        <v>75</v>
      </c>
      <c r="M920" t="s">
        <v>76</v>
      </c>
      <c r="N920" t="s">
        <v>1667</v>
      </c>
      <c r="O920" t="s">
        <v>82</v>
      </c>
      <c r="P920" t="str">
        <f>"4170042814                    "</f>
        <v xml:space="preserve">4170042814                    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16.32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1</v>
      </c>
      <c r="BI920">
        <v>1</v>
      </c>
      <c r="BJ920">
        <v>0.2</v>
      </c>
      <c r="BK920">
        <v>1</v>
      </c>
      <c r="BL920">
        <v>54.28</v>
      </c>
      <c r="BM920">
        <v>8.14</v>
      </c>
      <c r="BN920">
        <v>62.42</v>
      </c>
      <c r="BO920">
        <v>62.42</v>
      </c>
      <c r="BQ920" t="s">
        <v>1668</v>
      </c>
      <c r="BR920" t="s">
        <v>84</v>
      </c>
      <c r="BS920" s="3">
        <v>45818</v>
      </c>
      <c r="BT920" s="4">
        <v>0.41319444444444442</v>
      </c>
      <c r="BU920" t="s">
        <v>1669</v>
      </c>
      <c r="BV920" t="s">
        <v>86</v>
      </c>
      <c r="BY920">
        <v>1200</v>
      </c>
      <c r="CA920" t="s">
        <v>1670</v>
      </c>
      <c r="CC920" t="s">
        <v>76</v>
      </c>
      <c r="CD920">
        <v>1685</v>
      </c>
      <c r="CE920" t="s">
        <v>215</v>
      </c>
      <c r="CF920" s="3">
        <v>45818</v>
      </c>
      <c r="CI920">
        <v>1</v>
      </c>
      <c r="CJ920">
        <v>1</v>
      </c>
      <c r="CK920">
        <v>22</v>
      </c>
      <c r="CL920" t="s">
        <v>90</v>
      </c>
    </row>
    <row r="921" spans="1:90" x14ac:dyDescent="0.3">
      <c r="A921" t="s">
        <v>72</v>
      </c>
      <c r="B921" t="s">
        <v>73</v>
      </c>
      <c r="C921" t="s">
        <v>74</v>
      </c>
      <c r="E921" t="str">
        <f>"080065835951"</f>
        <v>080065835951</v>
      </c>
      <c r="F921" s="3">
        <v>45817</v>
      </c>
      <c r="G921">
        <v>202603</v>
      </c>
      <c r="H921" t="s">
        <v>75</v>
      </c>
      <c r="I921" t="s">
        <v>76</v>
      </c>
      <c r="J921" t="s">
        <v>77</v>
      </c>
      <c r="K921" t="s">
        <v>78</v>
      </c>
      <c r="L921" t="s">
        <v>426</v>
      </c>
      <c r="M921" t="s">
        <v>427</v>
      </c>
      <c r="N921" t="s">
        <v>1671</v>
      </c>
      <c r="O921" t="s">
        <v>82</v>
      </c>
      <c r="P921" t="str">
        <f>"4170042565                    "</f>
        <v xml:space="preserve">4170042565                    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29.39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1</v>
      </c>
      <c r="BI921">
        <v>1</v>
      </c>
      <c r="BJ921">
        <v>0.6</v>
      </c>
      <c r="BK921">
        <v>1</v>
      </c>
      <c r="BL921">
        <v>97.74</v>
      </c>
      <c r="BM921">
        <v>14.66</v>
      </c>
      <c r="BN921">
        <v>112.4</v>
      </c>
      <c r="BO921">
        <v>112.4</v>
      </c>
      <c r="BQ921" t="s">
        <v>1672</v>
      </c>
      <c r="BR921" t="s">
        <v>84</v>
      </c>
      <c r="BS921" s="3">
        <v>45818</v>
      </c>
      <c r="BT921" s="4">
        <v>0.49305555555555558</v>
      </c>
      <c r="BU921" t="s">
        <v>1673</v>
      </c>
      <c r="BV921" t="s">
        <v>86</v>
      </c>
      <c r="BY921">
        <v>3192</v>
      </c>
      <c r="CA921" t="s">
        <v>432</v>
      </c>
      <c r="CC921" t="s">
        <v>427</v>
      </c>
      <c r="CD921">
        <v>1760</v>
      </c>
      <c r="CE921" t="s">
        <v>292</v>
      </c>
      <c r="CF921" s="3">
        <v>45819</v>
      </c>
      <c r="CI921">
        <v>1</v>
      </c>
      <c r="CJ921">
        <v>1</v>
      </c>
      <c r="CK921">
        <v>24</v>
      </c>
      <c r="CL921" t="s">
        <v>90</v>
      </c>
    </row>
    <row r="922" spans="1:90" x14ac:dyDescent="0.3">
      <c r="A922" t="s">
        <v>72</v>
      </c>
      <c r="B922" t="s">
        <v>73</v>
      </c>
      <c r="C922" t="s">
        <v>74</v>
      </c>
      <c r="E922" t="str">
        <f>"080065835985"</f>
        <v>080065835985</v>
      </c>
      <c r="F922" s="3">
        <v>45817</v>
      </c>
      <c r="G922">
        <v>202603</v>
      </c>
      <c r="H922" t="s">
        <v>75</v>
      </c>
      <c r="I922" t="s">
        <v>76</v>
      </c>
      <c r="J922" t="s">
        <v>77</v>
      </c>
      <c r="K922" t="s">
        <v>78</v>
      </c>
      <c r="L922" t="s">
        <v>116</v>
      </c>
      <c r="M922" t="s">
        <v>117</v>
      </c>
      <c r="N922" t="s">
        <v>1016</v>
      </c>
      <c r="O922" t="s">
        <v>82</v>
      </c>
      <c r="P922" t="str">
        <f>"4170042808                    "</f>
        <v xml:space="preserve">4170042808                    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20.9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1</v>
      </c>
      <c r="BI922">
        <v>1</v>
      </c>
      <c r="BJ922">
        <v>0.2</v>
      </c>
      <c r="BK922">
        <v>1</v>
      </c>
      <c r="BL922">
        <v>69.5</v>
      </c>
      <c r="BM922">
        <v>10.43</v>
      </c>
      <c r="BN922">
        <v>79.930000000000007</v>
      </c>
      <c r="BO922">
        <v>79.930000000000007</v>
      </c>
      <c r="BQ922" t="s">
        <v>1017</v>
      </c>
      <c r="BR922" t="s">
        <v>84</v>
      </c>
      <c r="BS922" s="3">
        <v>45818</v>
      </c>
      <c r="BT922" s="4">
        <v>0.41666666666666669</v>
      </c>
      <c r="BU922" t="s">
        <v>1674</v>
      </c>
      <c r="BV922" t="s">
        <v>86</v>
      </c>
      <c r="BY922">
        <v>1200</v>
      </c>
      <c r="CA922" t="s">
        <v>121</v>
      </c>
      <c r="CC922" t="s">
        <v>117</v>
      </c>
      <c r="CD922">
        <v>3201</v>
      </c>
      <c r="CE922" t="s">
        <v>215</v>
      </c>
      <c r="CF922" s="3">
        <v>45819</v>
      </c>
      <c r="CI922">
        <v>1</v>
      </c>
      <c r="CJ922">
        <v>1</v>
      </c>
      <c r="CK922">
        <v>21</v>
      </c>
      <c r="CL922" t="s">
        <v>90</v>
      </c>
    </row>
    <row r="923" spans="1:90" x14ac:dyDescent="0.3">
      <c r="A923" t="s">
        <v>72</v>
      </c>
      <c r="B923" t="s">
        <v>73</v>
      </c>
      <c r="C923" t="s">
        <v>74</v>
      </c>
      <c r="E923" t="str">
        <f>"080065836013"</f>
        <v>080065836013</v>
      </c>
      <c r="F923" s="3">
        <v>45817</v>
      </c>
      <c r="G923">
        <v>202603</v>
      </c>
      <c r="H923" t="s">
        <v>75</v>
      </c>
      <c r="I923" t="s">
        <v>76</v>
      </c>
      <c r="J923" t="s">
        <v>77</v>
      </c>
      <c r="K923" t="s">
        <v>78</v>
      </c>
      <c r="L923" t="s">
        <v>331</v>
      </c>
      <c r="M923" t="s">
        <v>332</v>
      </c>
      <c r="N923" t="s">
        <v>1661</v>
      </c>
      <c r="O923" t="s">
        <v>82</v>
      </c>
      <c r="P923" t="str">
        <f>"4170043011                    "</f>
        <v xml:space="preserve">4170043011                    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20.9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0</v>
      </c>
      <c r="BF923">
        <v>0</v>
      </c>
      <c r="BG923">
        <v>0</v>
      </c>
      <c r="BH923">
        <v>1</v>
      </c>
      <c r="BI923">
        <v>1</v>
      </c>
      <c r="BJ923">
        <v>0.6</v>
      </c>
      <c r="BK923">
        <v>1</v>
      </c>
      <c r="BL923">
        <v>69.5</v>
      </c>
      <c r="BM923">
        <v>10.43</v>
      </c>
      <c r="BN923">
        <v>79.930000000000007</v>
      </c>
      <c r="BO923">
        <v>79.930000000000007</v>
      </c>
      <c r="BQ923" t="s">
        <v>1662</v>
      </c>
      <c r="BR923" t="s">
        <v>84</v>
      </c>
      <c r="BS923" s="3">
        <v>45818</v>
      </c>
      <c r="BT923" s="4">
        <v>0.36180555555555555</v>
      </c>
      <c r="BU923" t="s">
        <v>1663</v>
      </c>
      <c r="BV923" t="s">
        <v>86</v>
      </c>
      <c r="BY923">
        <v>3192</v>
      </c>
      <c r="CA923" t="s">
        <v>483</v>
      </c>
      <c r="CC923" t="s">
        <v>332</v>
      </c>
      <c r="CD923">
        <v>4001</v>
      </c>
      <c r="CE923" t="s">
        <v>292</v>
      </c>
      <c r="CF923" s="3">
        <v>45818</v>
      </c>
      <c r="CI923">
        <v>1</v>
      </c>
      <c r="CJ923">
        <v>1</v>
      </c>
      <c r="CK923">
        <v>21</v>
      </c>
      <c r="CL923" t="s">
        <v>90</v>
      </c>
    </row>
    <row r="924" spans="1:90" x14ac:dyDescent="0.3">
      <c r="A924" t="s">
        <v>72</v>
      </c>
      <c r="B924" t="s">
        <v>73</v>
      </c>
      <c r="C924" t="s">
        <v>74</v>
      </c>
      <c r="E924" t="str">
        <f>"080065836015"</f>
        <v>080065836015</v>
      </c>
      <c r="F924" s="3">
        <v>45817</v>
      </c>
      <c r="G924">
        <v>202603</v>
      </c>
      <c r="H924" t="s">
        <v>75</v>
      </c>
      <c r="I924" t="s">
        <v>76</v>
      </c>
      <c r="J924" t="s">
        <v>77</v>
      </c>
      <c r="K924" t="s">
        <v>78</v>
      </c>
      <c r="L924" t="s">
        <v>413</v>
      </c>
      <c r="M924" t="s">
        <v>414</v>
      </c>
      <c r="N924" t="s">
        <v>236</v>
      </c>
      <c r="O924" t="s">
        <v>82</v>
      </c>
      <c r="P924" t="str">
        <f>"4170042810                    "</f>
        <v xml:space="preserve">4170042810                    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20.9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1</v>
      </c>
      <c r="BI924">
        <v>1</v>
      </c>
      <c r="BJ924">
        <v>0.2</v>
      </c>
      <c r="BK924">
        <v>1</v>
      </c>
      <c r="BL924">
        <v>69.5</v>
      </c>
      <c r="BM924">
        <v>10.43</v>
      </c>
      <c r="BN924">
        <v>79.930000000000007</v>
      </c>
      <c r="BO924">
        <v>79.930000000000007</v>
      </c>
      <c r="BQ924" t="s">
        <v>237</v>
      </c>
      <c r="BR924" t="s">
        <v>84</v>
      </c>
      <c r="BS924" s="3">
        <v>45818</v>
      </c>
      <c r="BT924" s="4">
        <v>0.47152777777777777</v>
      </c>
      <c r="BU924" t="s">
        <v>415</v>
      </c>
      <c r="BV924" t="s">
        <v>90</v>
      </c>
      <c r="BW924" t="s">
        <v>416</v>
      </c>
      <c r="BX924" t="s">
        <v>417</v>
      </c>
      <c r="BY924">
        <v>1200</v>
      </c>
      <c r="CA924" t="s">
        <v>418</v>
      </c>
      <c r="CC924" t="s">
        <v>414</v>
      </c>
      <c r="CD924">
        <v>4133</v>
      </c>
      <c r="CE924" t="s">
        <v>215</v>
      </c>
      <c r="CF924" s="3">
        <v>45819</v>
      </c>
      <c r="CI924">
        <v>1</v>
      </c>
      <c r="CJ924">
        <v>1</v>
      </c>
      <c r="CK924">
        <v>21</v>
      </c>
      <c r="CL924" t="s">
        <v>90</v>
      </c>
    </row>
    <row r="925" spans="1:90" x14ac:dyDescent="0.3">
      <c r="A925" t="s">
        <v>72</v>
      </c>
      <c r="B925" t="s">
        <v>73</v>
      </c>
      <c r="C925" t="s">
        <v>74</v>
      </c>
      <c r="E925" t="str">
        <f>"080065836052"</f>
        <v>080065836052</v>
      </c>
      <c r="F925" s="3">
        <v>45817</v>
      </c>
      <c r="G925">
        <v>202603</v>
      </c>
      <c r="H925" t="s">
        <v>75</v>
      </c>
      <c r="I925" t="s">
        <v>76</v>
      </c>
      <c r="J925" t="s">
        <v>77</v>
      </c>
      <c r="K925" t="s">
        <v>78</v>
      </c>
      <c r="L925" t="s">
        <v>91</v>
      </c>
      <c r="M925" t="s">
        <v>92</v>
      </c>
      <c r="N925" t="s">
        <v>93</v>
      </c>
      <c r="O925" t="s">
        <v>82</v>
      </c>
      <c r="P925" t="str">
        <f>"4170042809                    "</f>
        <v xml:space="preserve">4170042809                    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20.9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1</v>
      </c>
      <c r="BI925">
        <v>1</v>
      </c>
      <c r="BJ925">
        <v>0.2</v>
      </c>
      <c r="BK925">
        <v>1</v>
      </c>
      <c r="BL925">
        <v>69.5</v>
      </c>
      <c r="BM925">
        <v>10.43</v>
      </c>
      <c r="BN925">
        <v>79.930000000000007</v>
      </c>
      <c r="BO925">
        <v>79.930000000000007</v>
      </c>
      <c r="BQ925" t="s">
        <v>95</v>
      </c>
      <c r="BR925" t="s">
        <v>84</v>
      </c>
      <c r="BS925" s="3">
        <v>45818</v>
      </c>
      <c r="BT925" s="4">
        <v>0.37152777777777779</v>
      </c>
      <c r="BU925" t="s">
        <v>580</v>
      </c>
      <c r="BV925" t="s">
        <v>86</v>
      </c>
      <c r="BY925">
        <v>1200</v>
      </c>
      <c r="CA925" t="s">
        <v>543</v>
      </c>
      <c r="CC925" t="s">
        <v>92</v>
      </c>
      <c r="CD925">
        <v>7441</v>
      </c>
      <c r="CE925" t="s">
        <v>215</v>
      </c>
      <c r="CF925" s="3">
        <v>45819</v>
      </c>
      <c r="CI925">
        <v>1</v>
      </c>
      <c r="CJ925">
        <v>1</v>
      </c>
      <c r="CK925">
        <v>21</v>
      </c>
      <c r="CL925" t="s">
        <v>90</v>
      </c>
    </row>
    <row r="926" spans="1:90" x14ac:dyDescent="0.3">
      <c r="A926" t="s">
        <v>72</v>
      </c>
      <c r="B926" t="s">
        <v>73</v>
      </c>
      <c r="C926" t="s">
        <v>74</v>
      </c>
      <c r="E926" t="str">
        <f>"080065836061"</f>
        <v>080065836061</v>
      </c>
      <c r="F926" s="3">
        <v>45817</v>
      </c>
      <c r="G926">
        <v>202603</v>
      </c>
      <c r="H926" t="s">
        <v>75</v>
      </c>
      <c r="I926" t="s">
        <v>76</v>
      </c>
      <c r="J926" t="s">
        <v>77</v>
      </c>
      <c r="K926" t="s">
        <v>78</v>
      </c>
      <c r="L926" t="s">
        <v>369</v>
      </c>
      <c r="M926" t="s">
        <v>370</v>
      </c>
      <c r="N926" t="s">
        <v>371</v>
      </c>
      <c r="O926" t="s">
        <v>82</v>
      </c>
      <c r="P926" t="str">
        <f>"4170042544                    "</f>
        <v xml:space="preserve">4170042544                    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141.05000000000001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1</v>
      </c>
      <c r="BI926">
        <v>6</v>
      </c>
      <c r="BJ926">
        <v>7.3</v>
      </c>
      <c r="BK926">
        <v>7.5</v>
      </c>
      <c r="BL926">
        <v>469.07</v>
      </c>
      <c r="BM926">
        <v>70.36</v>
      </c>
      <c r="BN926">
        <v>539.42999999999995</v>
      </c>
      <c r="BO926">
        <v>539.42999999999995</v>
      </c>
      <c r="BQ926" t="s">
        <v>372</v>
      </c>
      <c r="BR926" t="s">
        <v>84</v>
      </c>
      <c r="BS926" s="3">
        <v>45818</v>
      </c>
      <c r="BT926" s="4">
        <v>0.40416666666666667</v>
      </c>
      <c r="BU926" t="s">
        <v>1675</v>
      </c>
      <c r="BV926" t="s">
        <v>86</v>
      </c>
      <c r="BY926">
        <v>36432</v>
      </c>
      <c r="CC926" t="s">
        <v>370</v>
      </c>
      <c r="CD926">
        <v>7130</v>
      </c>
      <c r="CE926" t="s">
        <v>687</v>
      </c>
      <c r="CF926" s="3">
        <v>45819</v>
      </c>
      <c r="CI926">
        <v>1</v>
      </c>
      <c r="CJ926">
        <v>1</v>
      </c>
      <c r="CK926">
        <v>23</v>
      </c>
      <c r="CL926" t="s">
        <v>90</v>
      </c>
    </row>
    <row r="927" spans="1:90" x14ac:dyDescent="0.3">
      <c r="A927" t="s">
        <v>72</v>
      </c>
      <c r="B927" t="s">
        <v>73</v>
      </c>
      <c r="C927" t="s">
        <v>74</v>
      </c>
      <c r="E927" t="str">
        <f>"080065836083"</f>
        <v>080065836083</v>
      </c>
      <c r="F927" s="3">
        <v>45817</v>
      </c>
      <c r="G927">
        <v>202603</v>
      </c>
      <c r="H927" t="s">
        <v>75</v>
      </c>
      <c r="I927" t="s">
        <v>76</v>
      </c>
      <c r="J927" t="s">
        <v>77</v>
      </c>
      <c r="K927" t="s">
        <v>78</v>
      </c>
      <c r="L927" t="s">
        <v>116</v>
      </c>
      <c r="M927" t="s">
        <v>117</v>
      </c>
      <c r="N927" t="s">
        <v>488</v>
      </c>
      <c r="O927" t="s">
        <v>82</v>
      </c>
      <c r="P927" t="str">
        <f>"4170042762                    "</f>
        <v xml:space="preserve">4170042762                    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20.9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1</v>
      </c>
      <c r="BI927">
        <v>1</v>
      </c>
      <c r="BJ927">
        <v>0.2</v>
      </c>
      <c r="BK927">
        <v>1</v>
      </c>
      <c r="BL927">
        <v>69.5</v>
      </c>
      <c r="BM927">
        <v>10.43</v>
      </c>
      <c r="BN927">
        <v>79.930000000000007</v>
      </c>
      <c r="BO927">
        <v>79.930000000000007</v>
      </c>
      <c r="BQ927" t="s">
        <v>489</v>
      </c>
      <c r="BR927" t="s">
        <v>84</v>
      </c>
      <c r="BS927" s="3">
        <v>45818</v>
      </c>
      <c r="BT927" s="4">
        <v>0.60624999999999996</v>
      </c>
      <c r="BU927" t="s">
        <v>1676</v>
      </c>
      <c r="BV927" t="s">
        <v>90</v>
      </c>
      <c r="BY927">
        <v>1200</v>
      </c>
      <c r="CA927" t="s">
        <v>1677</v>
      </c>
      <c r="CC927" t="s">
        <v>117</v>
      </c>
      <c r="CD927">
        <v>3201</v>
      </c>
      <c r="CE927" t="s">
        <v>215</v>
      </c>
      <c r="CF927" s="3">
        <v>45819</v>
      </c>
      <c r="CI927">
        <v>1</v>
      </c>
      <c r="CJ927">
        <v>1</v>
      </c>
      <c r="CK927">
        <v>21</v>
      </c>
      <c r="CL927" t="s">
        <v>90</v>
      </c>
    </row>
    <row r="928" spans="1:90" x14ac:dyDescent="0.3">
      <c r="A928" t="s">
        <v>72</v>
      </c>
      <c r="B928" t="s">
        <v>73</v>
      </c>
      <c r="C928" t="s">
        <v>74</v>
      </c>
      <c r="E928" t="str">
        <f>"080065836137"</f>
        <v>080065836137</v>
      </c>
      <c r="F928" s="3">
        <v>45817</v>
      </c>
      <c r="G928">
        <v>202603</v>
      </c>
      <c r="H928" t="s">
        <v>75</v>
      </c>
      <c r="I928" t="s">
        <v>76</v>
      </c>
      <c r="J928" t="s">
        <v>77</v>
      </c>
      <c r="K928" t="s">
        <v>78</v>
      </c>
      <c r="L928" t="s">
        <v>555</v>
      </c>
      <c r="M928" t="s">
        <v>556</v>
      </c>
      <c r="N928" t="s">
        <v>1678</v>
      </c>
      <c r="O928" t="s">
        <v>82</v>
      </c>
      <c r="P928" t="str">
        <f>"4170042720                    "</f>
        <v xml:space="preserve">4170042720                    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241.61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1</v>
      </c>
      <c r="BI928">
        <v>13</v>
      </c>
      <c r="BJ928">
        <v>9.1</v>
      </c>
      <c r="BK928">
        <v>13</v>
      </c>
      <c r="BL928">
        <v>803.49</v>
      </c>
      <c r="BM928">
        <v>120.52</v>
      </c>
      <c r="BN928">
        <v>924.01</v>
      </c>
      <c r="BO928">
        <v>924.01</v>
      </c>
      <c r="BQ928" t="s">
        <v>1679</v>
      </c>
      <c r="BR928" t="s">
        <v>84</v>
      </c>
      <c r="BS928" s="3">
        <v>45818</v>
      </c>
      <c r="BT928" s="4">
        <v>0.44583333333333336</v>
      </c>
      <c r="BU928" t="s">
        <v>1680</v>
      </c>
      <c r="BV928" t="s">
        <v>86</v>
      </c>
      <c r="BY928">
        <v>45375</v>
      </c>
      <c r="CA928" t="s">
        <v>560</v>
      </c>
      <c r="CC928" t="s">
        <v>556</v>
      </c>
      <c r="CD928">
        <v>250</v>
      </c>
      <c r="CE928" t="s">
        <v>1681</v>
      </c>
      <c r="CF928" s="3">
        <v>45819</v>
      </c>
      <c r="CI928">
        <v>1</v>
      </c>
      <c r="CJ928">
        <v>1</v>
      </c>
      <c r="CK928">
        <v>23</v>
      </c>
      <c r="CL928" t="s">
        <v>90</v>
      </c>
    </row>
    <row r="929" spans="1:90" x14ac:dyDescent="0.3">
      <c r="A929" t="s">
        <v>72</v>
      </c>
      <c r="B929" t="s">
        <v>73</v>
      </c>
      <c r="C929" t="s">
        <v>74</v>
      </c>
      <c r="E929" t="str">
        <f>"080065836345"</f>
        <v>080065836345</v>
      </c>
      <c r="F929" s="3">
        <v>45817</v>
      </c>
      <c r="G929">
        <v>202603</v>
      </c>
      <c r="H929" t="s">
        <v>75</v>
      </c>
      <c r="I929" t="s">
        <v>76</v>
      </c>
      <c r="J929" t="s">
        <v>77</v>
      </c>
      <c r="K929" t="s">
        <v>78</v>
      </c>
      <c r="L929" t="s">
        <v>136</v>
      </c>
      <c r="M929" t="s">
        <v>137</v>
      </c>
      <c r="N929" t="s">
        <v>806</v>
      </c>
      <c r="O929" t="s">
        <v>82</v>
      </c>
      <c r="P929" t="str">
        <f>"4170042592                    "</f>
        <v xml:space="preserve">4170042592                    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41.78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1</v>
      </c>
      <c r="BI929">
        <v>4</v>
      </c>
      <c r="BJ929">
        <v>2.2000000000000002</v>
      </c>
      <c r="BK929">
        <v>4</v>
      </c>
      <c r="BL929">
        <v>138.94</v>
      </c>
      <c r="BM929">
        <v>20.84</v>
      </c>
      <c r="BN929">
        <v>159.78</v>
      </c>
      <c r="BO929">
        <v>159.78</v>
      </c>
      <c r="BQ929" t="s">
        <v>807</v>
      </c>
      <c r="BR929" t="s">
        <v>84</v>
      </c>
      <c r="BS929" s="3">
        <v>45818</v>
      </c>
      <c r="BT929" s="4">
        <v>0.60416666666666663</v>
      </c>
      <c r="BU929" t="s">
        <v>1682</v>
      </c>
      <c r="BV929" t="s">
        <v>90</v>
      </c>
      <c r="BY929">
        <v>10752</v>
      </c>
      <c r="CC929" t="s">
        <v>137</v>
      </c>
      <c r="CD929">
        <v>5201</v>
      </c>
      <c r="CE929" t="s">
        <v>1029</v>
      </c>
      <c r="CF929" s="3">
        <v>45818</v>
      </c>
      <c r="CI929">
        <v>1</v>
      </c>
      <c r="CJ929">
        <v>1</v>
      </c>
      <c r="CK929">
        <v>21</v>
      </c>
      <c r="CL929" t="s">
        <v>90</v>
      </c>
    </row>
    <row r="930" spans="1:90" x14ac:dyDescent="0.3">
      <c r="A930" t="s">
        <v>72</v>
      </c>
      <c r="B930" t="s">
        <v>73</v>
      </c>
      <c r="C930" t="s">
        <v>74</v>
      </c>
      <c r="E930" t="str">
        <f>"080065836355"</f>
        <v>080065836355</v>
      </c>
      <c r="F930" s="3">
        <v>45817</v>
      </c>
      <c r="G930">
        <v>202603</v>
      </c>
      <c r="H930" t="s">
        <v>75</v>
      </c>
      <c r="I930" t="s">
        <v>76</v>
      </c>
      <c r="J930" t="s">
        <v>77</v>
      </c>
      <c r="K930" t="s">
        <v>78</v>
      </c>
      <c r="L930" t="s">
        <v>91</v>
      </c>
      <c r="M930" t="s">
        <v>92</v>
      </c>
      <c r="N930" t="s">
        <v>1683</v>
      </c>
      <c r="O930" t="s">
        <v>82</v>
      </c>
      <c r="P930" t="str">
        <f>"4170042773                    "</f>
        <v xml:space="preserve">4170042773                    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20.9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1</v>
      </c>
      <c r="BI930">
        <v>1</v>
      </c>
      <c r="BJ930">
        <v>0.2</v>
      </c>
      <c r="BK930">
        <v>1</v>
      </c>
      <c r="BL930">
        <v>69.5</v>
      </c>
      <c r="BM930">
        <v>10.43</v>
      </c>
      <c r="BN930">
        <v>79.930000000000007</v>
      </c>
      <c r="BO930">
        <v>79.930000000000007</v>
      </c>
      <c r="BQ930" t="s">
        <v>1684</v>
      </c>
      <c r="BR930" t="s">
        <v>84</v>
      </c>
      <c r="BS930" s="3">
        <v>45818</v>
      </c>
      <c r="BT930" s="4">
        <v>0.43402777777777779</v>
      </c>
      <c r="BU930" t="s">
        <v>1685</v>
      </c>
      <c r="BV930" t="s">
        <v>86</v>
      </c>
      <c r="BY930">
        <v>1200</v>
      </c>
      <c r="CA930" t="s">
        <v>1659</v>
      </c>
      <c r="CC930" t="s">
        <v>92</v>
      </c>
      <c r="CD930">
        <v>7925</v>
      </c>
      <c r="CE930" t="s">
        <v>1029</v>
      </c>
      <c r="CF930" s="3">
        <v>45819</v>
      </c>
      <c r="CI930">
        <v>1</v>
      </c>
      <c r="CJ930">
        <v>1</v>
      </c>
      <c r="CK930">
        <v>21</v>
      </c>
      <c r="CL930" t="s">
        <v>90</v>
      </c>
    </row>
    <row r="931" spans="1:90" x14ac:dyDescent="0.3">
      <c r="A931" t="s">
        <v>72</v>
      </c>
      <c r="B931" t="s">
        <v>73</v>
      </c>
      <c r="C931" t="s">
        <v>74</v>
      </c>
      <c r="E931" t="str">
        <f>"080065836393"</f>
        <v>080065836393</v>
      </c>
      <c r="F931" s="3">
        <v>45817</v>
      </c>
      <c r="G931">
        <v>202603</v>
      </c>
      <c r="H931" t="s">
        <v>75</v>
      </c>
      <c r="I931" t="s">
        <v>76</v>
      </c>
      <c r="J931" t="s">
        <v>77</v>
      </c>
      <c r="K931" t="s">
        <v>78</v>
      </c>
      <c r="L931" t="s">
        <v>91</v>
      </c>
      <c r="M931" t="s">
        <v>92</v>
      </c>
      <c r="N931" t="s">
        <v>341</v>
      </c>
      <c r="O931" t="s">
        <v>82</v>
      </c>
      <c r="P931" t="str">
        <f>"4170042647                    "</f>
        <v xml:space="preserve">4170042647                    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20.9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1</v>
      </c>
      <c r="BI931">
        <v>1</v>
      </c>
      <c r="BJ931">
        <v>0.2</v>
      </c>
      <c r="BK931">
        <v>1</v>
      </c>
      <c r="BL931">
        <v>69.5</v>
      </c>
      <c r="BM931">
        <v>10.43</v>
      </c>
      <c r="BN931">
        <v>79.930000000000007</v>
      </c>
      <c r="BO931">
        <v>79.930000000000007</v>
      </c>
      <c r="BQ931" t="s">
        <v>342</v>
      </c>
      <c r="BR931" t="s">
        <v>84</v>
      </c>
      <c r="BS931" s="3">
        <v>45818</v>
      </c>
      <c r="BT931" s="4">
        <v>0.38958333333333334</v>
      </c>
      <c r="BU931" t="s">
        <v>1686</v>
      </c>
      <c r="BV931" t="s">
        <v>86</v>
      </c>
      <c r="BY931">
        <v>1200</v>
      </c>
      <c r="CA931" t="s">
        <v>1350</v>
      </c>
      <c r="CC931" t="s">
        <v>92</v>
      </c>
      <c r="CD931">
        <v>7535</v>
      </c>
      <c r="CE931" t="s">
        <v>1029</v>
      </c>
      <c r="CF931" s="3">
        <v>45819</v>
      </c>
      <c r="CI931">
        <v>1</v>
      </c>
      <c r="CJ931">
        <v>1</v>
      </c>
      <c r="CK931">
        <v>21</v>
      </c>
      <c r="CL931" t="s">
        <v>90</v>
      </c>
    </row>
    <row r="932" spans="1:90" x14ac:dyDescent="0.3">
      <c r="A932" t="s">
        <v>72</v>
      </c>
      <c r="B932" t="s">
        <v>73</v>
      </c>
      <c r="C932" t="s">
        <v>74</v>
      </c>
      <c r="E932" t="str">
        <f>"080065836411"</f>
        <v>080065836411</v>
      </c>
      <c r="F932" s="3">
        <v>45817</v>
      </c>
      <c r="G932">
        <v>202603</v>
      </c>
      <c r="H932" t="s">
        <v>75</v>
      </c>
      <c r="I932" t="s">
        <v>76</v>
      </c>
      <c r="J932" t="s">
        <v>77</v>
      </c>
      <c r="K932" t="s">
        <v>78</v>
      </c>
      <c r="L932" t="s">
        <v>302</v>
      </c>
      <c r="M932" t="s">
        <v>303</v>
      </c>
      <c r="N932" t="s">
        <v>304</v>
      </c>
      <c r="O932" t="s">
        <v>82</v>
      </c>
      <c r="P932" t="str">
        <f>"4170042771                    "</f>
        <v xml:space="preserve">4170042771                    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95.34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1</v>
      </c>
      <c r="BI932">
        <v>5</v>
      </c>
      <c r="BJ932">
        <v>3.4</v>
      </c>
      <c r="BK932">
        <v>5</v>
      </c>
      <c r="BL932">
        <v>317.06</v>
      </c>
      <c r="BM932">
        <v>47.56</v>
      </c>
      <c r="BN932">
        <v>364.62</v>
      </c>
      <c r="BO932">
        <v>364.62</v>
      </c>
      <c r="BQ932" t="s">
        <v>305</v>
      </c>
      <c r="BR932" t="s">
        <v>84</v>
      </c>
      <c r="BS932" s="3">
        <v>45818</v>
      </c>
      <c r="BT932" s="4">
        <v>0.3840277777777778</v>
      </c>
      <c r="BU932" t="s">
        <v>1687</v>
      </c>
      <c r="BV932" t="s">
        <v>86</v>
      </c>
      <c r="BY932">
        <v>16965</v>
      </c>
      <c r="CC932" t="s">
        <v>303</v>
      </c>
      <c r="CD932">
        <v>299</v>
      </c>
      <c r="CE932" t="s">
        <v>1029</v>
      </c>
      <c r="CF932" s="3">
        <v>45819</v>
      </c>
      <c r="CI932">
        <v>1</v>
      </c>
      <c r="CJ932">
        <v>1</v>
      </c>
      <c r="CK932">
        <v>23</v>
      </c>
      <c r="CL932" t="s">
        <v>90</v>
      </c>
    </row>
    <row r="933" spans="1:90" x14ac:dyDescent="0.3">
      <c r="A933" t="s">
        <v>72</v>
      </c>
      <c r="B933" t="s">
        <v>73</v>
      </c>
      <c r="C933" t="s">
        <v>74</v>
      </c>
      <c r="E933" t="str">
        <f>"080065836425"</f>
        <v>080065836425</v>
      </c>
      <c r="F933" s="3">
        <v>45817</v>
      </c>
      <c r="G933">
        <v>202603</v>
      </c>
      <c r="H933" t="s">
        <v>75</v>
      </c>
      <c r="I933" t="s">
        <v>76</v>
      </c>
      <c r="J933" t="s">
        <v>77</v>
      </c>
      <c r="K933" t="s">
        <v>78</v>
      </c>
      <c r="L933" t="s">
        <v>100</v>
      </c>
      <c r="M933" t="s">
        <v>101</v>
      </c>
      <c r="N933" t="s">
        <v>867</v>
      </c>
      <c r="O933" t="s">
        <v>82</v>
      </c>
      <c r="P933" t="str">
        <f>"4170042793                    "</f>
        <v xml:space="preserve">4170042793                    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20.9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1</v>
      </c>
      <c r="BI933">
        <v>1</v>
      </c>
      <c r="BJ933">
        <v>0.2</v>
      </c>
      <c r="BK933">
        <v>1</v>
      </c>
      <c r="BL933">
        <v>69.5</v>
      </c>
      <c r="BM933">
        <v>10.43</v>
      </c>
      <c r="BN933">
        <v>79.930000000000007</v>
      </c>
      <c r="BO933">
        <v>79.930000000000007</v>
      </c>
      <c r="BQ933" t="s">
        <v>868</v>
      </c>
      <c r="BR933" t="s">
        <v>84</v>
      </c>
      <c r="BS933" s="3">
        <v>45818</v>
      </c>
      <c r="BT933" s="4">
        <v>0.375</v>
      </c>
      <c r="BU933" t="s">
        <v>1688</v>
      </c>
      <c r="BV933" t="s">
        <v>86</v>
      </c>
      <c r="BY933">
        <v>1200</v>
      </c>
      <c r="CA933" t="s">
        <v>348</v>
      </c>
      <c r="CC933" t="s">
        <v>101</v>
      </c>
      <c r="CD933">
        <v>6020</v>
      </c>
      <c r="CE933" t="s">
        <v>1029</v>
      </c>
      <c r="CF933" s="3">
        <v>45818</v>
      </c>
      <c r="CI933">
        <v>1</v>
      </c>
      <c r="CJ933">
        <v>1</v>
      </c>
      <c r="CK933">
        <v>21</v>
      </c>
      <c r="CL933" t="s">
        <v>90</v>
      </c>
    </row>
    <row r="934" spans="1:90" x14ac:dyDescent="0.3">
      <c r="A934" t="s">
        <v>72</v>
      </c>
      <c r="B934" t="s">
        <v>73</v>
      </c>
      <c r="C934" t="s">
        <v>74</v>
      </c>
      <c r="E934" t="str">
        <f>"080065836468"</f>
        <v>080065836468</v>
      </c>
      <c r="F934" s="3">
        <v>45817</v>
      </c>
      <c r="G934">
        <v>202603</v>
      </c>
      <c r="H934" t="s">
        <v>75</v>
      </c>
      <c r="I934" t="s">
        <v>76</v>
      </c>
      <c r="J934" t="s">
        <v>77</v>
      </c>
      <c r="K934" t="s">
        <v>78</v>
      </c>
      <c r="L934" t="s">
        <v>75</v>
      </c>
      <c r="M934" t="s">
        <v>76</v>
      </c>
      <c r="N934" t="s">
        <v>656</v>
      </c>
      <c r="O934" t="s">
        <v>82</v>
      </c>
      <c r="P934" t="str">
        <f>"4170042815                    "</f>
        <v xml:space="preserve">4170042815                    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16.32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1</v>
      </c>
      <c r="BI934">
        <v>1</v>
      </c>
      <c r="BJ934">
        <v>0.2</v>
      </c>
      <c r="BK934">
        <v>1</v>
      </c>
      <c r="BL934">
        <v>54.28</v>
      </c>
      <c r="BM934">
        <v>8.14</v>
      </c>
      <c r="BN934">
        <v>62.42</v>
      </c>
      <c r="BO934">
        <v>62.42</v>
      </c>
      <c r="BQ934" t="s">
        <v>657</v>
      </c>
      <c r="BR934" t="s">
        <v>84</v>
      </c>
      <c r="BS934" s="3">
        <v>45818</v>
      </c>
      <c r="BT934" s="4">
        <v>0.38541666666666669</v>
      </c>
      <c r="BU934" t="s">
        <v>1689</v>
      </c>
      <c r="BV934" t="s">
        <v>86</v>
      </c>
      <c r="BY934">
        <v>1200</v>
      </c>
      <c r="CA934" t="s">
        <v>1690</v>
      </c>
      <c r="CC934" t="s">
        <v>76</v>
      </c>
      <c r="CD934">
        <v>1619</v>
      </c>
      <c r="CE934" t="s">
        <v>215</v>
      </c>
      <c r="CF934" s="3">
        <v>45818</v>
      </c>
      <c r="CI934">
        <v>1</v>
      </c>
      <c r="CJ934">
        <v>1</v>
      </c>
      <c r="CK934">
        <v>22</v>
      </c>
      <c r="CL934" t="s">
        <v>90</v>
      </c>
    </row>
    <row r="935" spans="1:90" x14ac:dyDescent="0.3">
      <c r="A935" t="s">
        <v>72</v>
      </c>
      <c r="B935" t="s">
        <v>73</v>
      </c>
      <c r="C935" t="s">
        <v>74</v>
      </c>
      <c r="E935" t="str">
        <f>"080065836597"</f>
        <v>080065836597</v>
      </c>
      <c r="F935" s="3">
        <v>45817</v>
      </c>
      <c r="G935">
        <v>202603</v>
      </c>
      <c r="H935" t="s">
        <v>75</v>
      </c>
      <c r="I935" t="s">
        <v>76</v>
      </c>
      <c r="J935" t="s">
        <v>77</v>
      </c>
      <c r="K935" t="s">
        <v>78</v>
      </c>
      <c r="L935" t="s">
        <v>413</v>
      </c>
      <c r="M935" t="s">
        <v>414</v>
      </c>
      <c r="N935" t="s">
        <v>236</v>
      </c>
      <c r="O935" t="s">
        <v>82</v>
      </c>
      <c r="P935" t="str">
        <f>"4170042818                    "</f>
        <v xml:space="preserve">4170042818                    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20.9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1</v>
      </c>
      <c r="BI935">
        <v>1</v>
      </c>
      <c r="BJ935">
        <v>0.2</v>
      </c>
      <c r="BK935">
        <v>1</v>
      </c>
      <c r="BL935">
        <v>69.5</v>
      </c>
      <c r="BM935">
        <v>10.43</v>
      </c>
      <c r="BN935">
        <v>79.930000000000007</v>
      </c>
      <c r="BO935">
        <v>79.930000000000007</v>
      </c>
      <c r="BQ935" t="s">
        <v>237</v>
      </c>
      <c r="BR935" t="s">
        <v>84</v>
      </c>
      <c r="BS935" s="3">
        <v>45818</v>
      </c>
      <c r="BT935" s="4">
        <v>0.49861111111111112</v>
      </c>
      <c r="BU935" t="s">
        <v>415</v>
      </c>
      <c r="BV935" t="s">
        <v>90</v>
      </c>
      <c r="BW935" t="s">
        <v>416</v>
      </c>
      <c r="BX935" t="s">
        <v>417</v>
      </c>
      <c r="BY935">
        <v>1200</v>
      </c>
      <c r="CA935" t="s">
        <v>418</v>
      </c>
      <c r="CC935" t="s">
        <v>414</v>
      </c>
      <c r="CD935">
        <v>4133</v>
      </c>
      <c r="CE935" t="s">
        <v>215</v>
      </c>
      <c r="CF935" s="3">
        <v>45818</v>
      </c>
      <c r="CI935">
        <v>1</v>
      </c>
      <c r="CJ935">
        <v>1</v>
      </c>
      <c r="CK935">
        <v>21</v>
      </c>
      <c r="CL935" t="s">
        <v>90</v>
      </c>
    </row>
    <row r="936" spans="1:90" x14ac:dyDescent="0.3">
      <c r="A936" t="s">
        <v>72</v>
      </c>
      <c r="B936" t="s">
        <v>73</v>
      </c>
      <c r="C936" t="s">
        <v>74</v>
      </c>
      <c r="E936" t="str">
        <f>"080065836893"</f>
        <v>080065836893</v>
      </c>
      <c r="F936" s="3">
        <v>45817</v>
      </c>
      <c r="G936">
        <v>202603</v>
      </c>
      <c r="H936" t="s">
        <v>75</v>
      </c>
      <c r="I936" t="s">
        <v>76</v>
      </c>
      <c r="J936" t="s">
        <v>77</v>
      </c>
      <c r="K936" t="s">
        <v>78</v>
      </c>
      <c r="L936" t="s">
        <v>302</v>
      </c>
      <c r="M936" t="s">
        <v>303</v>
      </c>
      <c r="N936" t="s">
        <v>304</v>
      </c>
      <c r="O936" t="s">
        <v>82</v>
      </c>
      <c r="P936" t="str">
        <f>"4170042761                    "</f>
        <v xml:space="preserve">4170042761                    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58.77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1</v>
      </c>
      <c r="BI936">
        <v>3</v>
      </c>
      <c r="BJ936">
        <v>1.7</v>
      </c>
      <c r="BK936">
        <v>3</v>
      </c>
      <c r="BL936">
        <v>195.45</v>
      </c>
      <c r="BM936">
        <v>29.32</v>
      </c>
      <c r="BN936">
        <v>224.77</v>
      </c>
      <c r="BO936">
        <v>224.77</v>
      </c>
      <c r="BQ936" t="s">
        <v>305</v>
      </c>
      <c r="BR936" t="s">
        <v>84</v>
      </c>
      <c r="BS936" s="3">
        <v>45818</v>
      </c>
      <c r="BT936" s="4">
        <v>0.4152777777777778</v>
      </c>
      <c r="BU936" t="s">
        <v>1687</v>
      </c>
      <c r="BV936" t="s">
        <v>86</v>
      </c>
      <c r="BY936">
        <v>8512</v>
      </c>
      <c r="CC936" t="s">
        <v>303</v>
      </c>
      <c r="CD936">
        <v>299</v>
      </c>
      <c r="CE936" t="s">
        <v>292</v>
      </c>
      <c r="CF936" s="3">
        <v>45819</v>
      </c>
      <c r="CI936">
        <v>1</v>
      </c>
      <c r="CJ936">
        <v>1</v>
      </c>
      <c r="CK936">
        <v>23</v>
      </c>
      <c r="CL936" t="s">
        <v>90</v>
      </c>
    </row>
    <row r="937" spans="1:90" x14ac:dyDescent="0.3">
      <c r="A937" t="s">
        <v>72</v>
      </c>
      <c r="B937" t="s">
        <v>73</v>
      </c>
      <c r="C937" t="s">
        <v>74</v>
      </c>
      <c r="E937" t="str">
        <f>"080065836952"</f>
        <v>080065836952</v>
      </c>
      <c r="F937" s="3">
        <v>45817</v>
      </c>
      <c r="G937">
        <v>202603</v>
      </c>
      <c r="H937" t="s">
        <v>75</v>
      </c>
      <c r="I937" t="s">
        <v>76</v>
      </c>
      <c r="J937" t="s">
        <v>77</v>
      </c>
      <c r="K937" t="s">
        <v>78</v>
      </c>
      <c r="L937" t="s">
        <v>753</v>
      </c>
      <c r="M937" t="s">
        <v>754</v>
      </c>
      <c r="N937" t="s">
        <v>755</v>
      </c>
      <c r="O937" t="s">
        <v>82</v>
      </c>
      <c r="P937" t="str">
        <f>"4170042751                    "</f>
        <v xml:space="preserve">4170042751                    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122.77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1</v>
      </c>
      <c r="BI937">
        <v>3</v>
      </c>
      <c r="BJ937">
        <v>6.3</v>
      </c>
      <c r="BK937">
        <v>6.5</v>
      </c>
      <c r="BL937">
        <v>408.27</v>
      </c>
      <c r="BM937">
        <v>61.24</v>
      </c>
      <c r="BN937">
        <v>469.51</v>
      </c>
      <c r="BO937">
        <v>469.51</v>
      </c>
      <c r="BQ937" t="s">
        <v>756</v>
      </c>
      <c r="BR937" t="s">
        <v>84</v>
      </c>
      <c r="BS937" s="3">
        <v>45818</v>
      </c>
      <c r="BT937" s="4">
        <v>0.41666666666666669</v>
      </c>
      <c r="BU937" t="s">
        <v>1691</v>
      </c>
      <c r="BV937" t="s">
        <v>86</v>
      </c>
      <c r="BY937">
        <v>31680</v>
      </c>
      <c r="CA937" t="s">
        <v>758</v>
      </c>
      <c r="CC937" t="s">
        <v>754</v>
      </c>
      <c r="CD937">
        <v>3290</v>
      </c>
      <c r="CE937" t="s">
        <v>166</v>
      </c>
      <c r="CF937" s="3">
        <v>45819</v>
      </c>
      <c r="CI937">
        <v>1</v>
      </c>
      <c r="CJ937">
        <v>1</v>
      </c>
      <c r="CK937">
        <v>23</v>
      </c>
      <c r="CL937" t="s">
        <v>90</v>
      </c>
    </row>
    <row r="938" spans="1:90" x14ac:dyDescent="0.3">
      <c r="A938" t="s">
        <v>72</v>
      </c>
      <c r="B938" t="s">
        <v>73</v>
      </c>
      <c r="C938" t="s">
        <v>74</v>
      </c>
      <c r="E938" t="str">
        <f>"080065837015"</f>
        <v>080065837015</v>
      </c>
      <c r="F938" s="3">
        <v>45817</v>
      </c>
      <c r="G938">
        <v>202603</v>
      </c>
      <c r="H938" t="s">
        <v>75</v>
      </c>
      <c r="I938" t="s">
        <v>76</v>
      </c>
      <c r="J938" t="s">
        <v>77</v>
      </c>
      <c r="K938" t="s">
        <v>78</v>
      </c>
      <c r="L938" t="s">
        <v>79</v>
      </c>
      <c r="M938" t="s">
        <v>80</v>
      </c>
      <c r="N938" t="s">
        <v>1692</v>
      </c>
      <c r="O938" t="s">
        <v>82</v>
      </c>
      <c r="P938" t="str">
        <f>"4170042813                    "</f>
        <v xml:space="preserve">4170042813                    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29.39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0</v>
      </c>
      <c r="BF938">
        <v>0</v>
      </c>
      <c r="BG938">
        <v>0</v>
      </c>
      <c r="BH938">
        <v>1</v>
      </c>
      <c r="BI938">
        <v>1</v>
      </c>
      <c r="BJ938">
        <v>0.2</v>
      </c>
      <c r="BK938">
        <v>1</v>
      </c>
      <c r="BL938">
        <v>97.74</v>
      </c>
      <c r="BM938">
        <v>14.66</v>
      </c>
      <c r="BN938">
        <v>112.4</v>
      </c>
      <c r="BO938">
        <v>112.4</v>
      </c>
      <c r="BQ938" t="s">
        <v>1693</v>
      </c>
      <c r="BR938" t="s">
        <v>84</v>
      </c>
      <c r="BS938" s="3">
        <v>45818</v>
      </c>
      <c r="BT938" s="4">
        <v>0.40972222222222221</v>
      </c>
      <c r="BU938" t="s">
        <v>1694</v>
      </c>
      <c r="BV938" t="s">
        <v>86</v>
      </c>
      <c r="BY938">
        <v>1200</v>
      </c>
      <c r="CA938" t="s">
        <v>720</v>
      </c>
      <c r="CC938" t="s">
        <v>80</v>
      </c>
      <c r="CD938">
        <v>1739</v>
      </c>
      <c r="CE938" t="s">
        <v>215</v>
      </c>
      <c r="CF938" s="3">
        <v>45818</v>
      </c>
      <c r="CI938">
        <v>1</v>
      </c>
      <c r="CJ938">
        <v>1</v>
      </c>
      <c r="CK938">
        <v>24</v>
      </c>
      <c r="CL938" t="s">
        <v>90</v>
      </c>
    </row>
    <row r="939" spans="1:90" x14ac:dyDescent="0.3">
      <c r="A939" t="s">
        <v>72</v>
      </c>
      <c r="B939" t="s">
        <v>73</v>
      </c>
      <c r="C939" t="s">
        <v>74</v>
      </c>
      <c r="E939" t="str">
        <f>"080065837055"</f>
        <v>080065837055</v>
      </c>
      <c r="F939" s="3">
        <v>45817</v>
      </c>
      <c r="G939">
        <v>202603</v>
      </c>
      <c r="H939" t="s">
        <v>75</v>
      </c>
      <c r="I939" t="s">
        <v>76</v>
      </c>
      <c r="J939" t="s">
        <v>77</v>
      </c>
      <c r="K939" t="s">
        <v>78</v>
      </c>
      <c r="L939" t="s">
        <v>331</v>
      </c>
      <c r="M939" t="s">
        <v>332</v>
      </c>
      <c r="N939" t="s">
        <v>1499</v>
      </c>
      <c r="O939" t="s">
        <v>82</v>
      </c>
      <c r="P939" t="str">
        <f>"4170042683                    "</f>
        <v xml:space="preserve">4170042683                    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36.56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1</v>
      </c>
      <c r="BI939">
        <v>3</v>
      </c>
      <c r="BJ939">
        <v>3.4</v>
      </c>
      <c r="BK939">
        <v>3.5</v>
      </c>
      <c r="BL939">
        <v>121.58</v>
      </c>
      <c r="BM939">
        <v>18.239999999999998</v>
      </c>
      <c r="BN939">
        <v>139.82</v>
      </c>
      <c r="BO939">
        <v>139.82</v>
      </c>
      <c r="BQ939" t="s">
        <v>1500</v>
      </c>
      <c r="BR939" t="s">
        <v>84</v>
      </c>
      <c r="BS939" s="3">
        <v>45818</v>
      </c>
      <c r="BT939" s="4">
        <v>0.33819444444444446</v>
      </c>
      <c r="BU939" t="s">
        <v>1695</v>
      </c>
      <c r="BV939" t="s">
        <v>86</v>
      </c>
      <c r="BY939">
        <v>16965</v>
      </c>
      <c r="CA939" t="s">
        <v>336</v>
      </c>
      <c r="CC939" t="s">
        <v>332</v>
      </c>
      <c r="CD939">
        <v>4051</v>
      </c>
      <c r="CE939" t="s">
        <v>687</v>
      </c>
      <c r="CF939" s="3">
        <v>45818</v>
      </c>
      <c r="CI939">
        <v>1</v>
      </c>
      <c r="CJ939">
        <v>1</v>
      </c>
      <c r="CK939">
        <v>21</v>
      </c>
      <c r="CL939" t="s">
        <v>90</v>
      </c>
    </row>
    <row r="940" spans="1:90" x14ac:dyDescent="0.3">
      <c r="A940" t="s">
        <v>72</v>
      </c>
      <c r="B940" t="s">
        <v>73</v>
      </c>
      <c r="C940" t="s">
        <v>74</v>
      </c>
      <c r="E940" t="str">
        <f>"080065837199"</f>
        <v>080065837199</v>
      </c>
      <c r="F940" s="3">
        <v>45817</v>
      </c>
      <c r="G940">
        <v>202603</v>
      </c>
      <c r="H940" t="s">
        <v>75</v>
      </c>
      <c r="I940" t="s">
        <v>76</v>
      </c>
      <c r="J940" t="s">
        <v>77</v>
      </c>
      <c r="K940" t="s">
        <v>78</v>
      </c>
      <c r="L940" t="s">
        <v>426</v>
      </c>
      <c r="M940" t="s">
        <v>427</v>
      </c>
      <c r="N940" t="s">
        <v>759</v>
      </c>
      <c r="O940" t="s">
        <v>94</v>
      </c>
      <c r="P940" t="str">
        <f>"4170042577                    "</f>
        <v xml:space="preserve">4170042577                    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46.96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0</v>
      </c>
      <c r="BF940">
        <v>0</v>
      </c>
      <c r="BG940">
        <v>0</v>
      </c>
      <c r="BH940">
        <v>2</v>
      </c>
      <c r="BI940">
        <v>14</v>
      </c>
      <c r="BJ940">
        <v>16.3</v>
      </c>
      <c r="BK940">
        <v>17</v>
      </c>
      <c r="BL940">
        <v>161.74</v>
      </c>
      <c r="BM940">
        <v>24.26</v>
      </c>
      <c r="BN940">
        <v>186</v>
      </c>
      <c r="BO940">
        <v>186</v>
      </c>
      <c r="BQ940" t="s">
        <v>796</v>
      </c>
      <c r="BR940" t="s">
        <v>84</v>
      </c>
      <c r="BS940" s="3">
        <v>45818</v>
      </c>
      <c r="BT940" s="4">
        <v>0.54513888888888884</v>
      </c>
      <c r="BU940" t="s">
        <v>922</v>
      </c>
      <c r="BV940" t="s">
        <v>86</v>
      </c>
      <c r="BY940">
        <v>40768</v>
      </c>
      <c r="CA940" t="s">
        <v>432</v>
      </c>
      <c r="CC940" t="s">
        <v>427</v>
      </c>
      <c r="CD940">
        <v>1759</v>
      </c>
      <c r="CE940" t="s">
        <v>166</v>
      </c>
      <c r="CF940" s="3">
        <v>45819</v>
      </c>
      <c r="CI940">
        <v>1</v>
      </c>
      <c r="CJ940">
        <v>1</v>
      </c>
      <c r="CK940">
        <v>44</v>
      </c>
      <c r="CL940" t="s">
        <v>90</v>
      </c>
    </row>
    <row r="941" spans="1:90" x14ac:dyDescent="0.3">
      <c r="A941" t="s">
        <v>72</v>
      </c>
      <c r="B941" t="s">
        <v>73</v>
      </c>
      <c r="C941" t="s">
        <v>74</v>
      </c>
      <c r="E941" t="str">
        <f>"080065837322"</f>
        <v>080065837322</v>
      </c>
      <c r="F941" s="3">
        <v>45817</v>
      </c>
      <c r="G941">
        <v>202603</v>
      </c>
      <c r="H941" t="s">
        <v>75</v>
      </c>
      <c r="I941" t="s">
        <v>76</v>
      </c>
      <c r="J941" t="s">
        <v>77</v>
      </c>
      <c r="K941" t="s">
        <v>78</v>
      </c>
      <c r="L941" t="s">
        <v>75</v>
      </c>
      <c r="M941" t="s">
        <v>76</v>
      </c>
      <c r="N941" t="s">
        <v>112</v>
      </c>
      <c r="O941" t="s">
        <v>82</v>
      </c>
      <c r="P941" t="str">
        <f>"4170042695                    "</f>
        <v xml:space="preserve">4170042695                    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16.32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1</v>
      </c>
      <c r="BI941">
        <v>2</v>
      </c>
      <c r="BJ941">
        <v>6.4</v>
      </c>
      <c r="BK941">
        <v>7</v>
      </c>
      <c r="BL941">
        <v>54.28</v>
      </c>
      <c r="BM941">
        <v>8.14</v>
      </c>
      <c r="BN941">
        <v>62.42</v>
      </c>
      <c r="BO941">
        <v>62.42</v>
      </c>
      <c r="BQ941" t="s">
        <v>113</v>
      </c>
      <c r="BR941" t="s">
        <v>84</v>
      </c>
      <c r="BS941" s="3">
        <v>45818</v>
      </c>
      <c r="BT941" s="4">
        <v>0.35486111111111113</v>
      </c>
      <c r="BU941" t="s">
        <v>1696</v>
      </c>
      <c r="BV941" t="s">
        <v>86</v>
      </c>
      <c r="BY941">
        <v>31824</v>
      </c>
      <c r="CA941" t="s">
        <v>115</v>
      </c>
      <c r="CC941" t="s">
        <v>76</v>
      </c>
      <c r="CD941">
        <v>1600</v>
      </c>
      <c r="CE941" t="s">
        <v>166</v>
      </c>
      <c r="CF941" s="3">
        <v>45818</v>
      </c>
      <c r="CI941">
        <v>1</v>
      </c>
      <c r="CJ941">
        <v>1</v>
      </c>
      <c r="CK941">
        <v>22</v>
      </c>
      <c r="CL941" t="s">
        <v>90</v>
      </c>
    </row>
    <row r="942" spans="1:90" x14ac:dyDescent="0.3">
      <c r="A942" t="s">
        <v>72</v>
      </c>
      <c r="B942" t="s">
        <v>73</v>
      </c>
      <c r="C942" t="s">
        <v>74</v>
      </c>
      <c r="E942" t="str">
        <f>"080065837824"</f>
        <v>080065837824</v>
      </c>
      <c r="F942" s="3">
        <v>45817</v>
      </c>
      <c r="G942">
        <v>202603</v>
      </c>
      <c r="H942" t="s">
        <v>75</v>
      </c>
      <c r="I942" t="s">
        <v>76</v>
      </c>
      <c r="J942" t="s">
        <v>77</v>
      </c>
      <c r="K942" t="s">
        <v>78</v>
      </c>
      <c r="L942" t="s">
        <v>154</v>
      </c>
      <c r="M942" t="s">
        <v>154</v>
      </c>
      <c r="N942" t="s">
        <v>949</v>
      </c>
      <c r="O942" t="s">
        <v>94</v>
      </c>
      <c r="P942" t="str">
        <f>"4170042549                    "</f>
        <v xml:space="preserve">4170042549                    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441.26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2</v>
      </c>
      <c r="BI942">
        <v>147</v>
      </c>
      <c r="BJ942">
        <v>73</v>
      </c>
      <c r="BK942">
        <v>147</v>
      </c>
      <c r="BL942">
        <v>1473.02</v>
      </c>
      <c r="BM942">
        <v>220.95</v>
      </c>
      <c r="BN942">
        <v>1693.97</v>
      </c>
      <c r="BO942">
        <v>1693.97</v>
      </c>
      <c r="BQ942" t="s">
        <v>950</v>
      </c>
      <c r="BR942" t="s">
        <v>84</v>
      </c>
      <c r="BS942" s="3">
        <v>45819</v>
      </c>
      <c r="BT942" s="4">
        <v>0.53472222222222221</v>
      </c>
      <c r="BU942" t="s">
        <v>951</v>
      </c>
      <c r="BV942" t="s">
        <v>86</v>
      </c>
      <c r="BY942">
        <v>364800</v>
      </c>
      <c r="CC942" t="s">
        <v>154</v>
      </c>
      <c r="CD942">
        <v>7646</v>
      </c>
      <c r="CE942" t="s">
        <v>687</v>
      </c>
      <c r="CI942">
        <v>3</v>
      </c>
      <c r="CJ942">
        <v>2</v>
      </c>
      <c r="CK942">
        <v>43</v>
      </c>
      <c r="CL942" t="s">
        <v>90</v>
      </c>
    </row>
    <row r="943" spans="1:90" x14ac:dyDescent="0.3">
      <c r="A943" t="s">
        <v>72</v>
      </c>
      <c r="B943" t="s">
        <v>73</v>
      </c>
      <c r="C943" t="s">
        <v>74</v>
      </c>
      <c r="E943" t="str">
        <f>"080065838189"</f>
        <v>080065838189</v>
      </c>
      <c r="F943" s="3">
        <v>45817</v>
      </c>
      <c r="G943">
        <v>202603</v>
      </c>
      <c r="H943" t="s">
        <v>75</v>
      </c>
      <c r="I943" t="s">
        <v>76</v>
      </c>
      <c r="J943" t="s">
        <v>77</v>
      </c>
      <c r="K943" t="s">
        <v>78</v>
      </c>
      <c r="L943" t="s">
        <v>100</v>
      </c>
      <c r="M943" t="s">
        <v>101</v>
      </c>
      <c r="N943" t="s">
        <v>123</v>
      </c>
      <c r="O943" t="s">
        <v>82</v>
      </c>
      <c r="P943" t="str">
        <f>"4170042609                    "</f>
        <v xml:space="preserve">4170042609                    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20.9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1</v>
      </c>
      <c r="BI943">
        <v>1</v>
      </c>
      <c r="BJ943">
        <v>0.2</v>
      </c>
      <c r="BK943">
        <v>1</v>
      </c>
      <c r="BL943">
        <v>69.5</v>
      </c>
      <c r="BM943">
        <v>10.43</v>
      </c>
      <c r="BN943">
        <v>79.930000000000007</v>
      </c>
      <c r="BO943">
        <v>79.930000000000007</v>
      </c>
      <c r="BQ943" t="s">
        <v>124</v>
      </c>
      <c r="BR943" t="s">
        <v>84</v>
      </c>
      <c r="BS943" s="3">
        <v>45818</v>
      </c>
      <c r="BT943" s="4">
        <v>0.39861111111111114</v>
      </c>
      <c r="BU943" t="s">
        <v>1015</v>
      </c>
      <c r="BV943" t="s">
        <v>86</v>
      </c>
      <c r="BY943">
        <v>1200</v>
      </c>
      <c r="CA943" t="s">
        <v>235</v>
      </c>
      <c r="CC943" t="s">
        <v>101</v>
      </c>
      <c r="CD943">
        <v>6001</v>
      </c>
      <c r="CE943" t="s">
        <v>215</v>
      </c>
      <c r="CF943" s="3">
        <v>45818</v>
      </c>
      <c r="CI943">
        <v>1</v>
      </c>
      <c r="CJ943">
        <v>1</v>
      </c>
      <c r="CK943">
        <v>21</v>
      </c>
      <c r="CL943" t="s">
        <v>90</v>
      </c>
    </row>
    <row r="944" spans="1:90" x14ac:dyDescent="0.3">
      <c r="A944" t="s">
        <v>72</v>
      </c>
      <c r="B944" t="s">
        <v>73</v>
      </c>
      <c r="C944" t="s">
        <v>74</v>
      </c>
      <c r="E944" t="str">
        <f>"080065838240"</f>
        <v>080065838240</v>
      </c>
      <c r="F944" s="3">
        <v>45817</v>
      </c>
      <c r="G944">
        <v>202603</v>
      </c>
      <c r="H944" t="s">
        <v>75</v>
      </c>
      <c r="I944" t="s">
        <v>76</v>
      </c>
      <c r="J944" t="s">
        <v>77</v>
      </c>
      <c r="K944" t="s">
        <v>78</v>
      </c>
      <c r="L944" t="s">
        <v>100</v>
      </c>
      <c r="M944" t="s">
        <v>101</v>
      </c>
      <c r="N944" t="s">
        <v>669</v>
      </c>
      <c r="O944" t="s">
        <v>82</v>
      </c>
      <c r="P944" t="str">
        <f>"4170042724                    "</f>
        <v xml:space="preserve">4170042724                    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20.9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0</v>
      </c>
      <c r="BF944">
        <v>0</v>
      </c>
      <c r="BG944">
        <v>0</v>
      </c>
      <c r="BH944">
        <v>1</v>
      </c>
      <c r="BI944">
        <v>1</v>
      </c>
      <c r="BJ944">
        <v>0.2</v>
      </c>
      <c r="BK944">
        <v>1</v>
      </c>
      <c r="BL944">
        <v>69.5</v>
      </c>
      <c r="BM944">
        <v>10.43</v>
      </c>
      <c r="BN944">
        <v>79.930000000000007</v>
      </c>
      <c r="BO944">
        <v>79.930000000000007</v>
      </c>
      <c r="BQ944" t="s">
        <v>670</v>
      </c>
      <c r="BR944" t="s">
        <v>84</v>
      </c>
      <c r="BS944" s="3">
        <v>45818</v>
      </c>
      <c r="BT944" s="4">
        <v>0.42222222222222222</v>
      </c>
      <c r="BU944" t="s">
        <v>1697</v>
      </c>
      <c r="BV944" t="s">
        <v>86</v>
      </c>
      <c r="BY944">
        <v>1200</v>
      </c>
      <c r="CA944" t="s">
        <v>283</v>
      </c>
      <c r="CC944" t="s">
        <v>101</v>
      </c>
      <c r="CD944">
        <v>6012</v>
      </c>
      <c r="CE944" t="s">
        <v>215</v>
      </c>
      <c r="CF944" s="3">
        <v>45818</v>
      </c>
      <c r="CI944">
        <v>1</v>
      </c>
      <c r="CJ944">
        <v>1</v>
      </c>
      <c r="CK944">
        <v>21</v>
      </c>
      <c r="CL944" t="s">
        <v>90</v>
      </c>
    </row>
    <row r="945" spans="1:90" x14ac:dyDescent="0.3">
      <c r="A945" t="s">
        <v>72</v>
      </c>
      <c r="B945" t="s">
        <v>73</v>
      </c>
      <c r="C945" t="s">
        <v>74</v>
      </c>
      <c r="E945" t="str">
        <f>"080065838299"</f>
        <v>080065838299</v>
      </c>
      <c r="F945" s="3">
        <v>45817</v>
      </c>
      <c r="G945">
        <v>202603</v>
      </c>
      <c r="H945" t="s">
        <v>75</v>
      </c>
      <c r="I945" t="s">
        <v>76</v>
      </c>
      <c r="J945" t="s">
        <v>77</v>
      </c>
      <c r="K945" t="s">
        <v>78</v>
      </c>
      <c r="L945" t="s">
        <v>159</v>
      </c>
      <c r="M945" t="s">
        <v>160</v>
      </c>
      <c r="N945" t="s">
        <v>1698</v>
      </c>
      <c r="O945" t="s">
        <v>82</v>
      </c>
      <c r="P945" t="str">
        <f>"4170042789                    "</f>
        <v xml:space="preserve">4170042789                    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16.32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1</v>
      </c>
      <c r="BI945">
        <v>1</v>
      </c>
      <c r="BJ945">
        <v>0.2</v>
      </c>
      <c r="BK945">
        <v>1</v>
      </c>
      <c r="BL945">
        <v>54.28</v>
      </c>
      <c r="BM945">
        <v>8.14</v>
      </c>
      <c r="BN945">
        <v>62.42</v>
      </c>
      <c r="BO945">
        <v>62.42</v>
      </c>
      <c r="BQ945" t="s">
        <v>1699</v>
      </c>
      <c r="BR945" t="s">
        <v>84</v>
      </c>
      <c r="BS945" s="3">
        <v>45818</v>
      </c>
      <c r="BT945" s="4">
        <v>0.36388888888888887</v>
      </c>
      <c r="BU945" t="s">
        <v>1700</v>
      </c>
      <c r="BV945" t="s">
        <v>86</v>
      </c>
      <c r="BY945">
        <v>1200</v>
      </c>
      <c r="CA945" t="s">
        <v>444</v>
      </c>
      <c r="CC945" t="s">
        <v>160</v>
      </c>
      <c r="CD945">
        <v>2190</v>
      </c>
      <c r="CE945" t="s">
        <v>215</v>
      </c>
      <c r="CF945" s="3">
        <v>45818</v>
      </c>
      <c r="CI945">
        <v>1</v>
      </c>
      <c r="CJ945">
        <v>1</v>
      </c>
      <c r="CK945">
        <v>22</v>
      </c>
      <c r="CL945" t="s">
        <v>90</v>
      </c>
    </row>
    <row r="946" spans="1:90" x14ac:dyDescent="0.3">
      <c r="A946" t="s">
        <v>72</v>
      </c>
      <c r="B946" t="s">
        <v>73</v>
      </c>
      <c r="C946" t="s">
        <v>74</v>
      </c>
      <c r="E946" t="str">
        <f>"080065838339"</f>
        <v>080065838339</v>
      </c>
      <c r="F946" s="3">
        <v>45817</v>
      </c>
      <c r="G946">
        <v>202603</v>
      </c>
      <c r="H946" t="s">
        <v>75</v>
      </c>
      <c r="I946" t="s">
        <v>76</v>
      </c>
      <c r="J946" t="s">
        <v>77</v>
      </c>
      <c r="K946" t="s">
        <v>78</v>
      </c>
      <c r="L946" t="s">
        <v>100</v>
      </c>
      <c r="M946" t="s">
        <v>101</v>
      </c>
      <c r="N946" t="s">
        <v>669</v>
      </c>
      <c r="O946" t="s">
        <v>82</v>
      </c>
      <c r="P946" t="str">
        <f>"4170042721                    "</f>
        <v xml:space="preserve">4170042721                    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20.9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1</v>
      </c>
      <c r="BI946">
        <v>1</v>
      </c>
      <c r="BJ946">
        <v>0.2</v>
      </c>
      <c r="BK946">
        <v>1</v>
      </c>
      <c r="BL946">
        <v>69.5</v>
      </c>
      <c r="BM946">
        <v>10.43</v>
      </c>
      <c r="BN946">
        <v>79.930000000000007</v>
      </c>
      <c r="BO946">
        <v>79.930000000000007</v>
      </c>
      <c r="BQ946" t="s">
        <v>670</v>
      </c>
      <c r="BR946" t="s">
        <v>84</v>
      </c>
      <c r="BS946" s="3">
        <v>45818</v>
      </c>
      <c r="BT946" s="4">
        <v>0.42152777777777778</v>
      </c>
      <c r="BU946" t="s">
        <v>1697</v>
      </c>
      <c r="BV946" t="s">
        <v>86</v>
      </c>
      <c r="BY946">
        <v>1200</v>
      </c>
      <c r="CA946" t="s">
        <v>283</v>
      </c>
      <c r="CC946" t="s">
        <v>101</v>
      </c>
      <c r="CD946">
        <v>6012</v>
      </c>
      <c r="CE946" t="s">
        <v>215</v>
      </c>
      <c r="CF946" s="3">
        <v>45818</v>
      </c>
      <c r="CI946">
        <v>1</v>
      </c>
      <c r="CJ946">
        <v>1</v>
      </c>
      <c r="CK946">
        <v>21</v>
      </c>
      <c r="CL946" t="s">
        <v>90</v>
      </c>
    </row>
    <row r="947" spans="1:90" x14ac:dyDescent="0.3">
      <c r="A947" t="s">
        <v>72</v>
      </c>
      <c r="B947" t="s">
        <v>73</v>
      </c>
      <c r="C947" t="s">
        <v>74</v>
      </c>
      <c r="E947" t="str">
        <f>"080065838355"</f>
        <v>080065838355</v>
      </c>
      <c r="F947" s="3">
        <v>45817</v>
      </c>
      <c r="G947">
        <v>202603</v>
      </c>
      <c r="H947" t="s">
        <v>75</v>
      </c>
      <c r="I947" t="s">
        <v>76</v>
      </c>
      <c r="J947" t="s">
        <v>77</v>
      </c>
      <c r="K947" t="s">
        <v>78</v>
      </c>
      <c r="L947" t="s">
        <v>159</v>
      </c>
      <c r="M947" t="s">
        <v>160</v>
      </c>
      <c r="N947" t="s">
        <v>470</v>
      </c>
      <c r="O947" t="s">
        <v>276</v>
      </c>
      <c r="P947" t="str">
        <f>"4170042561                    "</f>
        <v xml:space="preserve">4170042561                    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176.32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16.739999999999998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1</v>
      </c>
      <c r="BI947">
        <v>9</v>
      </c>
      <c r="BJ947">
        <v>4.3</v>
      </c>
      <c r="BK947">
        <v>9</v>
      </c>
      <c r="BL947">
        <v>603.11</v>
      </c>
      <c r="BM947">
        <v>90.47</v>
      </c>
      <c r="BN947">
        <v>693.58</v>
      </c>
      <c r="BO947">
        <v>693.58</v>
      </c>
      <c r="BQ947" t="s">
        <v>471</v>
      </c>
      <c r="BR947" t="s">
        <v>84</v>
      </c>
      <c r="BS947" s="3">
        <v>45818</v>
      </c>
      <c r="BT947" s="4">
        <v>0.55000000000000004</v>
      </c>
      <c r="BU947" t="s">
        <v>1701</v>
      </c>
      <c r="BV947" t="s">
        <v>86</v>
      </c>
      <c r="BY947">
        <v>21504</v>
      </c>
      <c r="BZ947" t="s">
        <v>30</v>
      </c>
      <c r="CA947" t="s">
        <v>1702</v>
      </c>
      <c r="CC947" t="s">
        <v>160</v>
      </c>
      <c r="CD947">
        <v>1832</v>
      </c>
      <c r="CE947" t="s">
        <v>166</v>
      </c>
      <c r="CF947" s="3">
        <v>45819</v>
      </c>
      <c r="CI947">
        <v>0</v>
      </c>
      <c r="CJ947">
        <v>0</v>
      </c>
      <c r="CK947">
        <v>31</v>
      </c>
      <c r="CL947" t="s">
        <v>90</v>
      </c>
    </row>
    <row r="948" spans="1:90" x14ac:dyDescent="0.3">
      <c r="A948" t="s">
        <v>72</v>
      </c>
      <c r="B948" t="s">
        <v>73</v>
      </c>
      <c r="C948" t="s">
        <v>74</v>
      </c>
      <c r="E948" t="str">
        <f>"080065838378"</f>
        <v>080065838378</v>
      </c>
      <c r="F948" s="3">
        <v>45817</v>
      </c>
      <c r="G948">
        <v>202603</v>
      </c>
      <c r="H948" t="s">
        <v>75</v>
      </c>
      <c r="I948" t="s">
        <v>76</v>
      </c>
      <c r="J948" t="s">
        <v>77</v>
      </c>
      <c r="K948" t="s">
        <v>78</v>
      </c>
      <c r="L948" t="s">
        <v>251</v>
      </c>
      <c r="M948" t="s">
        <v>252</v>
      </c>
      <c r="N948" t="s">
        <v>567</v>
      </c>
      <c r="O948" t="s">
        <v>82</v>
      </c>
      <c r="P948" t="str">
        <f>"4170042701                    "</f>
        <v xml:space="preserve">4170042701                    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20.9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1</v>
      </c>
      <c r="BI948">
        <v>1</v>
      </c>
      <c r="BJ948">
        <v>0.2</v>
      </c>
      <c r="BK948">
        <v>1</v>
      </c>
      <c r="BL948">
        <v>69.5</v>
      </c>
      <c r="BM948">
        <v>10.43</v>
      </c>
      <c r="BN948">
        <v>79.930000000000007</v>
      </c>
      <c r="BO948">
        <v>79.930000000000007</v>
      </c>
      <c r="BQ948" t="s">
        <v>568</v>
      </c>
      <c r="BR948" t="s">
        <v>84</v>
      </c>
      <c r="BS948" s="3">
        <v>45818</v>
      </c>
      <c r="BT948" s="4">
        <v>0.42569444444444443</v>
      </c>
      <c r="BU948" t="s">
        <v>1703</v>
      </c>
      <c r="BV948" t="s">
        <v>86</v>
      </c>
      <c r="BY948">
        <v>1200</v>
      </c>
      <c r="CA948" t="s">
        <v>570</v>
      </c>
      <c r="CC948" t="s">
        <v>252</v>
      </c>
      <c r="CD948">
        <v>4302</v>
      </c>
      <c r="CE948" t="s">
        <v>215</v>
      </c>
      <c r="CF948" s="3">
        <v>45818</v>
      </c>
      <c r="CI948">
        <v>1</v>
      </c>
      <c r="CJ948">
        <v>1</v>
      </c>
      <c r="CK948">
        <v>21</v>
      </c>
      <c r="CL948" t="s">
        <v>90</v>
      </c>
    </row>
    <row r="949" spans="1:90" x14ac:dyDescent="0.3">
      <c r="A949" t="s">
        <v>72</v>
      </c>
      <c r="B949" t="s">
        <v>73</v>
      </c>
      <c r="C949" t="s">
        <v>74</v>
      </c>
      <c r="E949" t="str">
        <f>"080065838402"</f>
        <v>080065838402</v>
      </c>
      <c r="F949" s="3">
        <v>45817</v>
      </c>
      <c r="G949">
        <v>202603</v>
      </c>
      <c r="H949" t="s">
        <v>75</v>
      </c>
      <c r="I949" t="s">
        <v>76</v>
      </c>
      <c r="J949" t="s">
        <v>77</v>
      </c>
      <c r="K949" t="s">
        <v>78</v>
      </c>
      <c r="L949" t="s">
        <v>154</v>
      </c>
      <c r="M949" t="s">
        <v>154</v>
      </c>
      <c r="N949" t="s">
        <v>1704</v>
      </c>
      <c r="O949" t="s">
        <v>82</v>
      </c>
      <c r="P949" t="str">
        <f>"4170042790                    "</f>
        <v xml:space="preserve">4170042790                    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241.61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1</v>
      </c>
      <c r="BI949">
        <v>13</v>
      </c>
      <c r="BJ949">
        <v>1.7</v>
      </c>
      <c r="BK949">
        <v>13</v>
      </c>
      <c r="BL949">
        <v>803.49</v>
      </c>
      <c r="BM949">
        <v>120.52</v>
      </c>
      <c r="BN949">
        <v>924.01</v>
      </c>
      <c r="BO949">
        <v>924.01</v>
      </c>
      <c r="BQ949" t="s">
        <v>1705</v>
      </c>
      <c r="BR949" t="s">
        <v>84</v>
      </c>
      <c r="BS949" s="3">
        <v>45818</v>
      </c>
      <c r="BT949" s="4">
        <v>0.50486111111111109</v>
      </c>
      <c r="BU949" t="s">
        <v>1706</v>
      </c>
      <c r="BV949" t="s">
        <v>86</v>
      </c>
      <c r="BY949">
        <v>8512</v>
      </c>
      <c r="CA949" t="s">
        <v>1707</v>
      </c>
      <c r="CC949" t="s">
        <v>154</v>
      </c>
      <c r="CD949">
        <v>7646</v>
      </c>
      <c r="CE949" t="s">
        <v>292</v>
      </c>
      <c r="CF949" s="3">
        <v>45819</v>
      </c>
      <c r="CI949">
        <v>1</v>
      </c>
      <c r="CJ949">
        <v>1</v>
      </c>
      <c r="CK949">
        <v>23</v>
      </c>
      <c r="CL949" t="s">
        <v>90</v>
      </c>
    </row>
    <row r="950" spans="1:90" x14ac:dyDescent="0.3">
      <c r="A950" t="s">
        <v>72</v>
      </c>
      <c r="B950" t="s">
        <v>73</v>
      </c>
      <c r="C950" t="s">
        <v>74</v>
      </c>
      <c r="E950" t="str">
        <f>"080065838420"</f>
        <v>080065838420</v>
      </c>
      <c r="F950" s="3">
        <v>45817</v>
      </c>
      <c r="G950">
        <v>202603</v>
      </c>
      <c r="H950" t="s">
        <v>75</v>
      </c>
      <c r="I950" t="s">
        <v>76</v>
      </c>
      <c r="J950" t="s">
        <v>77</v>
      </c>
      <c r="K950" t="s">
        <v>78</v>
      </c>
      <c r="L950" t="s">
        <v>331</v>
      </c>
      <c r="M950" t="s">
        <v>332</v>
      </c>
      <c r="N950" t="s">
        <v>1499</v>
      </c>
      <c r="O950" t="s">
        <v>82</v>
      </c>
      <c r="P950" t="str">
        <f>"4170042795                    "</f>
        <v xml:space="preserve">4170042795                    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20.9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1</v>
      </c>
      <c r="BI950">
        <v>1</v>
      </c>
      <c r="BJ950">
        <v>0.2</v>
      </c>
      <c r="BK950">
        <v>1</v>
      </c>
      <c r="BL950">
        <v>69.5</v>
      </c>
      <c r="BM950">
        <v>10.43</v>
      </c>
      <c r="BN950">
        <v>79.930000000000007</v>
      </c>
      <c r="BO950">
        <v>79.930000000000007</v>
      </c>
      <c r="BQ950" t="s">
        <v>1500</v>
      </c>
      <c r="BR950" t="s">
        <v>84</v>
      </c>
      <c r="BS950" s="3">
        <v>45818</v>
      </c>
      <c r="BT950" s="4">
        <v>0.33819444444444446</v>
      </c>
      <c r="BU950" t="s">
        <v>1695</v>
      </c>
      <c r="BV950" t="s">
        <v>86</v>
      </c>
      <c r="BY950">
        <v>1200</v>
      </c>
      <c r="CA950" t="s">
        <v>336</v>
      </c>
      <c r="CC950" t="s">
        <v>332</v>
      </c>
      <c r="CD950">
        <v>4000</v>
      </c>
      <c r="CE950" t="s">
        <v>215</v>
      </c>
      <c r="CF950" s="3">
        <v>45818</v>
      </c>
      <c r="CI950">
        <v>1</v>
      </c>
      <c r="CJ950">
        <v>1</v>
      </c>
      <c r="CK950">
        <v>21</v>
      </c>
      <c r="CL950" t="s">
        <v>90</v>
      </c>
    </row>
    <row r="951" spans="1:90" x14ac:dyDescent="0.3">
      <c r="A951" t="s">
        <v>72</v>
      </c>
      <c r="B951" t="s">
        <v>73</v>
      </c>
      <c r="C951" t="s">
        <v>74</v>
      </c>
      <c r="E951" t="str">
        <f>"080065838485"</f>
        <v>080065838485</v>
      </c>
      <c r="F951" s="3">
        <v>45817</v>
      </c>
      <c r="G951">
        <v>202603</v>
      </c>
      <c r="H951" t="s">
        <v>75</v>
      </c>
      <c r="I951" t="s">
        <v>76</v>
      </c>
      <c r="J951" t="s">
        <v>77</v>
      </c>
      <c r="K951" t="s">
        <v>78</v>
      </c>
      <c r="L951" t="s">
        <v>130</v>
      </c>
      <c r="M951" t="s">
        <v>131</v>
      </c>
      <c r="N951" t="s">
        <v>1708</v>
      </c>
      <c r="O951" t="s">
        <v>82</v>
      </c>
      <c r="P951" t="str">
        <f>"4170042804                    "</f>
        <v xml:space="preserve">4170042804                    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16.32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1</v>
      </c>
      <c r="BI951">
        <v>1</v>
      </c>
      <c r="BJ951">
        <v>0.2</v>
      </c>
      <c r="BK951">
        <v>1</v>
      </c>
      <c r="BL951">
        <v>54.28</v>
      </c>
      <c r="BM951">
        <v>8.14</v>
      </c>
      <c r="BN951">
        <v>62.42</v>
      </c>
      <c r="BO951">
        <v>62.42</v>
      </c>
      <c r="BQ951" t="s">
        <v>1709</v>
      </c>
      <c r="BR951" t="s">
        <v>84</v>
      </c>
      <c r="BS951" s="3">
        <v>45818</v>
      </c>
      <c r="BT951" s="4">
        <v>0.43263888888888891</v>
      </c>
      <c r="BU951" t="s">
        <v>1710</v>
      </c>
      <c r="BV951" t="s">
        <v>86</v>
      </c>
      <c r="BY951">
        <v>1200</v>
      </c>
      <c r="CA951" t="s">
        <v>454</v>
      </c>
      <c r="CC951" t="s">
        <v>131</v>
      </c>
      <c r="CD951">
        <v>1459</v>
      </c>
      <c r="CE951" t="s">
        <v>215</v>
      </c>
      <c r="CF951" s="3">
        <v>45819</v>
      </c>
      <c r="CI951">
        <v>1</v>
      </c>
      <c r="CJ951">
        <v>1</v>
      </c>
      <c r="CK951">
        <v>22</v>
      </c>
      <c r="CL951" t="s">
        <v>90</v>
      </c>
    </row>
    <row r="952" spans="1:90" x14ac:dyDescent="0.3">
      <c r="A952" t="s">
        <v>72</v>
      </c>
      <c r="B952" t="s">
        <v>73</v>
      </c>
      <c r="C952" t="s">
        <v>74</v>
      </c>
      <c r="E952" t="str">
        <f>"080065838507"</f>
        <v>080065838507</v>
      </c>
      <c r="F952" s="3">
        <v>45817</v>
      </c>
      <c r="G952">
        <v>202603</v>
      </c>
      <c r="H952" t="s">
        <v>75</v>
      </c>
      <c r="I952" t="s">
        <v>76</v>
      </c>
      <c r="J952" t="s">
        <v>77</v>
      </c>
      <c r="K952" t="s">
        <v>78</v>
      </c>
      <c r="L952" t="s">
        <v>174</v>
      </c>
      <c r="M952" t="s">
        <v>175</v>
      </c>
      <c r="N952" t="s">
        <v>1711</v>
      </c>
      <c r="O952" t="s">
        <v>82</v>
      </c>
      <c r="P952" t="str">
        <f>"4170042651                    "</f>
        <v xml:space="preserve">4170042651                    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62.66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1</v>
      </c>
      <c r="BI952">
        <v>4</v>
      </c>
      <c r="BJ952">
        <v>5.9</v>
      </c>
      <c r="BK952">
        <v>6</v>
      </c>
      <c r="BL952">
        <v>208.38</v>
      </c>
      <c r="BM952">
        <v>31.26</v>
      </c>
      <c r="BN952">
        <v>239.64</v>
      </c>
      <c r="BO952">
        <v>239.64</v>
      </c>
      <c r="BQ952" t="s">
        <v>1712</v>
      </c>
      <c r="BR952" t="s">
        <v>84</v>
      </c>
      <c r="BS952" s="3">
        <v>45818</v>
      </c>
      <c r="BT952" s="4">
        <v>0.3611111111111111</v>
      </c>
      <c r="BU952" t="s">
        <v>1713</v>
      </c>
      <c r="BV952" t="s">
        <v>86</v>
      </c>
      <c r="BY952">
        <v>29376</v>
      </c>
      <c r="CA952" t="s">
        <v>179</v>
      </c>
      <c r="CC952" t="s">
        <v>175</v>
      </c>
      <c r="CD952">
        <v>3600</v>
      </c>
      <c r="CE952" t="s">
        <v>166</v>
      </c>
      <c r="CF952" s="3">
        <v>45819</v>
      </c>
      <c r="CI952">
        <v>1</v>
      </c>
      <c r="CJ952">
        <v>1</v>
      </c>
      <c r="CK952">
        <v>21</v>
      </c>
      <c r="CL952" t="s">
        <v>90</v>
      </c>
    </row>
    <row r="953" spans="1:90" x14ac:dyDescent="0.3">
      <c r="A953" t="s">
        <v>72</v>
      </c>
      <c r="B953" t="s">
        <v>73</v>
      </c>
      <c r="C953" t="s">
        <v>74</v>
      </c>
      <c r="E953" t="str">
        <f>"080065838571"</f>
        <v>080065838571</v>
      </c>
      <c r="F953" s="3">
        <v>45817</v>
      </c>
      <c r="G953">
        <v>202603</v>
      </c>
      <c r="H953" t="s">
        <v>75</v>
      </c>
      <c r="I953" t="s">
        <v>76</v>
      </c>
      <c r="J953" t="s">
        <v>77</v>
      </c>
      <c r="K953" t="s">
        <v>78</v>
      </c>
      <c r="L953" t="s">
        <v>106</v>
      </c>
      <c r="M953" t="s">
        <v>107</v>
      </c>
      <c r="N953" t="s">
        <v>1714</v>
      </c>
      <c r="O953" t="s">
        <v>82</v>
      </c>
      <c r="P953" t="str">
        <f>"4170042817                    "</f>
        <v xml:space="preserve">4170042817                    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47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1</v>
      </c>
      <c r="BI953">
        <v>1</v>
      </c>
      <c r="BJ953">
        <v>4.2</v>
      </c>
      <c r="BK953">
        <v>4.5</v>
      </c>
      <c r="BL953">
        <v>156.30000000000001</v>
      </c>
      <c r="BM953">
        <v>23.45</v>
      </c>
      <c r="BN953">
        <v>179.75</v>
      </c>
      <c r="BO953">
        <v>179.75</v>
      </c>
      <c r="BQ953" t="s">
        <v>1715</v>
      </c>
      <c r="BR953" t="s">
        <v>84</v>
      </c>
      <c r="BS953" s="3">
        <v>45818</v>
      </c>
      <c r="BT953" s="4">
        <v>0.43611111111111112</v>
      </c>
      <c r="BU953" t="s">
        <v>1716</v>
      </c>
      <c r="BV953" t="s">
        <v>86</v>
      </c>
      <c r="BY953">
        <v>21000</v>
      </c>
      <c r="CA953" t="s">
        <v>747</v>
      </c>
      <c r="CC953" t="s">
        <v>107</v>
      </c>
      <c r="CD953">
        <v>1</v>
      </c>
      <c r="CE953" t="s">
        <v>166</v>
      </c>
      <c r="CF953" s="3">
        <v>45818</v>
      </c>
      <c r="CI953">
        <v>1</v>
      </c>
      <c r="CJ953">
        <v>1</v>
      </c>
      <c r="CK953">
        <v>21</v>
      </c>
      <c r="CL953" t="s">
        <v>90</v>
      </c>
    </row>
    <row r="954" spans="1:90" x14ac:dyDescent="0.3">
      <c r="A954" t="s">
        <v>72</v>
      </c>
      <c r="B954" t="s">
        <v>73</v>
      </c>
      <c r="C954" t="s">
        <v>74</v>
      </c>
      <c r="E954" t="str">
        <f>"080065838604"</f>
        <v>080065838604</v>
      </c>
      <c r="F954" s="3">
        <v>45817</v>
      </c>
      <c r="G954">
        <v>202603</v>
      </c>
      <c r="H954" t="s">
        <v>75</v>
      </c>
      <c r="I954" t="s">
        <v>76</v>
      </c>
      <c r="J954" t="s">
        <v>77</v>
      </c>
      <c r="K954" t="s">
        <v>78</v>
      </c>
      <c r="L954" t="s">
        <v>75</v>
      </c>
      <c r="M954" t="s">
        <v>76</v>
      </c>
      <c r="N954" t="s">
        <v>112</v>
      </c>
      <c r="O954" t="s">
        <v>82</v>
      </c>
      <c r="P954" t="str">
        <f>"4170042564                    "</f>
        <v xml:space="preserve">4170042564                    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16.32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1</v>
      </c>
      <c r="BI954">
        <v>1</v>
      </c>
      <c r="BJ954">
        <v>1.9</v>
      </c>
      <c r="BK954">
        <v>2</v>
      </c>
      <c r="BL954">
        <v>54.28</v>
      </c>
      <c r="BM954">
        <v>8.14</v>
      </c>
      <c r="BN954">
        <v>62.42</v>
      </c>
      <c r="BO954">
        <v>62.42</v>
      </c>
      <c r="BQ954" t="s">
        <v>113</v>
      </c>
      <c r="BR954" t="s">
        <v>84</v>
      </c>
      <c r="BS954" s="3">
        <v>45818</v>
      </c>
      <c r="BT954" s="4">
        <v>0.35486111111111113</v>
      </c>
      <c r="BU954" t="s">
        <v>1696</v>
      </c>
      <c r="BV954" t="s">
        <v>86</v>
      </c>
      <c r="BY954">
        <v>9600</v>
      </c>
      <c r="CA954" t="s">
        <v>115</v>
      </c>
      <c r="CC954" t="s">
        <v>76</v>
      </c>
      <c r="CD954">
        <v>1600</v>
      </c>
      <c r="CE954" t="s">
        <v>687</v>
      </c>
      <c r="CF954" s="3">
        <v>45818</v>
      </c>
      <c r="CI954">
        <v>1</v>
      </c>
      <c r="CJ954">
        <v>1</v>
      </c>
      <c r="CK954">
        <v>22</v>
      </c>
      <c r="CL954" t="s">
        <v>90</v>
      </c>
    </row>
    <row r="955" spans="1:90" x14ac:dyDescent="0.3">
      <c r="A955" t="s">
        <v>72</v>
      </c>
      <c r="B955" t="s">
        <v>73</v>
      </c>
      <c r="C955" t="s">
        <v>74</v>
      </c>
      <c r="E955" t="str">
        <f>"080065838663"</f>
        <v>080065838663</v>
      </c>
      <c r="F955" s="3">
        <v>45817</v>
      </c>
      <c r="G955">
        <v>202603</v>
      </c>
      <c r="H955" t="s">
        <v>75</v>
      </c>
      <c r="I955" t="s">
        <v>76</v>
      </c>
      <c r="J955" t="s">
        <v>77</v>
      </c>
      <c r="K955" t="s">
        <v>78</v>
      </c>
      <c r="L955" t="s">
        <v>75</v>
      </c>
      <c r="M955" t="s">
        <v>76</v>
      </c>
      <c r="N955" t="s">
        <v>112</v>
      </c>
      <c r="O955" t="s">
        <v>94</v>
      </c>
      <c r="P955" t="str">
        <f>"4170042802                    "</f>
        <v xml:space="preserve">4170042802                    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33.01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1</v>
      </c>
      <c r="BI955">
        <v>17</v>
      </c>
      <c r="BJ955">
        <v>16.3</v>
      </c>
      <c r="BK955">
        <v>17</v>
      </c>
      <c r="BL955">
        <v>115.34</v>
      </c>
      <c r="BM955">
        <v>17.3</v>
      </c>
      <c r="BN955">
        <v>132.63999999999999</v>
      </c>
      <c r="BO955">
        <v>132.63999999999999</v>
      </c>
      <c r="BQ955" t="s">
        <v>113</v>
      </c>
      <c r="BR955" t="s">
        <v>84</v>
      </c>
      <c r="BS955" s="3">
        <v>45818</v>
      </c>
      <c r="BT955" s="4">
        <v>0.35486111111111113</v>
      </c>
      <c r="BU955" t="s">
        <v>1696</v>
      </c>
      <c r="BV955" t="s">
        <v>86</v>
      </c>
      <c r="BY955">
        <v>81675</v>
      </c>
      <c r="CA955" t="s">
        <v>115</v>
      </c>
      <c r="CC955" t="s">
        <v>76</v>
      </c>
      <c r="CD955">
        <v>1600</v>
      </c>
      <c r="CE955" t="s">
        <v>1681</v>
      </c>
      <c r="CF955" s="3">
        <v>45818</v>
      </c>
      <c r="CI955">
        <v>1</v>
      </c>
      <c r="CJ955">
        <v>1</v>
      </c>
      <c r="CK955">
        <v>42</v>
      </c>
      <c r="CL955" t="s">
        <v>90</v>
      </c>
    </row>
    <row r="956" spans="1:90" x14ac:dyDescent="0.3">
      <c r="A956" t="s">
        <v>72</v>
      </c>
      <c r="B956" t="s">
        <v>73</v>
      </c>
      <c r="C956" t="s">
        <v>74</v>
      </c>
      <c r="E956" t="str">
        <f>"080065838767"</f>
        <v>080065838767</v>
      </c>
      <c r="F956" s="3">
        <v>45817</v>
      </c>
      <c r="G956">
        <v>202603</v>
      </c>
      <c r="H956" t="s">
        <v>75</v>
      </c>
      <c r="I956" t="s">
        <v>76</v>
      </c>
      <c r="J956" t="s">
        <v>77</v>
      </c>
      <c r="K956" t="s">
        <v>78</v>
      </c>
      <c r="L956" t="s">
        <v>174</v>
      </c>
      <c r="M956" t="s">
        <v>175</v>
      </c>
      <c r="N956" t="s">
        <v>337</v>
      </c>
      <c r="O956" t="s">
        <v>94</v>
      </c>
      <c r="P956" t="str">
        <f>"4170042576                    "</f>
        <v xml:space="preserve">4170042576                    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40.409999999999997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1</v>
      </c>
      <c r="BI956">
        <v>2</v>
      </c>
      <c r="BJ956">
        <v>2.2999999999999998</v>
      </c>
      <c r="BK956">
        <v>3</v>
      </c>
      <c r="BL956">
        <v>139.96</v>
      </c>
      <c r="BM956">
        <v>20.99</v>
      </c>
      <c r="BN956">
        <v>160.94999999999999</v>
      </c>
      <c r="BO956">
        <v>160.94999999999999</v>
      </c>
      <c r="BQ956" t="s">
        <v>338</v>
      </c>
      <c r="BR956" t="s">
        <v>84</v>
      </c>
      <c r="BS956" s="3">
        <v>45818</v>
      </c>
      <c r="BT956" s="4">
        <v>0.36249999999999999</v>
      </c>
      <c r="BU956" t="s">
        <v>961</v>
      </c>
      <c r="BV956" t="s">
        <v>86</v>
      </c>
      <c r="BY956">
        <v>11400</v>
      </c>
      <c r="CA956" t="s">
        <v>596</v>
      </c>
      <c r="CC956" t="s">
        <v>175</v>
      </c>
      <c r="CD956">
        <v>3608</v>
      </c>
      <c r="CE956" t="s">
        <v>292</v>
      </c>
      <c r="CF956" s="3">
        <v>45819</v>
      </c>
      <c r="CI956">
        <v>1</v>
      </c>
      <c r="CJ956">
        <v>1</v>
      </c>
      <c r="CK956">
        <v>41</v>
      </c>
      <c r="CL956" t="s">
        <v>90</v>
      </c>
    </row>
    <row r="957" spans="1:90" x14ac:dyDescent="0.3">
      <c r="A957" t="s">
        <v>72</v>
      </c>
      <c r="B957" t="s">
        <v>73</v>
      </c>
      <c r="C957" t="s">
        <v>74</v>
      </c>
      <c r="E957" t="str">
        <f>"080065838853"</f>
        <v>080065838853</v>
      </c>
      <c r="F957" s="3">
        <v>45817</v>
      </c>
      <c r="G957">
        <v>202603</v>
      </c>
      <c r="H957" t="s">
        <v>75</v>
      </c>
      <c r="I957" t="s">
        <v>76</v>
      </c>
      <c r="J957" t="s">
        <v>77</v>
      </c>
      <c r="K957" t="s">
        <v>78</v>
      </c>
      <c r="L957" t="s">
        <v>174</v>
      </c>
      <c r="M957" t="s">
        <v>175</v>
      </c>
      <c r="N957" t="s">
        <v>1505</v>
      </c>
      <c r="O957" t="s">
        <v>94</v>
      </c>
      <c r="P957" t="str">
        <f>"4170042621                    "</f>
        <v xml:space="preserve">4170042621                    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52.09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1</v>
      </c>
      <c r="BI957">
        <v>22</v>
      </c>
      <c r="BJ957">
        <v>9.1</v>
      </c>
      <c r="BK957">
        <v>22</v>
      </c>
      <c r="BL957">
        <v>178.8</v>
      </c>
      <c r="BM957">
        <v>26.82</v>
      </c>
      <c r="BN957">
        <v>205.62</v>
      </c>
      <c r="BO957">
        <v>205.62</v>
      </c>
      <c r="BQ957" t="s">
        <v>1506</v>
      </c>
      <c r="BR957" t="s">
        <v>84</v>
      </c>
      <c r="BS957" s="3">
        <v>45818</v>
      </c>
      <c r="BT957" s="4">
        <v>0.58125000000000004</v>
      </c>
      <c r="BU957" t="s">
        <v>1507</v>
      </c>
      <c r="BV957" t="s">
        <v>86</v>
      </c>
      <c r="BY957">
        <v>45486</v>
      </c>
      <c r="CA957" t="s">
        <v>179</v>
      </c>
      <c r="CC957" t="s">
        <v>175</v>
      </c>
      <c r="CD957">
        <v>3610</v>
      </c>
      <c r="CE957" t="s">
        <v>687</v>
      </c>
      <c r="CF957" s="3">
        <v>45819</v>
      </c>
      <c r="CI957">
        <v>1</v>
      </c>
      <c r="CJ957">
        <v>1</v>
      </c>
      <c r="CK957">
        <v>41</v>
      </c>
      <c r="CL957" t="s">
        <v>90</v>
      </c>
    </row>
    <row r="958" spans="1:90" x14ac:dyDescent="0.3">
      <c r="A958" t="s">
        <v>72</v>
      </c>
      <c r="B958" t="s">
        <v>73</v>
      </c>
      <c r="C958" t="s">
        <v>74</v>
      </c>
      <c r="E958" t="str">
        <f>"080065838886"</f>
        <v>080065838886</v>
      </c>
      <c r="F958" s="3">
        <v>45817</v>
      </c>
      <c r="G958">
        <v>202603</v>
      </c>
      <c r="H958" t="s">
        <v>75</v>
      </c>
      <c r="I958" t="s">
        <v>76</v>
      </c>
      <c r="J958" t="s">
        <v>77</v>
      </c>
      <c r="K958" t="s">
        <v>78</v>
      </c>
      <c r="L958" t="s">
        <v>257</v>
      </c>
      <c r="M958" t="s">
        <v>258</v>
      </c>
      <c r="N958" t="s">
        <v>1717</v>
      </c>
      <c r="O958" t="s">
        <v>82</v>
      </c>
      <c r="P958" t="str">
        <f>"4170043043                    "</f>
        <v xml:space="preserve">4170043043                    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40.49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1</v>
      </c>
      <c r="BI958">
        <v>1</v>
      </c>
      <c r="BJ958">
        <v>0.2</v>
      </c>
      <c r="BK958">
        <v>1</v>
      </c>
      <c r="BL958">
        <v>134.65</v>
      </c>
      <c r="BM958">
        <v>20.2</v>
      </c>
      <c r="BN958">
        <v>154.85</v>
      </c>
      <c r="BO958">
        <v>154.85</v>
      </c>
      <c r="BQ958" t="s">
        <v>1718</v>
      </c>
      <c r="BR958" t="s">
        <v>84</v>
      </c>
      <c r="BS958" s="3">
        <v>45818</v>
      </c>
      <c r="BT958" s="4">
        <v>0.39583333333333331</v>
      </c>
      <c r="BU958" t="s">
        <v>1719</v>
      </c>
      <c r="BV958" t="s">
        <v>86</v>
      </c>
      <c r="BY958">
        <v>1200</v>
      </c>
      <c r="CA958" t="s">
        <v>262</v>
      </c>
      <c r="CC958" t="s">
        <v>258</v>
      </c>
      <c r="CD958">
        <v>3900</v>
      </c>
      <c r="CE958" t="s">
        <v>215</v>
      </c>
      <c r="CF958" s="3">
        <v>45818</v>
      </c>
      <c r="CI958">
        <v>1</v>
      </c>
      <c r="CJ958">
        <v>1</v>
      </c>
      <c r="CK958">
        <v>23</v>
      </c>
      <c r="CL958" t="s">
        <v>90</v>
      </c>
    </row>
    <row r="959" spans="1:90" x14ac:dyDescent="0.3">
      <c r="A959" t="s">
        <v>72</v>
      </c>
      <c r="B959" t="s">
        <v>73</v>
      </c>
      <c r="C959" t="s">
        <v>74</v>
      </c>
      <c r="E959" t="str">
        <f>"080065839126"</f>
        <v>080065839126</v>
      </c>
      <c r="F959" s="3">
        <v>45817</v>
      </c>
      <c r="G959">
        <v>202603</v>
      </c>
      <c r="H959" t="s">
        <v>75</v>
      </c>
      <c r="I959" t="s">
        <v>76</v>
      </c>
      <c r="J959" t="s">
        <v>77</v>
      </c>
      <c r="K959" t="s">
        <v>78</v>
      </c>
      <c r="L959" t="s">
        <v>91</v>
      </c>
      <c r="M959" t="s">
        <v>92</v>
      </c>
      <c r="N959" t="s">
        <v>1683</v>
      </c>
      <c r="O959" t="s">
        <v>82</v>
      </c>
      <c r="P959" t="str">
        <f>"4170043034                    "</f>
        <v xml:space="preserve">4170043034                    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20.9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1</v>
      </c>
      <c r="BI959">
        <v>1</v>
      </c>
      <c r="BJ959">
        <v>0.2</v>
      </c>
      <c r="BK959">
        <v>1</v>
      </c>
      <c r="BL959">
        <v>69.5</v>
      </c>
      <c r="BM959">
        <v>10.43</v>
      </c>
      <c r="BN959">
        <v>79.930000000000007</v>
      </c>
      <c r="BO959">
        <v>79.930000000000007</v>
      </c>
      <c r="BQ959" t="s">
        <v>1684</v>
      </c>
      <c r="BR959" t="s">
        <v>84</v>
      </c>
      <c r="BS959" s="3">
        <v>45818</v>
      </c>
      <c r="BT959" s="4">
        <v>0.43402777777777779</v>
      </c>
      <c r="BU959" t="s">
        <v>1685</v>
      </c>
      <c r="BV959" t="s">
        <v>86</v>
      </c>
      <c r="BY959">
        <v>1200</v>
      </c>
      <c r="CA959" t="s">
        <v>1659</v>
      </c>
      <c r="CC959" t="s">
        <v>92</v>
      </c>
      <c r="CD959">
        <v>7925</v>
      </c>
      <c r="CE959" t="s">
        <v>1029</v>
      </c>
      <c r="CF959" s="3">
        <v>45819</v>
      </c>
      <c r="CI959">
        <v>1</v>
      </c>
      <c r="CJ959">
        <v>1</v>
      </c>
      <c r="CK959">
        <v>21</v>
      </c>
      <c r="CL959" t="s">
        <v>90</v>
      </c>
    </row>
    <row r="960" spans="1:90" x14ac:dyDescent="0.3">
      <c r="A960" t="s">
        <v>72</v>
      </c>
      <c r="B960" t="s">
        <v>73</v>
      </c>
      <c r="C960" t="s">
        <v>74</v>
      </c>
      <c r="E960" t="str">
        <f>"080065839172"</f>
        <v>080065839172</v>
      </c>
      <c r="F960" s="3">
        <v>45817</v>
      </c>
      <c r="G960">
        <v>202603</v>
      </c>
      <c r="H960" t="s">
        <v>75</v>
      </c>
      <c r="I960" t="s">
        <v>76</v>
      </c>
      <c r="J960" t="s">
        <v>77</v>
      </c>
      <c r="K960" t="s">
        <v>78</v>
      </c>
      <c r="L960" t="s">
        <v>100</v>
      </c>
      <c r="M960" t="s">
        <v>101</v>
      </c>
      <c r="N960" t="s">
        <v>581</v>
      </c>
      <c r="O960" t="s">
        <v>82</v>
      </c>
      <c r="P960" t="str">
        <f>"4170042642                    "</f>
        <v xml:space="preserve">4170042642                    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31.34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1</v>
      </c>
      <c r="BI960">
        <v>3</v>
      </c>
      <c r="BJ960">
        <v>0.6</v>
      </c>
      <c r="BK960">
        <v>3</v>
      </c>
      <c r="BL960">
        <v>104.22</v>
      </c>
      <c r="BM960">
        <v>15.63</v>
      </c>
      <c r="BN960">
        <v>119.85</v>
      </c>
      <c r="BO960">
        <v>119.85</v>
      </c>
      <c r="BQ960" t="s">
        <v>582</v>
      </c>
      <c r="BR960" t="s">
        <v>84</v>
      </c>
      <c r="BS960" s="3">
        <v>45818</v>
      </c>
      <c r="BT960" s="4">
        <v>0.43125000000000002</v>
      </c>
      <c r="BU960" t="s">
        <v>1613</v>
      </c>
      <c r="BV960" t="s">
        <v>86</v>
      </c>
      <c r="BY960">
        <v>3192</v>
      </c>
      <c r="CA960" t="s">
        <v>235</v>
      </c>
      <c r="CC960" t="s">
        <v>101</v>
      </c>
      <c r="CD960">
        <v>6056</v>
      </c>
      <c r="CE960" t="s">
        <v>292</v>
      </c>
      <c r="CF960" s="3">
        <v>45818</v>
      </c>
      <c r="CI960">
        <v>1</v>
      </c>
      <c r="CJ960">
        <v>1</v>
      </c>
      <c r="CK960">
        <v>21</v>
      </c>
      <c r="CL960" t="s">
        <v>90</v>
      </c>
    </row>
    <row r="961" spans="1:90" x14ac:dyDescent="0.3">
      <c r="A961" t="s">
        <v>72</v>
      </c>
      <c r="B961" t="s">
        <v>73</v>
      </c>
      <c r="C961" t="s">
        <v>74</v>
      </c>
      <c r="E961" t="str">
        <f>"080065839208"</f>
        <v>080065839208</v>
      </c>
      <c r="F961" s="3">
        <v>45817</v>
      </c>
      <c r="G961">
        <v>202603</v>
      </c>
      <c r="H961" t="s">
        <v>75</v>
      </c>
      <c r="I961" t="s">
        <v>76</v>
      </c>
      <c r="J961" t="s">
        <v>77</v>
      </c>
      <c r="K961" t="s">
        <v>78</v>
      </c>
      <c r="L961" t="s">
        <v>91</v>
      </c>
      <c r="M961" t="s">
        <v>92</v>
      </c>
      <c r="N961" t="s">
        <v>763</v>
      </c>
      <c r="O961" t="s">
        <v>82</v>
      </c>
      <c r="P961" t="str">
        <f>"4170042636                    "</f>
        <v xml:space="preserve">4170042636                    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31.34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1</v>
      </c>
      <c r="BI961">
        <v>3</v>
      </c>
      <c r="BJ961">
        <v>0.6</v>
      </c>
      <c r="BK961">
        <v>3</v>
      </c>
      <c r="BL961">
        <v>104.22</v>
      </c>
      <c r="BM961">
        <v>15.63</v>
      </c>
      <c r="BN961">
        <v>119.85</v>
      </c>
      <c r="BO961">
        <v>119.85</v>
      </c>
      <c r="BQ961" t="s">
        <v>764</v>
      </c>
      <c r="BR961" t="s">
        <v>84</v>
      </c>
      <c r="BS961" s="3">
        <v>45818</v>
      </c>
      <c r="BT961" s="4">
        <v>0.57430555555555551</v>
      </c>
      <c r="BU961" t="s">
        <v>765</v>
      </c>
      <c r="BV961" t="s">
        <v>90</v>
      </c>
      <c r="BW961" t="s">
        <v>144</v>
      </c>
      <c r="BX961" t="s">
        <v>1720</v>
      </c>
      <c r="BY961">
        <v>3192</v>
      </c>
      <c r="CA961" t="s">
        <v>767</v>
      </c>
      <c r="CC961" t="s">
        <v>92</v>
      </c>
      <c r="CD961">
        <v>7550</v>
      </c>
      <c r="CE961" t="s">
        <v>292</v>
      </c>
      <c r="CF961" s="3">
        <v>45819</v>
      </c>
      <c r="CI961">
        <v>1</v>
      </c>
      <c r="CJ961">
        <v>1</v>
      </c>
      <c r="CK961">
        <v>21</v>
      </c>
      <c r="CL961" t="s">
        <v>90</v>
      </c>
    </row>
    <row r="962" spans="1:90" x14ac:dyDescent="0.3">
      <c r="A962" t="s">
        <v>72</v>
      </c>
      <c r="B962" t="s">
        <v>73</v>
      </c>
      <c r="C962" t="s">
        <v>74</v>
      </c>
      <c r="E962" t="str">
        <f>"080065839260"</f>
        <v>080065839260</v>
      </c>
      <c r="F962" s="3">
        <v>45817</v>
      </c>
      <c r="G962">
        <v>202603</v>
      </c>
      <c r="H962" t="s">
        <v>75</v>
      </c>
      <c r="I962" t="s">
        <v>76</v>
      </c>
      <c r="J962" t="s">
        <v>77</v>
      </c>
      <c r="K962" t="s">
        <v>78</v>
      </c>
      <c r="L962" t="s">
        <v>75</v>
      </c>
      <c r="M962" t="s">
        <v>76</v>
      </c>
      <c r="N962" t="s">
        <v>112</v>
      </c>
      <c r="O962" t="s">
        <v>82</v>
      </c>
      <c r="P962" t="str">
        <f>"4170042704                    "</f>
        <v xml:space="preserve">4170042704                    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16.32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1</v>
      </c>
      <c r="BI962">
        <v>1</v>
      </c>
      <c r="BJ962">
        <v>1.9</v>
      </c>
      <c r="BK962">
        <v>2</v>
      </c>
      <c r="BL962">
        <v>54.28</v>
      </c>
      <c r="BM962">
        <v>8.14</v>
      </c>
      <c r="BN962">
        <v>62.42</v>
      </c>
      <c r="BO962">
        <v>62.42</v>
      </c>
      <c r="BQ962" t="s">
        <v>113</v>
      </c>
      <c r="BR962" t="s">
        <v>84</v>
      </c>
      <c r="BS962" s="3">
        <v>45818</v>
      </c>
      <c r="BT962" s="4">
        <v>0.35486111111111113</v>
      </c>
      <c r="BU962" t="s">
        <v>1696</v>
      </c>
      <c r="BV962" t="s">
        <v>86</v>
      </c>
      <c r="BY962">
        <v>9600</v>
      </c>
      <c r="CA962" t="s">
        <v>115</v>
      </c>
      <c r="CC962" t="s">
        <v>76</v>
      </c>
      <c r="CD962">
        <v>1600</v>
      </c>
      <c r="CE962" t="s">
        <v>687</v>
      </c>
      <c r="CF962" s="3">
        <v>45818</v>
      </c>
      <c r="CI962">
        <v>1</v>
      </c>
      <c r="CJ962">
        <v>1</v>
      </c>
      <c r="CK962">
        <v>22</v>
      </c>
      <c r="CL962" t="s">
        <v>90</v>
      </c>
    </row>
    <row r="963" spans="1:90" x14ac:dyDescent="0.3">
      <c r="A963" t="s">
        <v>72</v>
      </c>
      <c r="B963" t="s">
        <v>73</v>
      </c>
      <c r="C963" t="s">
        <v>74</v>
      </c>
      <c r="E963" t="str">
        <f>"080065839905"</f>
        <v>080065839905</v>
      </c>
      <c r="F963" s="3">
        <v>45817</v>
      </c>
      <c r="G963">
        <v>202603</v>
      </c>
      <c r="H963" t="s">
        <v>75</v>
      </c>
      <c r="I963" t="s">
        <v>76</v>
      </c>
      <c r="J963" t="s">
        <v>77</v>
      </c>
      <c r="K963" t="s">
        <v>78</v>
      </c>
      <c r="L963" t="s">
        <v>100</v>
      </c>
      <c r="M963" t="s">
        <v>101</v>
      </c>
      <c r="N963" t="s">
        <v>726</v>
      </c>
      <c r="O963" t="s">
        <v>82</v>
      </c>
      <c r="P963" t="str">
        <f>"4170042732                    "</f>
        <v xml:space="preserve">4170042732                    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20.9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1</v>
      </c>
      <c r="BI963">
        <v>1</v>
      </c>
      <c r="BJ963">
        <v>0.2</v>
      </c>
      <c r="BK963">
        <v>1</v>
      </c>
      <c r="BL963">
        <v>69.5</v>
      </c>
      <c r="BM963">
        <v>10.43</v>
      </c>
      <c r="BN963">
        <v>79.930000000000007</v>
      </c>
      <c r="BO963">
        <v>79.930000000000007</v>
      </c>
      <c r="BQ963" t="s">
        <v>727</v>
      </c>
      <c r="BR963" t="s">
        <v>84</v>
      </c>
      <c r="BS963" s="3">
        <v>45818</v>
      </c>
      <c r="BT963" s="4">
        <v>0.39791666666666664</v>
      </c>
      <c r="BU963" t="s">
        <v>1721</v>
      </c>
      <c r="BV963" t="s">
        <v>86</v>
      </c>
      <c r="BY963">
        <v>1200</v>
      </c>
      <c r="CA963" t="s">
        <v>223</v>
      </c>
      <c r="CC963" t="s">
        <v>101</v>
      </c>
      <c r="CD963">
        <v>6001</v>
      </c>
      <c r="CE963" t="s">
        <v>215</v>
      </c>
      <c r="CF963" s="3">
        <v>45818</v>
      </c>
      <c r="CI963">
        <v>1</v>
      </c>
      <c r="CJ963">
        <v>1</v>
      </c>
      <c r="CK963">
        <v>21</v>
      </c>
      <c r="CL963" t="s">
        <v>90</v>
      </c>
    </row>
    <row r="964" spans="1:90" x14ac:dyDescent="0.3">
      <c r="A964" t="s">
        <v>72</v>
      </c>
      <c r="B964" t="s">
        <v>73</v>
      </c>
      <c r="C964" t="s">
        <v>74</v>
      </c>
      <c r="E964" t="str">
        <f>"080065839994"</f>
        <v>080065839994</v>
      </c>
      <c r="F964" s="3">
        <v>45817</v>
      </c>
      <c r="G964">
        <v>202603</v>
      </c>
      <c r="H964" t="s">
        <v>75</v>
      </c>
      <c r="I964" t="s">
        <v>76</v>
      </c>
      <c r="J964" t="s">
        <v>77</v>
      </c>
      <c r="K964" t="s">
        <v>78</v>
      </c>
      <c r="L964" t="s">
        <v>91</v>
      </c>
      <c r="M964" t="s">
        <v>92</v>
      </c>
      <c r="N964" t="s">
        <v>763</v>
      </c>
      <c r="O964" t="s">
        <v>82</v>
      </c>
      <c r="P964" t="str">
        <f>"4170042634                    "</f>
        <v xml:space="preserve">4170042634                    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31.34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1</v>
      </c>
      <c r="BI964">
        <v>3</v>
      </c>
      <c r="BJ964">
        <v>0.6</v>
      </c>
      <c r="BK964">
        <v>3</v>
      </c>
      <c r="BL964">
        <v>104.22</v>
      </c>
      <c r="BM964">
        <v>15.63</v>
      </c>
      <c r="BN964">
        <v>119.85</v>
      </c>
      <c r="BO964">
        <v>119.85</v>
      </c>
      <c r="BQ964" t="s">
        <v>764</v>
      </c>
      <c r="BR964" t="s">
        <v>84</v>
      </c>
      <c r="BS964" s="3">
        <v>45818</v>
      </c>
      <c r="BT964" s="4">
        <v>0.57291666666666663</v>
      </c>
      <c r="BU964" t="s">
        <v>765</v>
      </c>
      <c r="BV964" t="s">
        <v>90</v>
      </c>
      <c r="BW964" t="s">
        <v>144</v>
      </c>
      <c r="BX964" t="s">
        <v>1720</v>
      </c>
      <c r="BY964">
        <v>3192</v>
      </c>
      <c r="CA964" t="s">
        <v>767</v>
      </c>
      <c r="CC964" t="s">
        <v>92</v>
      </c>
      <c r="CD964">
        <v>7550</v>
      </c>
      <c r="CE964" t="s">
        <v>292</v>
      </c>
      <c r="CF964" s="3">
        <v>45819</v>
      </c>
      <c r="CI964">
        <v>1</v>
      </c>
      <c r="CJ964">
        <v>1</v>
      </c>
      <c r="CK964">
        <v>21</v>
      </c>
      <c r="CL964" t="s">
        <v>90</v>
      </c>
    </row>
    <row r="965" spans="1:90" x14ac:dyDescent="0.3">
      <c r="A965" t="s">
        <v>72</v>
      </c>
      <c r="B965" t="s">
        <v>73</v>
      </c>
      <c r="C965" t="s">
        <v>74</v>
      </c>
      <c r="E965" t="str">
        <f>"080065840017"</f>
        <v>080065840017</v>
      </c>
      <c r="F965" s="3">
        <v>45817</v>
      </c>
      <c r="G965">
        <v>202603</v>
      </c>
      <c r="H965" t="s">
        <v>75</v>
      </c>
      <c r="I965" t="s">
        <v>76</v>
      </c>
      <c r="J965" t="s">
        <v>77</v>
      </c>
      <c r="K965" t="s">
        <v>78</v>
      </c>
      <c r="L965" t="s">
        <v>239</v>
      </c>
      <c r="M965" t="s">
        <v>240</v>
      </c>
      <c r="N965" t="s">
        <v>241</v>
      </c>
      <c r="O965" t="s">
        <v>82</v>
      </c>
      <c r="P965" t="str">
        <f>"4170042787                    "</f>
        <v xml:space="preserve">4170042787                    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40.49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0</v>
      </c>
      <c r="BF965">
        <v>0</v>
      </c>
      <c r="BG965">
        <v>0</v>
      </c>
      <c r="BH965">
        <v>1</v>
      </c>
      <c r="BI965">
        <v>1</v>
      </c>
      <c r="BJ965">
        <v>0.2</v>
      </c>
      <c r="BK965">
        <v>1</v>
      </c>
      <c r="BL965">
        <v>134.65</v>
      </c>
      <c r="BM965">
        <v>20.2</v>
      </c>
      <c r="BN965">
        <v>154.85</v>
      </c>
      <c r="BO965">
        <v>154.85</v>
      </c>
      <c r="BQ965" t="s">
        <v>242</v>
      </c>
      <c r="BR965" t="s">
        <v>84</v>
      </c>
      <c r="BS965" s="3">
        <v>45818</v>
      </c>
      <c r="BT965" s="4">
        <v>0.51249999999999996</v>
      </c>
      <c r="BU965" t="s">
        <v>584</v>
      </c>
      <c r="BV965" t="s">
        <v>86</v>
      </c>
      <c r="BY965">
        <v>1200</v>
      </c>
      <c r="CA965" t="s">
        <v>244</v>
      </c>
      <c r="CC965" t="s">
        <v>240</v>
      </c>
      <c r="CD965">
        <v>2531</v>
      </c>
      <c r="CE965" t="s">
        <v>215</v>
      </c>
      <c r="CF965" s="3">
        <v>45819</v>
      </c>
      <c r="CI965">
        <v>1</v>
      </c>
      <c r="CJ965">
        <v>1</v>
      </c>
      <c r="CK965">
        <v>23</v>
      </c>
      <c r="CL965" t="s">
        <v>90</v>
      </c>
    </row>
    <row r="966" spans="1:90" x14ac:dyDescent="0.3">
      <c r="A966" t="s">
        <v>72</v>
      </c>
      <c r="B966" t="s">
        <v>73</v>
      </c>
      <c r="C966" t="s">
        <v>74</v>
      </c>
      <c r="E966" t="str">
        <f>"080065840058"</f>
        <v>080065840058</v>
      </c>
      <c r="F966" s="3">
        <v>45817</v>
      </c>
      <c r="G966">
        <v>202603</v>
      </c>
      <c r="H966" t="s">
        <v>75</v>
      </c>
      <c r="I966" t="s">
        <v>76</v>
      </c>
      <c r="J966" t="s">
        <v>77</v>
      </c>
      <c r="K966" t="s">
        <v>78</v>
      </c>
      <c r="L966" t="s">
        <v>331</v>
      </c>
      <c r="M966" t="s">
        <v>332</v>
      </c>
      <c r="N966" t="s">
        <v>1499</v>
      </c>
      <c r="O966" t="s">
        <v>82</v>
      </c>
      <c r="P966" t="str">
        <f>"4170042655                    "</f>
        <v xml:space="preserve">4170042655                    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20.9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1</v>
      </c>
      <c r="BI966">
        <v>1</v>
      </c>
      <c r="BJ966">
        <v>0.2</v>
      </c>
      <c r="BK966">
        <v>1</v>
      </c>
      <c r="BL966">
        <v>69.5</v>
      </c>
      <c r="BM966">
        <v>10.43</v>
      </c>
      <c r="BN966">
        <v>79.930000000000007</v>
      </c>
      <c r="BO966">
        <v>79.930000000000007</v>
      </c>
      <c r="BQ966" t="s">
        <v>1500</v>
      </c>
      <c r="BR966" t="s">
        <v>84</v>
      </c>
      <c r="BS966" s="3">
        <v>45818</v>
      </c>
      <c r="BT966" s="4">
        <v>0.33819444444444446</v>
      </c>
      <c r="BU966" t="s">
        <v>1695</v>
      </c>
      <c r="BV966" t="s">
        <v>86</v>
      </c>
      <c r="BY966">
        <v>1200</v>
      </c>
      <c r="CA966" t="s">
        <v>336</v>
      </c>
      <c r="CC966" t="s">
        <v>332</v>
      </c>
      <c r="CD966">
        <v>4000</v>
      </c>
      <c r="CE966" t="s">
        <v>215</v>
      </c>
      <c r="CF966" s="3">
        <v>45818</v>
      </c>
      <c r="CI966">
        <v>1</v>
      </c>
      <c r="CJ966">
        <v>1</v>
      </c>
      <c r="CK966">
        <v>21</v>
      </c>
      <c r="CL966" t="s">
        <v>90</v>
      </c>
    </row>
    <row r="967" spans="1:90" x14ac:dyDescent="0.3">
      <c r="A967" t="s">
        <v>72</v>
      </c>
      <c r="B967" t="s">
        <v>73</v>
      </c>
      <c r="C967" t="s">
        <v>74</v>
      </c>
      <c r="E967" t="str">
        <f>"080065840074"</f>
        <v>080065840074</v>
      </c>
      <c r="F967" s="3">
        <v>45817</v>
      </c>
      <c r="G967">
        <v>202603</v>
      </c>
      <c r="H967" t="s">
        <v>75</v>
      </c>
      <c r="I967" t="s">
        <v>76</v>
      </c>
      <c r="J967" t="s">
        <v>77</v>
      </c>
      <c r="K967" t="s">
        <v>78</v>
      </c>
      <c r="L967" t="s">
        <v>106</v>
      </c>
      <c r="M967" t="s">
        <v>107</v>
      </c>
      <c r="N967" t="s">
        <v>167</v>
      </c>
      <c r="O967" t="s">
        <v>82</v>
      </c>
      <c r="P967" t="str">
        <f>"4170042608                    "</f>
        <v xml:space="preserve">4170042608                    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31.34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1</v>
      </c>
      <c r="BI967">
        <v>3</v>
      </c>
      <c r="BJ967">
        <v>1.1000000000000001</v>
      </c>
      <c r="BK967">
        <v>3</v>
      </c>
      <c r="BL967">
        <v>104.22</v>
      </c>
      <c r="BM967">
        <v>15.63</v>
      </c>
      <c r="BN967">
        <v>119.85</v>
      </c>
      <c r="BO967">
        <v>119.85</v>
      </c>
      <c r="BQ967" t="s">
        <v>168</v>
      </c>
      <c r="BR967" t="s">
        <v>84</v>
      </c>
      <c r="BS967" s="3">
        <v>45818</v>
      </c>
      <c r="BT967" s="4">
        <v>0.3972222222222222</v>
      </c>
      <c r="BU967" t="s">
        <v>1722</v>
      </c>
      <c r="BV967" t="s">
        <v>86</v>
      </c>
      <c r="BY967">
        <v>5320</v>
      </c>
      <c r="CA967" t="s">
        <v>129</v>
      </c>
      <c r="CC967" t="s">
        <v>107</v>
      </c>
      <c r="CD967">
        <v>1</v>
      </c>
      <c r="CE967" t="s">
        <v>687</v>
      </c>
      <c r="CF967" s="3">
        <v>45818</v>
      </c>
      <c r="CI967">
        <v>1</v>
      </c>
      <c r="CJ967">
        <v>1</v>
      </c>
      <c r="CK967">
        <v>21</v>
      </c>
      <c r="CL967" t="s">
        <v>90</v>
      </c>
    </row>
    <row r="968" spans="1:90" x14ac:dyDescent="0.3">
      <c r="A968" t="s">
        <v>72</v>
      </c>
      <c r="B968" t="s">
        <v>73</v>
      </c>
      <c r="C968" t="s">
        <v>74</v>
      </c>
      <c r="E968" t="str">
        <f>"080065840101"</f>
        <v>080065840101</v>
      </c>
      <c r="F968" s="3">
        <v>45817</v>
      </c>
      <c r="G968">
        <v>202603</v>
      </c>
      <c r="H968" t="s">
        <v>75</v>
      </c>
      <c r="I968" t="s">
        <v>76</v>
      </c>
      <c r="J968" t="s">
        <v>77</v>
      </c>
      <c r="K968" t="s">
        <v>78</v>
      </c>
      <c r="L968" t="s">
        <v>100</v>
      </c>
      <c r="M968" t="s">
        <v>101</v>
      </c>
      <c r="N968" t="s">
        <v>581</v>
      </c>
      <c r="O968" t="s">
        <v>82</v>
      </c>
      <c r="P968" t="str">
        <f>"4170042780                    "</f>
        <v xml:space="preserve">4170042780                    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20.9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1</v>
      </c>
      <c r="BI968">
        <v>1</v>
      </c>
      <c r="BJ968">
        <v>0.2</v>
      </c>
      <c r="BK968">
        <v>1</v>
      </c>
      <c r="BL968">
        <v>69.5</v>
      </c>
      <c r="BM968">
        <v>10.43</v>
      </c>
      <c r="BN968">
        <v>79.930000000000007</v>
      </c>
      <c r="BO968">
        <v>79.930000000000007</v>
      </c>
      <c r="BQ968" t="s">
        <v>582</v>
      </c>
      <c r="BR968" t="s">
        <v>84</v>
      </c>
      <c r="BS968" s="3">
        <v>45818</v>
      </c>
      <c r="BT968" s="4">
        <v>0.43125000000000002</v>
      </c>
      <c r="BU968" t="s">
        <v>1613</v>
      </c>
      <c r="BV968" t="s">
        <v>86</v>
      </c>
      <c r="BY968">
        <v>1200</v>
      </c>
      <c r="CA968" t="s">
        <v>235</v>
      </c>
      <c r="CC968" t="s">
        <v>101</v>
      </c>
      <c r="CD968">
        <v>6056</v>
      </c>
      <c r="CE968" t="s">
        <v>215</v>
      </c>
      <c r="CF968" s="3">
        <v>45818</v>
      </c>
      <c r="CI968">
        <v>1</v>
      </c>
      <c r="CJ968">
        <v>1</v>
      </c>
      <c r="CK968">
        <v>21</v>
      </c>
      <c r="CL968" t="s">
        <v>90</v>
      </c>
    </row>
    <row r="969" spans="1:90" x14ac:dyDescent="0.3">
      <c r="A969" t="s">
        <v>72</v>
      </c>
      <c r="B969" t="s">
        <v>73</v>
      </c>
      <c r="C969" t="s">
        <v>74</v>
      </c>
      <c r="E969" t="str">
        <f>"080065840142"</f>
        <v>080065840142</v>
      </c>
      <c r="F969" s="3">
        <v>45817</v>
      </c>
      <c r="G969">
        <v>202603</v>
      </c>
      <c r="H969" t="s">
        <v>75</v>
      </c>
      <c r="I969" t="s">
        <v>76</v>
      </c>
      <c r="J969" t="s">
        <v>77</v>
      </c>
      <c r="K969" t="s">
        <v>78</v>
      </c>
      <c r="L969" t="s">
        <v>116</v>
      </c>
      <c r="M969" t="s">
        <v>117</v>
      </c>
      <c r="N969" t="s">
        <v>183</v>
      </c>
      <c r="O969" t="s">
        <v>82</v>
      </c>
      <c r="P969" t="str">
        <f>"4170042579                    "</f>
        <v xml:space="preserve">4170042579                    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20.9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1</v>
      </c>
      <c r="BI969">
        <v>2</v>
      </c>
      <c r="BJ969">
        <v>1.1000000000000001</v>
      </c>
      <c r="BK969">
        <v>2</v>
      </c>
      <c r="BL969">
        <v>69.5</v>
      </c>
      <c r="BM969">
        <v>10.43</v>
      </c>
      <c r="BN969">
        <v>79.930000000000007</v>
      </c>
      <c r="BO969">
        <v>79.930000000000007</v>
      </c>
      <c r="BQ969" t="s">
        <v>184</v>
      </c>
      <c r="BR969" t="s">
        <v>84</v>
      </c>
      <c r="BS969" s="3">
        <v>45818</v>
      </c>
      <c r="BT969" s="4">
        <v>0.41666666666666669</v>
      </c>
      <c r="BU969" t="s">
        <v>1278</v>
      </c>
      <c r="BV969" t="s">
        <v>86</v>
      </c>
      <c r="BY969">
        <v>5320</v>
      </c>
      <c r="CA969" t="s">
        <v>186</v>
      </c>
      <c r="CC969" t="s">
        <v>117</v>
      </c>
      <c r="CD969">
        <v>3212</v>
      </c>
      <c r="CE969" t="s">
        <v>292</v>
      </c>
      <c r="CF969" s="3">
        <v>45819</v>
      </c>
      <c r="CI969">
        <v>2</v>
      </c>
      <c r="CJ969">
        <v>1</v>
      </c>
      <c r="CK969">
        <v>21</v>
      </c>
      <c r="CL969" t="s">
        <v>90</v>
      </c>
    </row>
    <row r="970" spans="1:90" x14ac:dyDescent="0.3">
      <c r="A970" t="s">
        <v>72</v>
      </c>
      <c r="B970" t="s">
        <v>73</v>
      </c>
      <c r="C970" t="s">
        <v>74</v>
      </c>
      <c r="E970" t="str">
        <f>"080065840163"</f>
        <v>080065840163</v>
      </c>
      <c r="F970" s="3">
        <v>45817</v>
      </c>
      <c r="G970">
        <v>202603</v>
      </c>
      <c r="H970" t="s">
        <v>75</v>
      </c>
      <c r="I970" t="s">
        <v>76</v>
      </c>
      <c r="J970" t="s">
        <v>77</v>
      </c>
      <c r="K970" t="s">
        <v>78</v>
      </c>
      <c r="L970" t="s">
        <v>91</v>
      </c>
      <c r="M970" t="s">
        <v>92</v>
      </c>
      <c r="N970" t="s">
        <v>327</v>
      </c>
      <c r="O970" t="s">
        <v>82</v>
      </c>
      <c r="P970" t="str">
        <f>"4170042590                    "</f>
        <v xml:space="preserve">4170042590                    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20.9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1</v>
      </c>
      <c r="BI970">
        <v>1</v>
      </c>
      <c r="BJ970">
        <v>0.2</v>
      </c>
      <c r="BK970">
        <v>1</v>
      </c>
      <c r="BL970">
        <v>69.5</v>
      </c>
      <c r="BM970">
        <v>10.43</v>
      </c>
      <c r="BN970">
        <v>79.930000000000007</v>
      </c>
      <c r="BO970">
        <v>79.930000000000007</v>
      </c>
      <c r="BQ970" t="s">
        <v>328</v>
      </c>
      <c r="BR970" t="s">
        <v>84</v>
      </c>
      <c r="BS970" s="3">
        <v>45818</v>
      </c>
      <c r="BT970" s="4">
        <v>0.32500000000000001</v>
      </c>
      <c r="BU970" t="s">
        <v>1035</v>
      </c>
      <c r="BV970" t="s">
        <v>86</v>
      </c>
      <c r="BY970">
        <v>1200</v>
      </c>
      <c r="CA970" t="s">
        <v>330</v>
      </c>
      <c r="CC970" t="s">
        <v>92</v>
      </c>
      <c r="CD970">
        <v>7530</v>
      </c>
      <c r="CE970" t="s">
        <v>215</v>
      </c>
      <c r="CF970" s="3">
        <v>45819</v>
      </c>
      <c r="CI970">
        <v>1</v>
      </c>
      <c r="CJ970">
        <v>1</v>
      </c>
      <c r="CK970">
        <v>21</v>
      </c>
      <c r="CL970" t="s">
        <v>90</v>
      </c>
    </row>
    <row r="971" spans="1:90" x14ac:dyDescent="0.3">
      <c r="A971" t="s">
        <v>72</v>
      </c>
      <c r="B971" t="s">
        <v>73</v>
      </c>
      <c r="C971" t="s">
        <v>74</v>
      </c>
      <c r="E971" t="str">
        <f>"080065840204"</f>
        <v>080065840204</v>
      </c>
      <c r="F971" s="3">
        <v>45817</v>
      </c>
      <c r="G971">
        <v>202603</v>
      </c>
      <c r="H971" t="s">
        <v>75</v>
      </c>
      <c r="I971" t="s">
        <v>76</v>
      </c>
      <c r="J971" t="s">
        <v>77</v>
      </c>
      <c r="K971" t="s">
        <v>78</v>
      </c>
      <c r="L971" t="s">
        <v>91</v>
      </c>
      <c r="M971" t="s">
        <v>92</v>
      </c>
      <c r="N971" t="s">
        <v>419</v>
      </c>
      <c r="O971" t="s">
        <v>82</v>
      </c>
      <c r="P971" t="str">
        <f>"4170042552                    "</f>
        <v xml:space="preserve">4170042552                    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20.9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1</v>
      </c>
      <c r="BI971">
        <v>1</v>
      </c>
      <c r="BJ971">
        <v>1.7</v>
      </c>
      <c r="BK971">
        <v>2</v>
      </c>
      <c r="BL971">
        <v>69.5</v>
      </c>
      <c r="BM971">
        <v>10.43</v>
      </c>
      <c r="BN971">
        <v>79.930000000000007</v>
      </c>
      <c r="BO971">
        <v>79.930000000000007</v>
      </c>
      <c r="BQ971" t="s">
        <v>420</v>
      </c>
      <c r="BR971" t="s">
        <v>84</v>
      </c>
      <c r="BS971" s="3">
        <v>45818</v>
      </c>
      <c r="BT971" s="4">
        <v>0.37083333333333335</v>
      </c>
      <c r="BU971" t="s">
        <v>532</v>
      </c>
      <c r="BV971" t="s">
        <v>86</v>
      </c>
      <c r="BY971">
        <v>8550</v>
      </c>
      <c r="CA971" t="s">
        <v>310</v>
      </c>
      <c r="CC971" t="s">
        <v>92</v>
      </c>
      <c r="CD971">
        <v>7480</v>
      </c>
      <c r="CE971" t="s">
        <v>292</v>
      </c>
      <c r="CF971" s="3">
        <v>45819</v>
      </c>
      <c r="CI971">
        <v>1</v>
      </c>
      <c r="CJ971">
        <v>1</v>
      </c>
      <c r="CK971">
        <v>21</v>
      </c>
      <c r="CL971" t="s">
        <v>90</v>
      </c>
    </row>
    <row r="972" spans="1:90" x14ac:dyDescent="0.3">
      <c r="A972" t="s">
        <v>72</v>
      </c>
      <c r="B972" t="s">
        <v>73</v>
      </c>
      <c r="C972" t="s">
        <v>74</v>
      </c>
      <c r="E972" t="str">
        <f>"080065840211"</f>
        <v>080065840211</v>
      </c>
      <c r="F972" s="3">
        <v>45817</v>
      </c>
      <c r="G972">
        <v>202603</v>
      </c>
      <c r="H972" t="s">
        <v>75</v>
      </c>
      <c r="I972" t="s">
        <v>76</v>
      </c>
      <c r="J972" t="s">
        <v>77</v>
      </c>
      <c r="K972" t="s">
        <v>78</v>
      </c>
      <c r="L972" t="s">
        <v>100</v>
      </c>
      <c r="M972" t="s">
        <v>101</v>
      </c>
      <c r="N972" t="s">
        <v>564</v>
      </c>
      <c r="O972" t="s">
        <v>82</v>
      </c>
      <c r="P972" t="str">
        <f>"4170042738                    "</f>
        <v xml:space="preserve">4170042738                    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20.9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1</v>
      </c>
      <c r="BI972">
        <v>1</v>
      </c>
      <c r="BJ972">
        <v>0.2</v>
      </c>
      <c r="BK972">
        <v>1</v>
      </c>
      <c r="BL972">
        <v>69.5</v>
      </c>
      <c r="BM972">
        <v>10.43</v>
      </c>
      <c r="BN972">
        <v>79.930000000000007</v>
      </c>
      <c r="BO972">
        <v>79.930000000000007</v>
      </c>
      <c r="BQ972" t="s">
        <v>565</v>
      </c>
      <c r="BR972" t="s">
        <v>84</v>
      </c>
      <c r="BS972" s="3">
        <v>45818</v>
      </c>
      <c r="BT972" s="4">
        <v>0.37222222222222223</v>
      </c>
      <c r="BU972" t="s">
        <v>1664</v>
      </c>
      <c r="BV972" t="s">
        <v>86</v>
      </c>
      <c r="BY972">
        <v>1200</v>
      </c>
      <c r="CA972" t="s">
        <v>223</v>
      </c>
      <c r="CC972" t="s">
        <v>101</v>
      </c>
      <c r="CD972">
        <v>6001</v>
      </c>
      <c r="CE972" t="s">
        <v>215</v>
      </c>
      <c r="CF972" s="3">
        <v>45818</v>
      </c>
      <c r="CI972">
        <v>1</v>
      </c>
      <c r="CJ972">
        <v>1</v>
      </c>
      <c r="CK972">
        <v>21</v>
      </c>
      <c r="CL972" t="s">
        <v>90</v>
      </c>
    </row>
    <row r="973" spans="1:90" x14ac:dyDescent="0.3">
      <c r="A973" t="s">
        <v>72</v>
      </c>
      <c r="B973" t="s">
        <v>73</v>
      </c>
      <c r="C973" t="s">
        <v>74</v>
      </c>
      <c r="E973" t="str">
        <f>"080065840285"</f>
        <v>080065840285</v>
      </c>
      <c r="F973" s="3">
        <v>45817</v>
      </c>
      <c r="G973">
        <v>202603</v>
      </c>
      <c r="H973" t="s">
        <v>75</v>
      </c>
      <c r="I973" t="s">
        <v>76</v>
      </c>
      <c r="J973" t="s">
        <v>77</v>
      </c>
      <c r="K973" t="s">
        <v>78</v>
      </c>
      <c r="L973" t="s">
        <v>100</v>
      </c>
      <c r="M973" t="s">
        <v>101</v>
      </c>
      <c r="N973" t="s">
        <v>581</v>
      </c>
      <c r="O973" t="s">
        <v>82</v>
      </c>
      <c r="P973" t="str">
        <f>"4170042736                    "</f>
        <v xml:space="preserve">4170042736                    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20.9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1</v>
      </c>
      <c r="BI973">
        <v>1</v>
      </c>
      <c r="BJ973">
        <v>0.2</v>
      </c>
      <c r="BK973">
        <v>1</v>
      </c>
      <c r="BL973">
        <v>69.5</v>
      </c>
      <c r="BM973">
        <v>10.43</v>
      </c>
      <c r="BN973">
        <v>79.930000000000007</v>
      </c>
      <c r="BO973">
        <v>79.930000000000007</v>
      </c>
      <c r="BQ973" t="s">
        <v>582</v>
      </c>
      <c r="BR973" t="s">
        <v>84</v>
      </c>
      <c r="BS973" s="3">
        <v>45818</v>
      </c>
      <c r="BT973" s="4">
        <v>0.43125000000000002</v>
      </c>
      <c r="BU973" t="s">
        <v>1613</v>
      </c>
      <c r="BV973" t="s">
        <v>86</v>
      </c>
      <c r="BY973">
        <v>1200</v>
      </c>
      <c r="CA973" t="s">
        <v>235</v>
      </c>
      <c r="CC973" t="s">
        <v>101</v>
      </c>
      <c r="CD973">
        <v>6056</v>
      </c>
      <c r="CE973" t="s">
        <v>215</v>
      </c>
      <c r="CF973" s="3">
        <v>45818</v>
      </c>
      <c r="CI973">
        <v>1</v>
      </c>
      <c r="CJ973">
        <v>1</v>
      </c>
      <c r="CK973">
        <v>21</v>
      </c>
      <c r="CL973" t="s">
        <v>90</v>
      </c>
    </row>
    <row r="974" spans="1:90" x14ac:dyDescent="0.3">
      <c r="A974" t="s">
        <v>72</v>
      </c>
      <c r="B974" t="s">
        <v>73</v>
      </c>
      <c r="C974" t="s">
        <v>74</v>
      </c>
      <c r="E974" t="str">
        <f>"080065840287"</f>
        <v>080065840287</v>
      </c>
      <c r="F974" s="3">
        <v>45817</v>
      </c>
      <c r="G974">
        <v>202603</v>
      </c>
      <c r="H974" t="s">
        <v>75</v>
      </c>
      <c r="I974" t="s">
        <v>76</v>
      </c>
      <c r="J974" t="s">
        <v>77</v>
      </c>
      <c r="K974" t="s">
        <v>78</v>
      </c>
      <c r="L974" t="s">
        <v>154</v>
      </c>
      <c r="M974" t="s">
        <v>154</v>
      </c>
      <c r="N974" t="s">
        <v>949</v>
      </c>
      <c r="O974" t="s">
        <v>82</v>
      </c>
      <c r="P974" t="str">
        <f>"4170042560                    "</f>
        <v xml:space="preserve">4170042560                    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40.49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1</v>
      </c>
      <c r="BI974">
        <v>2</v>
      </c>
      <c r="BJ974">
        <v>1.1000000000000001</v>
      </c>
      <c r="BK974">
        <v>2</v>
      </c>
      <c r="BL974">
        <v>134.65</v>
      </c>
      <c r="BM974">
        <v>20.2</v>
      </c>
      <c r="BN974">
        <v>154.85</v>
      </c>
      <c r="BO974">
        <v>154.85</v>
      </c>
      <c r="BQ974" t="s">
        <v>950</v>
      </c>
      <c r="BR974" t="s">
        <v>84</v>
      </c>
      <c r="BS974" s="3">
        <v>45818</v>
      </c>
      <c r="BT974" s="4">
        <v>0.5083333333333333</v>
      </c>
      <c r="BU974" t="s">
        <v>951</v>
      </c>
      <c r="BV974" t="s">
        <v>86</v>
      </c>
      <c r="BY974">
        <v>5320</v>
      </c>
      <c r="CA974" t="s">
        <v>1707</v>
      </c>
      <c r="CC974" t="s">
        <v>154</v>
      </c>
      <c r="CD974">
        <v>7646</v>
      </c>
      <c r="CE974" t="s">
        <v>292</v>
      </c>
      <c r="CF974" s="3">
        <v>45819</v>
      </c>
      <c r="CI974">
        <v>1</v>
      </c>
      <c r="CJ974">
        <v>1</v>
      </c>
      <c r="CK974">
        <v>23</v>
      </c>
      <c r="CL974" t="s">
        <v>90</v>
      </c>
    </row>
    <row r="975" spans="1:90" x14ac:dyDescent="0.3">
      <c r="A975" t="s">
        <v>72</v>
      </c>
      <c r="B975" t="s">
        <v>73</v>
      </c>
      <c r="C975" t="s">
        <v>74</v>
      </c>
      <c r="E975" t="str">
        <f>"080065840334"</f>
        <v>080065840334</v>
      </c>
      <c r="F975" s="3">
        <v>45817</v>
      </c>
      <c r="G975">
        <v>202603</v>
      </c>
      <c r="H975" t="s">
        <v>75</v>
      </c>
      <c r="I975" t="s">
        <v>76</v>
      </c>
      <c r="J975" t="s">
        <v>77</v>
      </c>
      <c r="K975" t="s">
        <v>78</v>
      </c>
      <c r="L975" t="s">
        <v>975</v>
      </c>
      <c r="M975" t="s">
        <v>976</v>
      </c>
      <c r="N975" t="s">
        <v>977</v>
      </c>
      <c r="O975" t="s">
        <v>82</v>
      </c>
      <c r="P975" t="str">
        <f>"4170042692                    "</f>
        <v xml:space="preserve">4170042692                    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40.49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1</v>
      </c>
      <c r="BI975">
        <v>1</v>
      </c>
      <c r="BJ975">
        <v>0.2</v>
      </c>
      <c r="BK975">
        <v>1</v>
      </c>
      <c r="BL975">
        <v>134.65</v>
      </c>
      <c r="BM975">
        <v>20.2</v>
      </c>
      <c r="BN975">
        <v>154.85</v>
      </c>
      <c r="BO975">
        <v>154.85</v>
      </c>
      <c r="BQ975" t="s">
        <v>978</v>
      </c>
      <c r="BR975" t="s">
        <v>84</v>
      </c>
      <c r="BS975" s="3">
        <v>45818</v>
      </c>
      <c r="BT975" s="4">
        <v>0.58472222222222225</v>
      </c>
      <c r="BU975" t="s">
        <v>1723</v>
      </c>
      <c r="BV975" t="s">
        <v>86</v>
      </c>
      <c r="BY975">
        <v>1200</v>
      </c>
      <c r="CA975" t="s">
        <v>980</v>
      </c>
      <c r="CC975" t="s">
        <v>976</v>
      </c>
      <c r="CD975">
        <v>6500</v>
      </c>
      <c r="CE975" t="s">
        <v>215</v>
      </c>
      <c r="CF975" s="3">
        <v>45819</v>
      </c>
      <c r="CI975">
        <v>1</v>
      </c>
      <c r="CJ975">
        <v>1</v>
      </c>
      <c r="CK975">
        <v>23</v>
      </c>
      <c r="CL975" t="s">
        <v>90</v>
      </c>
    </row>
    <row r="976" spans="1:90" x14ac:dyDescent="0.3">
      <c r="A976" t="s">
        <v>72</v>
      </c>
      <c r="B976" t="s">
        <v>73</v>
      </c>
      <c r="C976" t="s">
        <v>74</v>
      </c>
      <c r="E976" t="str">
        <f>"080065840348"</f>
        <v>080065840348</v>
      </c>
      <c r="F976" s="3">
        <v>45817</v>
      </c>
      <c r="G976">
        <v>202603</v>
      </c>
      <c r="H976" t="s">
        <v>75</v>
      </c>
      <c r="I976" t="s">
        <v>76</v>
      </c>
      <c r="J976" t="s">
        <v>77</v>
      </c>
      <c r="K976" t="s">
        <v>78</v>
      </c>
      <c r="L976" t="s">
        <v>116</v>
      </c>
      <c r="M976" t="s">
        <v>117</v>
      </c>
      <c r="N976" t="s">
        <v>183</v>
      </c>
      <c r="O976" t="s">
        <v>82</v>
      </c>
      <c r="P976" t="str">
        <f>"4170042638                    "</f>
        <v xml:space="preserve">4170042638                    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20.9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1</v>
      </c>
      <c r="BI976">
        <v>2</v>
      </c>
      <c r="BJ976">
        <v>0.6</v>
      </c>
      <c r="BK976">
        <v>2</v>
      </c>
      <c r="BL976">
        <v>69.5</v>
      </c>
      <c r="BM976">
        <v>10.43</v>
      </c>
      <c r="BN976">
        <v>79.930000000000007</v>
      </c>
      <c r="BO976">
        <v>79.930000000000007</v>
      </c>
      <c r="BQ976" t="s">
        <v>184</v>
      </c>
      <c r="BR976" t="s">
        <v>84</v>
      </c>
      <c r="BS976" s="3">
        <v>45818</v>
      </c>
      <c r="BT976" s="4">
        <v>0.41666666666666669</v>
      </c>
      <c r="BU976" t="s">
        <v>1278</v>
      </c>
      <c r="BV976" t="s">
        <v>86</v>
      </c>
      <c r="BY976">
        <v>3192</v>
      </c>
      <c r="CA976" t="s">
        <v>186</v>
      </c>
      <c r="CC976" t="s">
        <v>117</v>
      </c>
      <c r="CD976">
        <v>3212</v>
      </c>
      <c r="CE976" t="s">
        <v>292</v>
      </c>
      <c r="CF976" s="3">
        <v>45819</v>
      </c>
      <c r="CI976">
        <v>2</v>
      </c>
      <c r="CJ976">
        <v>1</v>
      </c>
      <c r="CK976">
        <v>21</v>
      </c>
      <c r="CL976" t="s">
        <v>90</v>
      </c>
    </row>
    <row r="977" spans="1:90" x14ac:dyDescent="0.3">
      <c r="A977" t="s">
        <v>72</v>
      </c>
      <c r="B977" t="s">
        <v>73</v>
      </c>
      <c r="C977" t="s">
        <v>74</v>
      </c>
      <c r="E977" t="str">
        <f>"080065840376"</f>
        <v>080065840376</v>
      </c>
      <c r="F977" s="3">
        <v>45817</v>
      </c>
      <c r="G977">
        <v>202603</v>
      </c>
      <c r="H977" t="s">
        <v>75</v>
      </c>
      <c r="I977" t="s">
        <v>76</v>
      </c>
      <c r="J977" t="s">
        <v>77</v>
      </c>
      <c r="K977" t="s">
        <v>78</v>
      </c>
      <c r="L977" t="s">
        <v>116</v>
      </c>
      <c r="M977" t="s">
        <v>117</v>
      </c>
      <c r="N977" t="s">
        <v>183</v>
      </c>
      <c r="O977" t="s">
        <v>82</v>
      </c>
      <c r="P977" t="str">
        <f>"4170042668                    "</f>
        <v xml:space="preserve">4170042668                    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20.9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1</v>
      </c>
      <c r="BI977">
        <v>1</v>
      </c>
      <c r="BJ977">
        <v>0.2</v>
      </c>
      <c r="BK977">
        <v>1</v>
      </c>
      <c r="BL977">
        <v>69.5</v>
      </c>
      <c r="BM977">
        <v>10.43</v>
      </c>
      <c r="BN977">
        <v>79.930000000000007</v>
      </c>
      <c r="BO977">
        <v>79.930000000000007</v>
      </c>
      <c r="BQ977" t="s">
        <v>184</v>
      </c>
      <c r="BR977" t="s">
        <v>84</v>
      </c>
      <c r="BS977" s="3">
        <v>45818</v>
      </c>
      <c r="BT977" s="4">
        <v>0.41666666666666669</v>
      </c>
      <c r="BU977" t="s">
        <v>1278</v>
      </c>
      <c r="BV977" t="s">
        <v>86</v>
      </c>
      <c r="BY977">
        <v>1200</v>
      </c>
      <c r="CA977" t="s">
        <v>186</v>
      </c>
      <c r="CC977" t="s">
        <v>117</v>
      </c>
      <c r="CD977">
        <v>3212</v>
      </c>
      <c r="CE977" t="s">
        <v>215</v>
      </c>
      <c r="CF977" s="3">
        <v>45819</v>
      </c>
      <c r="CI977">
        <v>2</v>
      </c>
      <c r="CJ977">
        <v>1</v>
      </c>
      <c r="CK977">
        <v>21</v>
      </c>
      <c r="CL977" t="s">
        <v>90</v>
      </c>
    </row>
    <row r="978" spans="1:90" x14ac:dyDescent="0.3">
      <c r="A978" t="s">
        <v>72</v>
      </c>
      <c r="B978" t="s">
        <v>73</v>
      </c>
      <c r="C978" t="s">
        <v>74</v>
      </c>
      <c r="E978" t="str">
        <f>"080065840414"</f>
        <v>080065840414</v>
      </c>
      <c r="F978" s="3">
        <v>45817</v>
      </c>
      <c r="G978">
        <v>202603</v>
      </c>
      <c r="H978" t="s">
        <v>75</v>
      </c>
      <c r="I978" t="s">
        <v>76</v>
      </c>
      <c r="J978" t="s">
        <v>77</v>
      </c>
      <c r="K978" t="s">
        <v>78</v>
      </c>
      <c r="L978" t="s">
        <v>100</v>
      </c>
      <c r="M978" t="s">
        <v>101</v>
      </c>
      <c r="N978" t="s">
        <v>781</v>
      </c>
      <c r="O978" t="s">
        <v>82</v>
      </c>
      <c r="P978" t="str">
        <f>"4170042799                    "</f>
        <v xml:space="preserve">4170042799                    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36.56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1</v>
      </c>
      <c r="BI978">
        <v>3</v>
      </c>
      <c r="BJ978">
        <v>3.4</v>
      </c>
      <c r="BK978">
        <v>3.5</v>
      </c>
      <c r="BL978">
        <v>121.58</v>
      </c>
      <c r="BM978">
        <v>18.239999999999998</v>
      </c>
      <c r="BN978">
        <v>139.82</v>
      </c>
      <c r="BO978">
        <v>139.82</v>
      </c>
      <c r="BQ978" t="s">
        <v>782</v>
      </c>
      <c r="BR978" t="s">
        <v>84</v>
      </c>
      <c r="BS978" s="3">
        <v>45818</v>
      </c>
      <c r="BT978" s="4">
        <v>0.40694444444444444</v>
      </c>
      <c r="BU978" t="s">
        <v>783</v>
      </c>
      <c r="BV978" t="s">
        <v>86</v>
      </c>
      <c r="BY978">
        <v>16965</v>
      </c>
      <c r="CA978" t="s">
        <v>283</v>
      </c>
      <c r="CC978" t="s">
        <v>101</v>
      </c>
      <c r="CD978">
        <v>6012</v>
      </c>
      <c r="CE978" t="s">
        <v>687</v>
      </c>
      <c r="CF978" s="3">
        <v>45818</v>
      </c>
      <c r="CI978">
        <v>1</v>
      </c>
      <c r="CJ978">
        <v>1</v>
      </c>
      <c r="CK978">
        <v>21</v>
      </c>
      <c r="CL978" t="s">
        <v>90</v>
      </c>
    </row>
    <row r="979" spans="1:90" x14ac:dyDescent="0.3">
      <c r="A979" t="s">
        <v>72</v>
      </c>
      <c r="B979" t="s">
        <v>73</v>
      </c>
      <c r="C979" t="s">
        <v>74</v>
      </c>
      <c r="E979" t="str">
        <f>"080065840427"</f>
        <v>080065840427</v>
      </c>
      <c r="F979" s="3">
        <v>45817</v>
      </c>
      <c r="G979">
        <v>202603</v>
      </c>
      <c r="H979" t="s">
        <v>75</v>
      </c>
      <c r="I979" t="s">
        <v>76</v>
      </c>
      <c r="J979" t="s">
        <v>77</v>
      </c>
      <c r="K979" t="s">
        <v>78</v>
      </c>
      <c r="L979" t="s">
        <v>91</v>
      </c>
      <c r="M979" t="s">
        <v>92</v>
      </c>
      <c r="N979" t="s">
        <v>419</v>
      </c>
      <c r="O979" t="s">
        <v>82</v>
      </c>
      <c r="P979" t="str">
        <f>"4170042603                    "</f>
        <v xml:space="preserve">4170042603                    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20.9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1</v>
      </c>
      <c r="BI979">
        <v>1</v>
      </c>
      <c r="BJ979">
        <v>0.2</v>
      </c>
      <c r="BK979">
        <v>1</v>
      </c>
      <c r="BL979">
        <v>69.5</v>
      </c>
      <c r="BM979">
        <v>10.43</v>
      </c>
      <c r="BN979">
        <v>79.930000000000007</v>
      </c>
      <c r="BO979">
        <v>79.930000000000007</v>
      </c>
      <c r="BQ979" t="s">
        <v>420</v>
      </c>
      <c r="BR979" t="s">
        <v>84</v>
      </c>
      <c r="BS979" s="3">
        <v>45818</v>
      </c>
      <c r="BT979" s="4">
        <v>0.37083333333333335</v>
      </c>
      <c r="BU979" t="s">
        <v>532</v>
      </c>
      <c r="BV979" t="s">
        <v>86</v>
      </c>
      <c r="BY979">
        <v>1200</v>
      </c>
      <c r="CA979" t="s">
        <v>310</v>
      </c>
      <c r="CC979" t="s">
        <v>92</v>
      </c>
      <c r="CD979">
        <v>7480</v>
      </c>
      <c r="CE979" t="s">
        <v>215</v>
      </c>
      <c r="CF979" s="3">
        <v>45819</v>
      </c>
      <c r="CI979">
        <v>1</v>
      </c>
      <c r="CJ979">
        <v>1</v>
      </c>
      <c r="CK979">
        <v>21</v>
      </c>
      <c r="CL979" t="s">
        <v>90</v>
      </c>
    </row>
    <row r="980" spans="1:90" x14ac:dyDescent="0.3">
      <c r="A980" t="s">
        <v>72</v>
      </c>
      <c r="B980" t="s">
        <v>73</v>
      </c>
      <c r="C980" t="s">
        <v>74</v>
      </c>
      <c r="E980" t="str">
        <f>"080065840474"</f>
        <v>080065840474</v>
      </c>
      <c r="F980" s="3">
        <v>45817</v>
      </c>
      <c r="G980">
        <v>202603</v>
      </c>
      <c r="H980" t="s">
        <v>75</v>
      </c>
      <c r="I980" t="s">
        <v>76</v>
      </c>
      <c r="J980" t="s">
        <v>77</v>
      </c>
      <c r="K980" t="s">
        <v>78</v>
      </c>
      <c r="L980" t="s">
        <v>106</v>
      </c>
      <c r="M980" t="s">
        <v>107</v>
      </c>
      <c r="N980" t="s">
        <v>470</v>
      </c>
      <c r="O980" t="s">
        <v>82</v>
      </c>
      <c r="P980" t="str">
        <f>"4170042783                    "</f>
        <v xml:space="preserve">4170042783                    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20.9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1</v>
      </c>
      <c r="BI980">
        <v>1</v>
      </c>
      <c r="BJ980">
        <v>0.2</v>
      </c>
      <c r="BK980">
        <v>1</v>
      </c>
      <c r="BL980">
        <v>69.5</v>
      </c>
      <c r="BM980">
        <v>10.43</v>
      </c>
      <c r="BN980">
        <v>79.930000000000007</v>
      </c>
      <c r="BO980">
        <v>79.930000000000007</v>
      </c>
      <c r="BQ980" t="s">
        <v>471</v>
      </c>
      <c r="BR980" t="s">
        <v>84</v>
      </c>
      <c r="BS980" s="3">
        <v>45818</v>
      </c>
      <c r="BT980" s="4">
        <v>0.41111111111111109</v>
      </c>
      <c r="BU980" t="s">
        <v>1617</v>
      </c>
      <c r="BV980" t="s">
        <v>86</v>
      </c>
      <c r="BY980">
        <v>1200</v>
      </c>
      <c r="CA980" t="s">
        <v>129</v>
      </c>
      <c r="CC980" t="s">
        <v>107</v>
      </c>
      <c r="CD980">
        <v>82</v>
      </c>
      <c r="CE980" t="s">
        <v>215</v>
      </c>
      <c r="CF980" s="3">
        <v>45818</v>
      </c>
      <c r="CI980">
        <v>1</v>
      </c>
      <c r="CJ980">
        <v>1</v>
      </c>
      <c r="CK980">
        <v>21</v>
      </c>
      <c r="CL980" t="s">
        <v>90</v>
      </c>
    </row>
    <row r="981" spans="1:90" x14ac:dyDescent="0.3">
      <c r="A981" t="s">
        <v>72</v>
      </c>
      <c r="B981" t="s">
        <v>73</v>
      </c>
      <c r="C981" t="s">
        <v>74</v>
      </c>
      <c r="E981" t="str">
        <f>"080065840550"</f>
        <v>080065840550</v>
      </c>
      <c r="F981" s="3">
        <v>45817</v>
      </c>
      <c r="G981">
        <v>202603</v>
      </c>
      <c r="H981" t="s">
        <v>75</v>
      </c>
      <c r="I981" t="s">
        <v>76</v>
      </c>
      <c r="J981" t="s">
        <v>77</v>
      </c>
      <c r="K981" t="s">
        <v>78</v>
      </c>
      <c r="L981" t="s">
        <v>106</v>
      </c>
      <c r="M981" t="s">
        <v>107</v>
      </c>
      <c r="N981" t="s">
        <v>1257</v>
      </c>
      <c r="O981" t="s">
        <v>82</v>
      </c>
      <c r="P981" t="str">
        <f>"4170042741                    "</f>
        <v xml:space="preserve">4170042741                    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20.9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0</v>
      </c>
      <c r="BF981">
        <v>0</v>
      </c>
      <c r="BG981">
        <v>0</v>
      </c>
      <c r="BH981">
        <v>1</v>
      </c>
      <c r="BI981">
        <v>2</v>
      </c>
      <c r="BJ981">
        <v>0.6</v>
      </c>
      <c r="BK981">
        <v>2</v>
      </c>
      <c r="BL981">
        <v>69.5</v>
      </c>
      <c r="BM981">
        <v>10.43</v>
      </c>
      <c r="BN981">
        <v>79.930000000000007</v>
      </c>
      <c r="BO981">
        <v>79.930000000000007</v>
      </c>
      <c r="BQ981" t="s">
        <v>1258</v>
      </c>
      <c r="BR981" t="s">
        <v>84</v>
      </c>
      <c r="BS981" s="3">
        <v>45818</v>
      </c>
      <c r="BT981" s="4">
        <v>0.36041666666666666</v>
      </c>
      <c r="BU981" t="s">
        <v>1724</v>
      </c>
      <c r="BV981" t="s">
        <v>86</v>
      </c>
      <c r="BY981">
        <v>2940</v>
      </c>
      <c r="CA981" t="s">
        <v>111</v>
      </c>
      <c r="CC981" t="s">
        <v>107</v>
      </c>
      <c r="CD981">
        <v>200</v>
      </c>
      <c r="CE981" t="s">
        <v>166</v>
      </c>
      <c r="CF981" s="3">
        <v>45818</v>
      </c>
      <c r="CI981">
        <v>1</v>
      </c>
      <c r="CJ981">
        <v>1</v>
      </c>
      <c r="CK981">
        <v>21</v>
      </c>
      <c r="CL981" t="s">
        <v>90</v>
      </c>
    </row>
    <row r="982" spans="1:90" x14ac:dyDescent="0.3">
      <c r="A982" t="s">
        <v>72</v>
      </c>
      <c r="B982" t="s">
        <v>73</v>
      </c>
      <c r="C982" t="s">
        <v>74</v>
      </c>
      <c r="E982" t="str">
        <f>"080065840617"</f>
        <v>080065840617</v>
      </c>
      <c r="F982" s="3">
        <v>45817</v>
      </c>
      <c r="G982">
        <v>202603</v>
      </c>
      <c r="H982" t="s">
        <v>75</v>
      </c>
      <c r="I982" t="s">
        <v>76</v>
      </c>
      <c r="J982" t="s">
        <v>77</v>
      </c>
      <c r="K982" t="s">
        <v>78</v>
      </c>
      <c r="L982" t="s">
        <v>266</v>
      </c>
      <c r="M982" t="s">
        <v>267</v>
      </c>
      <c r="N982" t="s">
        <v>268</v>
      </c>
      <c r="O982" t="s">
        <v>82</v>
      </c>
      <c r="P982" t="str">
        <f>"4170042742                    "</f>
        <v xml:space="preserve">4170042742                    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41.78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0</v>
      </c>
      <c r="BF982">
        <v>0</v>
      </c>
      <c r="BG982">
        <v>0</v>
      </c>
      <c r="BH982">
        <v>1</v>
      </c>
      <c r="BI982">
        <v>4</v>
      </c>
      <c r="BJ982">
        <v>3.8</v>
      </c>
      <c r="BK982">
        <v>4</v>
      </c>
      <c r="BL982">
        <v>138.94</v>
      </c>
      <c r="BM982">
        <v>20.84</v>
      </c>
      <c r="BN982">
        <v>159.78</v>
      </c>
      <c r="BO982">
        <v>159.78</v>
      </c>
      <c r="BQ982" t="s">
        <v>269</v>
      </c>
      <c r="BR982" t="s">
        <v>84</v>
      </c>
      <c r="BS982" s="3">
        <v>45818</v>
      </c>
      <c r="BT982" s="4">
        <v>0.35625000000000001</v>
      </c>
      <c r="BU982" t="s">
        <v>1555</v>
      </c>
      <c r="BV982" t="s">
        <v>86</v>
      </c>
      <c r="BY982">
        <v>18816</v>
      </c>
      <c r="CA982" t="s">
        <v>271</v>
      </c>
      <c r="CC982" t="s">
        <v>267</v>
      </c>
      <c r="CD982">
        <v>6229</v>
      </c>
      <c r="CE982" t="s">
        <v>166</v>
      </c>
      <c r="CF982" s="3">
        <v>45818</v>
      </c>
      <c r="CI982">
        <v>1</v>
      </c>
      <c r="CJ982">
        <v>1</v>
      </c>
      <c r="CK982">
        <v>21</v>
      </c>
      <c r="CL982" t="s">
        <v>90</v>
      </c>
    </row>
    <row r="983" spans="1:90" x14ac:dyDescent="0.3">
      <c r="A983" t="s">
        <v>72</v>
      </c>
      <c r="B983" t="s">
        <v>73</v>
      </c>
      <c r="C983" t="s">
        <v>74</v>
      </c>
      <c r="E983" t="str">
        <f>"080065841046"</f>
        <v>080065841046</v>
      </c>
      <c r="F983" s="3">
        <v>45817</v>
      </c>
      <c r="G983">
        <v>202603</v>
      </c>
      <c r="H983" t="s">
        <v>75</v>
      </c>
      <c r="I983" t="s">
        <v>76</v>
      </c>
      <c r="J983" t="s">
        <v>77</v>
      </c>
      <c r="K983" t="s">
        <v>78</v>
      </c>
      <c r="L983" t="s">
        <v>159</v>
      </c>
      <c r="M983" t="s">
        <v>160</v>
      </c>
      <c r="N983" t="s">
        <v>409</v>
      </c>
      <c r="O983" t="s">
        <v>82</v>
      </c>
      <c r="P983" t="str">
        <f>"4170042614                    "</f>
        <v xml:space="preserve">4170042614                    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16.32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0</v>
      </c>
      <c r="BF983">
        <v>0</v>
      </c>
      <c r="BG983">
        <v>0</v>
      </c>
      <c r="BH983">
        <v>1</v>
      </c>
      <c r="BI983">
        <v>1</v>
      </c>
      <c r="BJ983">
        <v>1.9</v>
      </c>
      <c r="BK983">
        <v>2</v>
      </c>
      <c r="BL983">
        <v>54.28</v>
      </c>
      <c r="BM983">
        <v>8.14</v>
      </c>
      <c r="BN983">
        <v>62.42</v>
      </c>
      <c r="BO983">
        <v>62.42</v>
      </c>
      <c r="BQ983" t="s">
        <v>410</v>
      </c>
      <c r="BR983" t="s">
        <v>84</v>
      </c>
      <c r="BS983" s="3">
        <v>45818</v>
      </c>
      <c r="BT983" s="4">
        <v>0.36458333333333331</v>
      </c>
      <c r="BU983" t="s">
        <v>967</v>
      </c>
      <c r="BV983" t="s">
        <v>86</v>
      </c>
      <c r="BY983">
        <v>9600</v>
      </c>
      <c r="CA983" t="s">
        <v>444</v>
      </c>
      <c r="CC983" t="s">
        <v>160</v>
      </c>
      <c r="CD983">
        <v>2091</v>
      </c>
      <c r="CE983" t="s">
        <v>1029</v>
      </c>
      <c r="CF983" s="3">
        <v>45818</v>
      </c>
      <c r="CI983">
        <v>1</v>
      </c>
      <c r="CJ983">
        <v>1</v>
      </c>
      <c r="CK983">
        <v>22</v>
      </c>
      <c r="CL983" t="s">
        <v>90</v>
      </c>
    </row>
    <row r="984" spans="1:90" x14ac:dyDescent="0.3">
      <c r="A984" t="s">
        <v>72</v>
      </c>
      <c r="B984" t="s">
        <v>73</v>
      </c>
      <c r="C984" t="s">
        <v>74</v>
      </c>
      <c r="E984" t="str">
        <f>"080065841090"</f>
        <v>080065841090</v>
      </c>
      <c r="F984" s="3">
        <v>45817</v>
      </c>
      <c r="G984">
        <v>202603</v>
      </c>
      <c r="H984" t="s">
        <v>75</v>
      </c>
      <c r="I984" t="s">
        <v>76</v>
      </c>
      <c r="J984" t="s">
        <v>77</v>
      </c>
      <c r="K984" t="s">
        <v>78</v>
      </c>
      <c r="L984" t="s">
        <v>91</v>
      </c>
      <c r="M984" t="s">
        <v>92</v>
      </c>
      <c r="N984" t="s">
        <v>540</v>
      </c>
      <c r="O984" t="s">
        <v>82</v>
      </c>
      <c r="P984" t="str">
        <f>"4170042646                    "</f>
        <v xml:space="preserve">4170042646                    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52.22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0</v>
      </c>
      <c r="BE984">
        <v>0</v>
      </c>
      <c r="BF984">
        <v>0</v>
      </c>
      <c r="BG984">
        <v>0</v>
      </c>
      <c r="BH984">
        <v>1</v>
      </c>
      <c r="BI984">
        <v>5</v>
      </c>
      <c r="BJ984">
        <v>1.7</v>
      </c>
      <c r="BK984">
        <v>5</v>
      </c>
      <c r="BL984">
        <v>173.66</v>
      </c>
      <c r="BM984">
        <v>26.05</v>
      </c>
      <c r="BN984">
        <v>199.71</v>
      </c>
      <c r="BO984">
        <v>199.71</v>
      </c>
      <c r="BQ984" t="s">
        <v>541</v>
      </c>
      <c r="BR984" t="s">
        <v>84</v>
      </c>
      <c r="BS984" s="3">
        <v>45818</v>
      </c>
      <c r="BT984" s="4">
        <v>0.40625</v>
      </c>
      <c r="BU984" t="s">
        <v>1725</v>
      </c>
      <c r="BV984" t="s">
        <v>86</v>
      </c>
      <c r="BY984">
        <v>8512</v>
      </c>
      <c r="CA984" t="s">
        <v>291</v>
      </c>
      <c r="CC984" t="s">
        <v>92</v>
      </c>
      <c r="CD984">
        <v>7441</v>
      </c>
      <c r="CE984" t="s">
        <v>292</v>
      </c>
      <c r="CF984" s="3">
        <v>45819</v>
      </c>
      <c r="CI984">
        <v>1</v>
      </c>
      <c r="CJ984">
        <v>1</v>
      </c>
      <c r="CK984">
        <v>21</v>
      </c>
      <c r="CL984" t="s">
        <v>90</v>
      </c>
    </row>
    <row r="985" spans="1:90" x14ac:dyDescent="0.3">
      <c r="A985" t="s">
        <v>72</v>
      </c>
      <c r="B985" t="s">
        <v>73</v>
      </c>
      <c r="C985" t="s">
        <v>74</v>
      </c>
      <c r="E985" t="str">
        <f>"080065841140"</f>
        <v>080065841140</v>
      </c>
      <c r="F985" s="3">
        <v>45817</v>
      </c>
      <c r="G985">
        <v>202603</v>
      </c>
      <c r="H985" t="s">
        <v>75</v>
      </c>
      <c r="I985" t="s">
        <v>76</v>
      </c>
      <c r="J985" t="s">
        <v>77</v>
      </c>
      <c r="K985" t="s">
        <v>78</v>
      </c>
      <c r="L985" t="s">
        <v>331</v>
      </c>
      <c r="M985" t="s">
        <v>332</v>
      </c>
      <c r="N985" t="s">
        <v>484</v>
      </c>
      <c r="O985" t="s">
        <v>82</v>
      </c>
      <c r="P985" t="str">
        <f>"4170042733                    "</f>
        <v xml:space="preserve">4170042733                    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31.34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0</v>
      </c>
      <c r="BF985">
        <v>0</v>
      </c>
      <c r="BG985">
        <v>0</v>
      </c>
      <c r="BH985">
        <v>1</v>
      </c>
      <c r="BI985">
        <v>3</v>
      </c>
      <c r="BJ985">
        <v>1.7</v>
      </c>
      <c r="BK985">
        <v>3</v>
      </c>
      <c r="BL985">
        <v>104.22</v>
      </c>
      <c r="BM985">
        <v>15.63</v>
      </c>
      <c r="BN985">
        <v>119.85</v>
      </c>
      <c r="BO985">
        <v>119.85</v>
      </c>
      <c r="BQ985" t="s">
        <v>485</v>
      </c>
      <c r="BR985" t="s">
        <v>84</v>
      </c>
      <c r="BS985" s="3">
        <v>45818</v>
      </c>
      <c r="BT985" s="4">
        <v>0.39097222222222222</v>
      </c>
      <c r="BU985" t="s">
        <v>1324</v>
      </c>
      <c r="BV985" t="s">
        <v>86</v>
      </c>
      <c r="BY985">
        <v>8550</v>
      </c>
      <c r="CA985" t="s">
        <v>418</v>
      </c>
      <c r="CC985" t="s">
        <v>332</v>
      </c>
      <c r="CD985">
        <v>4052</v>
      </c>
      <c r="CE985" t="s">
        <v>292</v>
      </c>
      <c r="CF985" s="3">
        <v>45818</v>
      </c>
      <c r="CI985">
        <v>1</v>
      </c>
      <c r="CJ985">
        <v>1</v>
      </c>
      <c r="CK985">
        <v>21</v>
      </c>
      <c r="CL985" t="s">
        <v>90</v>
      </c>
    </row>
    <row r="986" spans="1:90" x14ac:dyDescent="0.3">
      <c r="A986" t="s">
        <v>72</v>
      </c>
      <c r="B986" t="s">
        <v>73</v>
      </c>
      <c r="C986" t="s">
        <v>74</v>
      </c>
      <c r="E986" t="str">
        <f>"080065841179"</f>
        <v>080065841179</v>
      </c>
      <c r="F986" s="3">
        <v>45817</v>
      </c>
      <c r="G986">
        <v>202603</v>
      </c>
      <c r="H986" t="s">
        <v>75</v>
      </c>
      <c r="I986" t="s">
        <v>76</v>
      </c>
      <c r="J986" t="s">
        <v>77</v>
      </c>
      <c r="K986" t="s">
        <v>78</v>
      </c>
      <c r="L986" t="s">
        <v>100</v>
      </c>
      <c r="M986" t="s">
        <v>101</v>
      </c>
      <c r="N986" t="s">
        <v>123</v>
      </c>
      <c r="O986" t="s">
        <v>82</v>
      </c>
      <c r="P986" t="str">
        <f>"4170042768                    "</f>
        <v xml:space="preserve">4170042768                    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20.9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0</v>
      </c>
      <c r="BF986">
        <v>0</v>
      </c>
      <c r="BG986">
        <v>0</v>
      </c>
      <c r="BH986">
        <v>1</v>
      </c>
      <c r="BI986">
        <v>1</v>
      </c>
      <c r="BJ986">
        <v>1.9</v>
      </c>
      <c r="BK986">
        <v>2</v>
      </c>
      <c r="BL986">
        <v>69.5</v>
      </c>
      <c r="BM986">
        <v>10.43</v>
      </c>
      <c r="BN986">
        <v>79.930000000000007</v>
      </c>
      <c r="BO986">
        <v>79.930000000000007</v>
      </c>
      <c r="BQ986" t="s">
        <v>124</v>
      </c>
      <c r="BR986" t="s">
        <v>84</v>
      </c>
      <c r="BS986" s="3">
        <v>45818</v>
      </c>
      <c r="BT986" s="4">
        <v>0.39861111111111114</v>
      </c>
      <c r="BU986" t="s">
        <v>1015</v>
      </c>
      <c r="BV986" t="s">
        <v>86</v>
      </c>
      <c r="BY986">
        <v>9600</v>
      </c>
      <c r="CA986" t="s">
        <v>235</v>
      </c>
      <c r="CC986" t="s">
        <v>101</v>
      </c>
      <c r="CD986">
        <v>6001</v>
      </c>
      <c r="CE986" t="s">
        <v>687</v>
      </c>
      <c r="CF986" s="3">
        <v>45818</v>
      </c>
      <c r="CI986">
        <v>1</v>
      </c>
      <c r="CJ986">
        <v>1</v>
      </c>
      <c r="CK986">
        <v>21</v>
      </c>
      <c r="CL986" t="s">
        <v>90</v>
      </c>
    </row>
    <row r="987" spans="1:90" x14ac:dyDescent="0.3">
      <c r="A987" t="s">
        <v>72</v>
      </c>
      <c r="B987" t="s">
        <v>73</v>
      </c>
      <c r="C987" t="s">
        <v>74</v>
      </c>
      <c r="E987" t="str">
        <f>"080065841210"</f>
        <v>080065841210</v>
      </c>
      <c r="F987" s="3">
        <v>45817</v>
      </c>
      <c r="G987">
        <v>202603</v>
      </c>
      <c r="H987" t="s">
        <v>75</v>
      </c>
      <c r="I987" t="s">
        <v>76</v>
      </c>
      <c r="J987" t="s">
        <v>77</v>
      </c>
      <c r="K987" t="s">
        <v>78</v>
      </c>
      <c r="L987" t="s">
        <v>91</v>
      </c>
      <c r="M987" t="s">
        <v>92</v>
      </c>
      <c r="N987" t="s">
        <v>93</v>
      </c>
      <c r="O987" t="s">
        <v>82</v>
      </c>
      <c r="P987" t="str">
        <f>"4170042753                    "</f>
        <v xml:space="preserve">4170042753                    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20.9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0</v>
      </c>
      <c r="BF987">
        <v>0</v>
      </c>
      <c r="BG987">
        <v>0</v>
      </c>
      <c r="BH987">
        <v>1</v>
      </c>
      <c r="BI987">
        <v>1</v>
      </c>
      <c r="BJ987">
        <v>1.1000000000000001</v>
      </c>
      <c r="BK987">
        <v>1.5</v>
      </c>
      <c r="BL987">
        <v>69.5</v>
      </c>
      <c r="BM987">
        <v>10.43</v>
      </c>
      <c r="BN987">
        <v>79.930000000000007</v>
      </c>
      <c r="BO987">
        <v>79.930000000000007</v>
      </c>
      <c r="BQ987" t="s">
        <v>95</v>
      </c>
      <c r="BR987" t="s">
        <v>84</v>
      </c>
      <c r="BS987" s="3">
        <v>45818</v>
      </c>
      <c r="BT987" s="4">
        <v>0.37152777777777779</v>
      </c>
      <c r="BU987" t="s">
        <v>580</v>
      </c>
      <c r="BV987" t="s">
        <v>86</v>
      </c>
      <c r="BY987">
        <v>5320</v>
      </c>
      <c r="CA987" t="s">
        <v>543</v>
      </c>
      <c r="CC987" t="s">
        <v>92</v>
      </c>
      <c r="CD987">
        <v>7441</v>
      </c>
      <c r="CE987" t="s">
        <v>292</v>
      </c>
      <c r="CF987" s="3">
        <v>45819</v>
      </c>
      <c r="CI987">
        <v>1</v>
      </c>
      <c r="CJ987">
        <v>1</v>
      </c>
      <c r="CK987">
        <v>21</v>
      </c>
      <c r="CL987" t="s">
        <v>90</v>
      </c>
    </row>
    <row r="988" spans="1:90" x14ac:dyDescent="0.3">
      <c r="A988" t="s">
        <v>72</v>
      </c>
      <c r="B988" t="s">
        <v>73</v>
      </c>
      <c r="C988" t="s">
        <v>74</v>
      </c>
      <c r="E988" t="str">
        <f>"080065841222"</f>
        <v>080065841222</v>
      </c>
      <c r="F988" s="3">
        <v>45817</v>
      </c>
      <c r="G988">
        <v>202603</v>
      </c>
      <c r="H988" t="s">
        <v>75</v>
      </c>
      <c r="I988" t="s">
        <v>76</v>
      </c>
      <c r="J988" t="s">
        <v>77</v>
      </c>
      <c r="K988" t="s">
        <v>78</v>
      </c>
      <c r="L988" t="s">
        <v>628</v>
      </c>
      <c r="M988" t="s">
        <v>629</v>
      </c>
      <c r="N988" t="s">
        <v>1726</v>
      </c>
      <c r="O988" t="s">
        <v>82</v>
      </c>
      <c r="P988" t="str">
        <f>"4170042812                    "</f>
        <v xml:space="preserve">4170042812                    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20.9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0</v>
      </c>
      <c r="BF988">
        <v>0</v>
      </c>
      <c r="BG988">
        <v>0</v>
      </c>
      <c r="BH988">
        <v>1</v>
      </c>
      <c r="BI988">
        <v>1</v>
      </c>
      <c r="BJ988">
        <v>0.2</v>
      </c>
      <c r="BK988">
        <v>1</v>
      </c>
      <c r="BL988">
        <v>69.5</v>
      </c>
      <c r="BM988">
        <v>10.43</v>
      </c>
      <c r="BN988">
        <v>79.930000000000007</v>
      </c>
      <c r="BO988">
        <v>79.930000000000007</v>
      </c>
      <c r="BQ988" t="s">
        <v>1727</v>
      </c>
      <c r="BR988" t="s">
        <v>84</v>
      </c>
      <c r="BS988" s="3">
        <v>45818</v>
      </c>
      <c r="BT988" s="4">
        <v>0.41944444444444445</v>
      </c>
      <c r="BU988" t="s">
        <v>1390</v>
      </c>
      <c r="BV988" t="s">
        <v>86</v>
      </c>
      <c r="BY988">
        <v>1200</v>
      </c>
      <c r="CA988" t="s">
        <v>223</v>
      </c>
      <c r="CC988" t="s">
        <v>629</v>
      </c>
      <c r="CD988">
        <v>6220</v>
      </c>
      <c r="CE988" t="s">
        <v>215</v>
      </c>
      <c r="CF988" s="3">
        <v>45818</v>
      </c>
      <c r="CI988">
        <v>1</v>
      </c>
      <c r="CJ988">
        <v>1</v>
      </c>
      <c r="CK988">
        <v>21</v>
      </c>
      <c r="CL988" t="s">
        <v>90</v>
      </c>
    </row>
    <row r="989" spans="1:90" x14ac:dyDescent="0.3">
      <c r="A989" t="s">
        <v>72</v>
      </c>
      <c r="B989" t="s">
        <v>73</v>
      </c>
      <c r="C989" t="s">
        <v>74</v>
      </c>
      <c r="E989" t="str">
        <f>"080065841241"</f>
        <v>080065841241</v>
      </c>
      <c r="F989" s="3">
        <v>45817</v>
      </c>
      <c r="G989">
        <v>202603</v>
      </c>
      <c r="H989" t="s">
        <v>75</v>
      </c>
      <c r="I989" t="s">
        <v>76</v>
      </c>
      <c r="J989" t="s">
        <v>77</v>
      </c>
      <c r="K989" t="s">
        <v>78</v>
      </c>
      <c r="L989" t="s">
        <v>91</v>
      </c>
      <c r="M989" t="s">
        <v>92</v>
      </c>
      <c r="N989" t="s">
        <v>763</v>
      </c>
      <c r="O989" t="s">
        <v>82</v>
      </c>
      <c r="P989" t="str">
        <f>"4170042631                    "</f>
        <v xml:space="preserve">4170042631                    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31.34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0</v>
      </c>
      <c r="BF989">
        <v>0</v>
      </c>
      <c r="BG989">
        <v>0</v>
      </c>
      <c r="BH989">
        <v>1</v>
      </c>
      <c r="BI989">
        <v>3</v>
      </c>
      <c r="BJ989">
        <v>1.1000000000000001</v>
      </c>
      <c r="BK989">
        <v>3</v>
      </c>
      <c r="BL989">
        <v>104.22</v>
      </c>
      <c r="BM989">
        <v>15.63</v>
      </c>
      <c r="BN989">
        <v>119.85</v>
      </c>
      <c r="BO989">
        <v>119.85</v>
      </c>
      <c r="BQ989" t="s">
        <v>764</v>
      </c>
      <c r="BR989" t="s">
        <v>84</v>
      </c>
      <c r="BS989" s="3">
        <v>45818</v>
      </c>
      <c r="BT989" s="4">
        <v>0.57222222222222219</v>
      </c>
      <c r="BU989" t="s">
        <v>765</v>
      </c>
      <c r="BV989" t="s">
        <v>90</v>
      </c>
      <c r="BW989" t="s">
        <v>144</v>
      </c>
      <c r="BX989" t="s">
        <v>1720</v>
      </c>
      <c r="BY989">
        <v>5320</v>
      </c>
      <c r="CA989" t="s">
        <v>767</v>
      </c>
      <c r="CC989" t="s">
        <v>92</v>
      </c>
      <c r="CD989">
        <v>7550</v>
      </c>
      <c r="CE989" t="s">
        <v>292</v>
      </c>
      <c r="CF989" s="3">
        <v>45819</v>
      </c>
      <c r="CI989">
        <v>1</v>
      </c>
      <c r="CJ989">
        <v>1</v>
      </c>
      <c r="CK989">
        <v>21</v>
      </c>
      <c r="CL989" t="s">
        <v>90</v>
      </c>
    </row>
    <row r="990" spans="1:90" x14ac:dyDescent="0.3">
      <c r="A990" t="s">
        <v>72</v>
      </c>
      <c r="B990" t="s">
        <v>73</v>
      </c>
      <c r="C990" t="s">
        <v>74</v>
      </c>
      <c r="E990" t="str">
        <f>"080065841251"</f>
        <v>080065841251</v>
      </c>
      <c r="F990" s="3">
        <v>45817</v>
      </c>
      <c r="G990">
        <v>202603</v>
      </c>
      <c r="H990" t="s">
        <v>75</v>
      </c>
      <c r="I990" t="s">
        <v>76</v>
      </c>
      <c r="J990" t="s">
        <v>77</v>
      </c>
      <c r="K990" t="s">
        <v>78</v>
      </c>
      <c r="L990" t="s">
        <v>116</v>
      </c>
      <c r="M990" t="s">
        <v>117</v>
      </c>
      <c r="N990" t="s">
        <v>1016</v>
      </c>
      <c r="O990" t="s">
        <v>82</v>
      </c>
      <c r="P990" t="str">
        <f>"4170042661                    "</f>
        <v xml:space="preserve">4170042661                    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20.9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0</v>
      </c>
      <c r="BF990">
        <v>0</v>
      </c>
      <c r="BG990">
        <v>0</v>
      </c>
      <c r="BH990">
        <v>1</v>
      </c>
      <c r="BI990">
        <v>1</v>
      </c>
      <c r="BJ990">
        <v>0.2</v>
      </c>
      <c r="BK990">
        <v>1</v>
      </c>
      <c r="BL990">
        <v>69.5</v>
      </c>
      <c r="BM990">
        <v>10.43</v>
      </c>
      <c r="BN990">
        <v>79.930000000000007</v>
      </c>
      <c r="BO990">
        <v>79.930000000000007</v>
      </c>
      <c r="BQ990" t="s">
        <v>1017</v>
      </c>
      <c r="BR990" t="s">
        <v>84</v>
      </c>
      <c r="BS990" s="3">
        <v>45818</v>
      </c>
      <c r="BT990" s="4">
        <v>0.41666666666666669</v>
      </c>
      <c r="BU990" t="s">
        <v>1674</v>
      </c>
      <c r="BV990" t="s">
        <v>86</v>
      </c>
      <c r="BY990">
        <v>1200</v>
      </c>
      <c r="CA990" t="s">
        <v>121</v>
      </c>
      <c r="CC990" t="s">
        <v>117</v>
      </c>
      <c r="CD990">
        <v>3201</v>
      </c>
      <c r="CE990" t="s">
        <v>215</v>
      </c>
      <c r="CF990" s="3">
        <v>45819</v>
      </c>
      <c r="CI990">
        <v>1</v>
      </c>
      <c r="CJ990">
        <v>1</v>
      </c>
      <c r="CK990">
        <v>21</v>
      </c>
      <c r="CL990" t="s">
        <v>90</v>
      </c>
    </row>
    <row r="991" spans="1:90" x14ac:dyDescent="0.3">
      <c r="A991" t="s">
        <v>72</v>
      </c>
      <c r="B991" t="s">
        <v>73</v>
      </c>
      <c r="C991" t="s">
        <v>74</v>
      </c>
      <c r="E991" t="str">
        <f>"080065841270"</f>
        <v>080065841270</v>
      </c>
      <c r="F991" s="3">
        <v>45817</v>
      </c>
      <c r="G991">
        <v>202603</v>
      </c>
      <c r="H991" t="s">
        <v>75</v>
      </c>
      <c r="I991" t="s">
        <v>76</v>
      </c>
      <c r="J991" t="s">
        <v>77</v>
      </c>
      <c r="K991" t="s">
        <v>78</v>
      </c>
      <c r="L991" t="s">
        <v>91</v>
      </c>
      <c r="M991" t="s">
        <v>92</v>
      </c>
      <c r="N991" t="s">
        <v>763</v>
      </c>
      <c r="O991" t="s">
        <v>82</v>
      </c>
      <c r="P991" t="str">
        <f>"4170042746                    "</f>
        <v xml:space="preserve">4170042746                    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20.9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0</v>
      </c>
      <c r="BF991">
        <v>0</v>
      </c>
      <c r="BG991">
        <v>0</v>
      </c>
      <c r="BH991">
        <v>1</v>
      </c>
      <c r="BI991">
        <v>1</v>
      </c>
      <c r="BJ991">
        <v>0.2</v>
      </c>
      <c r="BK991">
        <v>1</v>
      </c>
      <c r="BL991">
        <v>69.5</v>
      </c>
      <c r="BM991">
        <v>10.43</v>
      </c>
      <c r="BN991">
        <v>79.930000000000007</v>
      </c>
      <c r="BO991">
        <v>79.930000000000007</v>
      </c>
      <c r="BQ991" t="s">
        <v>764</v>
      </c>
      <c r="BR991" t="s">
        <v>84</v>
      </c>
      <c r="BS991" s="3">
        <v>45818</v>
      </c>
      <c r="BT991" s="4">
        <v>0.57152777777777775</v>
      </c>
      <c r="BU991" t="s">
        <v>765</v>
      </c>
      <c r="BV991" t="s">
        <v>90</v>
      </c>
      <c r="BW991" t="s">
        <v>144</v>
      </c>
      <c r="BX991" t="s">
        <v>1720</v>
      </c>
      <c r="BY991">
        <v>1200</v>
      </c>
      <c r="CA991" t="s">
        <v>767</v>
      </c>
      <c r="CC991" t="s">
        <v>92</v>
      </c>
      <c r="CD991">
        <v>7550</v>
      </c>
      <c r="CE991" t="s">
        <v>215</v>
      </c>
      <c r="CF991" s="3">
        <v>45819</v>
      </c>
      <c r="CI991">
        <v>1</v>
      </c>
      <c r="CJ991">
        <v>1</v>
      </c>
      <c r="CK991">
        <v>21</v>
      </c>
      <c r="CL991" t="s">
        <v>90</v>
      </c>
    </row>
    <row r="992" spans="1:90" x14ac:dyDescent="0.3">
      <c r="A992" t="s">
        <v>72</v>
      </c>
      <c r="B992" t="s">
        <v>73</v>
      </c>
      <c r="C992" t="s">
        <v>74</v>
      </c>
      <c r="E992" t="str">
        <f>"080065841276"</f>
        <v>080065841276</v>
      </c>
      <c r="F992" s="3">
        <v>45817</v>
      </c>
      <c r="G992">
        <v>202603</v>
      </c>
      <c r="H992" t="s">
        <v>75</v>
      </c>
      <c r="I992" t="s">
        <v>76</v>
      </c>
      <c r="J992" t="s">
        <v>77</v>
      </c>
      <c r="K992" t="s">
        <v>78</v>
      </c>
      <c r="L992" t="s">
        <v>91</v>
      </c>
      <c r="M992" t="s">
        <v>92</v>
      </c>
      <c r="N992" t="s">
        <v>763</v>
      </c>
      <c r="O992" t="s">
        <v>82</v>
      </c>
      <c r="P992" t="str">
        <f>"4170042630                    "</f>
        <v xml:space="preserve">4170042630                    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62.66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0</v>
      </c>
      <c r="BF992">
        <v>0</v>
      </c>
      <c r="BG992">
        <v>0</v>
      </c>
      <c r="BH992">
        <v>1</v>
      </c>
      <c r="BI992">
        <v>6</v>
      </c>
      <c r="BJ992">
        <v>1.7</v>
      </c>
      <c r="BK992">
        <v>6</v>
      </c>
      <c r="BL992">
        <v>208.38</v>
      </c>
      <c r="BM992">
        <v>31.26</v>
      </c>
      <c r="BN992">
        <v>239.64</v>
      </c>
      <c r="BO992">
        <v>239.64</v>
      </c>
      <c r="BQ992" t="s">
        <v>764</v>
      </c>
      <c r="BR992" t="s">
        <v>84</v>
      </c>
      <c r="BS992" s="3">
        <v>45818</v>
      </c>
      <c r="BT992" s="4">
        <v>0.57361111111111107</v>
      </c>
      <c r="BU992" t="s">
        <v>765</v>
      </c>
      <c r="BV992" t="s">
        <v>90</v>
      </c>
      <c r="BW992" t="s">
        <v>144</v>
      </c>
      <c r="BX992" t="s">
        <v>1720</v>
      </c>
      <c r="BY992">
        <v>8512</v>
      </c>
      <c r="CA992" t="s">
        <v>767</v>
      </c>
      <c r="CC992" t="s">
        <v>92</v>
      </c>
      <c r="CD992">
        <v>7550</v>
      </c>
      <c r="CE992" t="s">
        <v>687</v>
      </c>
      <c r="CF992" s="3">
        <v>45819</v>
      </c>
      <c r="CI992">
        <v>1</v>
      </c>
      <c r="CJ992">
        <v>1</v>
      </c>
      <c r="CK992">
        <v>21</v>
      </c>
      <c r="CL992" t="s">
        <v>90</v>
      </c>
    </row>
    <row r="993" spans="1:90" x14ac:dyDescent="0.3">
      <c r="A993" t="s">
        <v>72</v>
      </c>
      <c r="B993" t="s">
        <v>73</v>
      </c>
      <c r="C993" t="s">
        <v>74</v>
      </c>
      <c r="E993" t="str">
        <f>"080065841389"</f>
        <v>080065841389</v>
      </c>
      <c r="F993" s="3">
        <v>45817</v>
      </c>
      <c r="G993">
        <v>202603</v>
      </c>
      <c r="H993" t="s">
        <v>75</v>
      </c>
      <c r="I993" t="s">
        <v>76</v>
      </c>
      <c r="J993" t="s">
        <v>77</v>
      </c>
      <c r="K993" t="s">
        <v>78</v>
      </c>
      <c r="L993" t="s">
        <v>91</v>
      </c>
      <c r="M993" t="s">
        <v>92</v>
      </c>
      <c r="N993" t="s">
        <v>763</v>
      </c>
      <c r="O993" t="s">
        <v>82</v>
      </c>
      <c r="P993" t="str">
        <f>"4170042632                    "</f>
        <v xml:space="preserve">4170042632                    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62.66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1</v>
      </c>
      <c r="BI993">
        <v>6</v>
      </c>
      <c r="BJ993">
        <v>1.7</v>
      </c>
      <c r="BK993">
        <v>6</v>
      </c>
      <c r="BL993">
        <v>208.38</v>
      </c>
      <c r="BM993">
        <v>31.26</v>
      </c>
      <c r="BN993">
        <v>239.64</v>
      </c>
      <c r="BO993">
        <v>239.64</v>
      </c>
      <c r="BQ993" t="s">
        <v>764</v>
      </c>
      <c r="BR993" t="s">
        <v>84</v>
      </c>
      <c r="BS993" s="3">
        <v>45818</v>
      </c>
      <c r="BT993" s="4">
        <v>0.57499999999999996</v>
      </c>
      <c r="BU993" t="s">
        <v>765</v>
      </c>
      <c r="BV993" t="s">
        <v>90</v>
      </c>
      <c r="BW993" t="s">
        <v>144</v>
      </c>
      <c r="BX993" t="s">
        <v>1720</v>
      </c>
      <c r="BY993">
        <v>8512</v>
      </c>
      <c r="CA993" t="s">
        <v>767</v>
      </c>
      <c r="CC993" t="s">
        <v>92</v>
      </c>
      <c r="CD993">
        <v>7550</v>
      </c>
      <c r="CE993" t="s">
        <v>687</v>
      </c>
      <c r="CF993" s="3">
        <v>45819</v>
      </c>
      <c r="CI993">
        <v>1</v>
      </c>
      <c r="CJ993">
        <v>1</v>
      </c>
      <c r="CK993">
        <v>21</v>
      </c>
      <c r="CL993" t="s">
        <v>90</v>
      </c>
    </row>
    <row r="994" spans="1:90" x14ac:dyDescent="0.3">
      <c r="A994" t="s">
        <v>72</v>
      </c>
      <c r="B994" t="s">
        <v>73</v>
      </c>
      <c r="C994" t="s">
        <v>74</v>
      </c>
      <c r="E994" t="str">
        <f>"080065841418"</f>
        <v>080065841418</v>
      </c>
      <c r="F994" s="3">
        <v>45817</v>
      </c>
      <c r="G994">
        <v>202603</v>
      </c>
      <c r="H994" t="s">
        <v>75</v>
      </c>
      <c r="I994" t="s">
        <v>76</v>
      </c>
      <c r="J994" t="s">
        <v>77</v>
      </c>
      <c r="K994" t="s">
        <v>78</v>
      </c>
      <c r="L994" t="s">
        <v>302</v>
      </c>
      <c r="M994" t="s">
        <v>303</v>
      </c>
      <c r="N994" t="s">
        <v>1728</v>
      </c>
      <c r="O994" t="s">
        <v>82</v>
      </c>
      <c r="P994" t="str">
        <f>"4170042593                    "</f>
        <v xml:space="preserve">4170042593                    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40.49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1</v>
      </c>
      <c r="BI994">
        <v>1</v>
      </c>
      <c r="BJ994">
        <v>0.2</v>
      </c>
      <c r="BK994">
        <v>1</v>
      </c>
      <c r="BL994">
        <v>134.65</v>
      </c>
      <c r="BM994">
        <v>20.2</v>
      </c>
      <c r="BN994">
        <v>154.85</v>
      </c>
      <c r="BO994">
        <v>154.85</v>
      </c>
      <c r="BQ994" t="s">
        <v>1729</v>
      </c>
      <c r="BR994" t="s">
        <v>84</v>
      </c>
      <c r="BS994" s="3">
        <v>45818</v>
      </c>
      <c r="BT994" s="4">
        <v>0.4152777777777778</v>
      </c>
      <c r="BU994" t="s">
        <v>1730</v>
      </c>
      <c r="BV994" t="s">
        <v>86</v>
      </c>
      <c r="BY994">
        <v>1200</v>
      </c>
      <c r="CC994" t="s">
        <v>303</v>
      </c>
      <c r="CD994">
        <v>300</v>
      </c>
      <c r="CE994" t="s">
        <v>215</v>
      </c>
      <c r="CF994" s="3">
        <v>45819</v>
      </c>
      <c r="CI994">
        <v>1</v>
      </c>
      <c r="CJ994">
        <v>1</v>
      </c>
      <c r="CK994">
        <v>23</v>
      </c>
      <c r="CL994" t="s">
        <v>90</v>
      </c>
    </row>
    <row r="995" spans="1:90" x14ac:dyDescent="0.3">
      <c r="A995" t="s">
        <v>72</v>
      </c>
      <c r="B995" t="s">
        <v>73</v>
      </c>
      <c r="C995" t="s">
        <v>74</v>
      </c>
      <c r="E995" t="str">
        <f>"080065841427"</f>
        <v>080065841427</v>
      </c>
      <c r="F995" s="3">
        <v>45817</v>
      </c>
      <c r="G995">
        <v>202603</v>
      </c>
      <c r="H995" t="s">
        <v>75</v>
      </c>
      <c r="I995" t="s">
        <v>76</v>
      </c>
      <c r="J995" t="s">
        <v>77</v>
      </c>
      <c r="K995" t="s">
        <v>78</v>
      </c>
      <c r="L995" t="s">
        <v>159</v>
      </c>
      <c r="M995" t="s">
        <v>160</v>
      </c>
      <c r="N995" t="s">
        <v>793</v>
      </c>
      <c r="O995" t="s">
        <v>276</v>
      </c>
      <c r="P995" t="str">
        <f>"4170042677                    "</f>
        <v xml:space="preserve">4170042677                    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16.329999999999998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2</v>
      </c>
      <c r="BI995">
        <v>7</v>
      </c>
      <c r="BJ995">
        <v>6.7</v>
      </c>
      <c r="BK995">
        <v>7</v>
      </c>
      <c r="BL995">
        <v>54.3</v>
      </c>
      <c r="BM995">
        <v>8.15</v>
      </c>
      <c r="BN995">
        <v>62.45</v>
      </c>
      <c r="BO995">
        <v>62.45</v>
      </c>
      <c r="BQ995" t="s">
        <v>794</v>
      </c>
      <c r="BR995" t="s">
        <v>84</v>
      </c>
      <c r="BS995" s="3">
        <v>45818</v>
      </c>
      <c r="BT995" s="4">
        <v>0.39583333333333331</v>
      </c>
      <c r="BU995" t="s">
        <v>1731</v>
      </c>
      <c r="BV995" t="s">
        <v>86</v>
      </c>
      <c r="BY995">
        <v>33345</v>
      </c>
      <c r="CA995" t="s">
        <v>233</v>
      </c>
      <c r="CC995" t="s">
        <v>160</v>
      </c>
      <c r="CD995">
        <v>2094</v>
      </c>
      <c r="CE995" t="s">
        <v>687</v>
      </c>
      <c r="CF995" s="3">
        <v>45818</v>
      </c>
      <c r="CI995">
        <v>1</v>
      </c>
      <c r="CJ995">
        <v>1</v>
      </c>
      <c r="CK995">
        <v>32</v>
      </c>
      <c r="CL995" t="s">
        <v>90</v>
      </c>
    </row>
    <row r="996" spans="1:90" x14ac:dyDescent="0.3">
      <c r="A996" t="s">
        <v>72</v>
      </c>
      <c r="B996" t="s">
        <v>73</v>
      </c>
      <c r="C996" t="s">
        <v>74</v>
      </c>
      <c r="E996" t="str">
        <f>"080065841475"</f>
        <v>080065841475</v>
      </c>
      <c r="F996" s="3">
        <v>45817</v>
      </c>
      <c r="G996">
        <v>202603</v>
      </c>
      <c r="H996" t="s">
        <v>75</v>
      </c>
      <c r="I996" t="s">
        <v>76</v>
      </c>
      <c r="J996" t="s">
        <v>77</v>
      </c>
      <c r="K996" t="s">
        <v>78</v>
      </c>
      <c r="L996" t="s">
        <v>91</v>
      </c>
      <c r="M996" t="s">
        <v>92</v>
      </c>
      <c r="N996" t="s">
        <v>841</v>
      </c>
      <c r="O996" t="s">
        <v>82</v>
      </c>
      <c r="P996" t="str">
        <f>"4170043012                    "</f>
        <v xml:space="preserve">4170043012                    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20.9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1</v>
      </c>
      <c r="BI996">
        <v>1</v>
      </c>
      <c r="BJ996">
        <v>1.7</v>
      </c>
      <c r="BK996">
        <v>2</v>
      </c>
      <c r="BL996">
        <v>69.5</v>
      </c>
      <c r="BM996">
        <v>10.43</v>
      </c>
      <c r="BN996">
        <v>79.930000000000007</v>
      </c>
      <c r="BO996">
        <v>79.930000000000007</v>
      </c>
      <c r="BQ996" t="s">
        <v>842</v>
      </c>
      <c r="BR996" t="s">
        <v>84</v>
      </c>
      <c r="BS996" s="3">
        <v>45819</v>
      </c>
      <c r="BT996" s="4">
        <v>0.39791666666666664</v>
      </c>
      <c r="BU996" t="s">
        <v>1732</v>
      </c>
      <c r="BV996" t="s">
        <v>90</v>
      </c>
      <c r="BW996" t="s">
        <v>144</v>
      </c>
      <c r="BX996" t="s">
        <v>1365</v>
      </c>
      <c r="BY996">
        <v>8512</v>
      </c>
      <c r="CA996" t="s">
        <v>844</v>
      </c>
      <c r="CC996" t="s">
        <v>92</v>
      </c>
      <c r="CD996">
        <v>7535</v>
      </c>
      <c r="CE996" t="s">
        <v>687</v>
      </c>
      <c r="CI996">
        <v>1</v>
      </c>
      <c r="CJ996">
        <v>2</v>
      </c>
      <c r="CK996">
        <v>21</v>
      </c>
      <c r="CL996" t="s">
        <v>90</v>
      </c>
    </row>
    <row r="997" spans="1:90" x14ac:dyDescent="0.3">
      <c r="A997" t="s">
        <v>72</v>
      </c>
      <c r="B997" t="s">
        <v>73</v>
      </c>
      <c r="C997" t="s">
        <v>74</v>
      </c>
      <c r="E997" t="str">
        <f>"080065841525"</f>
        <v>080065841525</v>
      </c>
      <c r="F997" s="3">
        <v>45817</v>
      </c>
      <c r="G997">
        <v>202603</v>
      </c>
      <c r="H997" t="s">
        <v>75</v>
      </c>
      <c r="I997" t="s">
        <v>76</v>
      </c>
      <c r="J997" t="s">
        <v>77</v>
      </c>
      <c r="K997" t="s">
        <v>78</v>
      </c>
      <c r="L997" t="s">
        <v>321</v>
      </c>
      <c r="M997" t="s">
        <v>322</v>
      </c>
      <c r="N997" t="s">
        <v>1088</v>
      </c>
      <c r="O997" t="s">
        <v>82</v>
      </c>
      <c r="P997" t="str">
        <f>"4170042605                    "</f>
        <v xml:space="preserve">4170042605                    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29.39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1</v>
      </c>
      <c r="BI997">
        <v>1</v>
      </c>
      <c r="BJ997">
        <v>1.7</v>
      </c>
      <c r="BK997">
        <v>2</v>
      </c>
      <c r="BL997">
        <v>97.74</v>
      </c>
      <c r="BM997">
        <v>14.66</v>
      </c>
      <c r="BN997">
        <v>112.4</v>
      </c>
      <c r="BO997">
        <v>112.4</v>
      </c>
      <c r="BQ997" t="s">
        <v>1089</v>
      </c>
      <c r="BR997" t="s">
        <v>84</v>
      </c>
      <c r="BS997" s="3">
        <v>45818</v>
      </c>
      <c r="BT997" s="4">
        <v>0.39791666666666664</v>
      </c>
      <c r="BU997" t="s">
        <v>1494</v>
      </c>
      <c r="BV997" t="s">
        <v>86</v>
      </c>
      <c r="BY997">
        <v>8512</v>
      </c>
      <c r="CA997" t="s">
        <v>326</v>
      </c>
      <c r="CC997" t="s">
        <v>322</v>
      </c>
      <c r="CD997">
        <v>1441</v>
      </c>
      <c r="CE997" t="s">
        <v>292</v>
      </c>
      <c r="CF997" s="3">
        <v>45819</v>
      </c>
      <c r="CI997">
        <v>1</v>
      </c>
      <c r="CJ997">
        <v>1</v>
      </c>
      <c r="CK997">
        <v>24</v>
      </c>
      <c r="CL997" t="s">
        <v>90</v>
      </c>
    </row>
    <row r="998" spans="1:90" x14ac:dyDescent="0.3">
      <c r="A998" t="s">
        <v>72</v>
      </c>
      <c r="B998" t="s">
        <v>73</v>
      </c>
      <c r="C998" t="s">
        <v>74</v>
      </c>
      <c r="E998" t="str">
        <f>"080065841594"</f>
        <v>080065841594</v>
      </c>
      <c r="F998" s="3">
        <v>45817</v>
      </c>
      <c r="G998">
        <v>202603</v>
      </c>
      <c r="H998" t="s">
        <v>75</v>
      </c>
      <c r="I998" t="s">
        <v>76</v>
      </c>
      <c r="J998" t="s">
        <v>77</v>
      </c>
      <c r="K998" t="s">
        <v>78</v>
      </c>
      <c r="L998" t="s">
        <v>331</v>
      </c>
      <c r="M998" t="s">
        <v>332</v>
      </c>
      <c r="N998" t="s">
        <v>480</v>
      </c>
      <c r="O998" t="s">
        <v>82</v>
      </c>
      <c r="P998" t="str">
        <f>"4170042686                    "</f>
        <v xml:space="preserve">4170042686                    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20.9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1</v>
      </c>
      <c r="BI998">
        <v>2</v>
      </c>
      <c r="BJ998">
        <v>1.1000000000000001</v>
      </c>
      <c r="BK998">
        <v>2</v>
      </c>
      <c r="BL998">
        <v>69.5</v>
      </c>
      <c r="BM998">
        <v>10.43</v>
      </c>
      <c r="BN998">
        <v>79.930000000000007</v>
      </c>
      <c r="BO998">
        <v>79.930000000000007</v>
      </c>
      <c r="BQ998" t="s">
        <v>481</v>
      </c>
      <c r="BR998" t="s">
        <v>84</v>
      </c>
      <c r="BS998" s="3">
        <v>45818</v>
      </c>
      <c r="BT998" s="4">
        <v>0.39374999999999999</v>
      </c>
      <c r="BU998" t="s">
        <v>1733</v>
      </c>
      <c r="BV998" t="s">
        <v>86</v>
      </c>
      <c r="BY998">
        <v>5320</v>
      </c>
      <c r="CA998" t="s">
        <v>483</v>
      </c>
      <c r="CC998" t="s">
        <v>332</v>
      </c>
      <c r="CD998">
        <v>4001</v>
      </c>
      <c r="CE998" t="s">
        <v>292</v>
      </c>
      <c r="CF998" s="3">
        <v>45818</v>
      </c>
      <c r="CI998">
        <v>1</v>
      </c>
      <c r="CJ998">
        <v>1</v>
      </c>
      <c r="CK998">
        <v>21</v>
      </c>
      <c r="CL998" t="s">
        <v>90</v>
      </c>
    </row>
    <row r="999" spans="1:90" x14ac:dyDescent="0.3">
      <c r="A999" t="s">
        <v>72</v>
      </c>
      <c r="B999" t="s">
        <v>73</v>
      </c>
      <c r="C999" t="s">
        <v>74</v>
      </c>
      <c r="E999" t="str">
        <f>"080065841637"</f>
        <v>080065841637</v>
      </c>
      <c r="F999" s="3">
        <v>45817</v>
      </c>
      <c r="G999">
        <v>202603</v>
      </c>
      <c r="H999" t="s">
        <v>75</v>
      </c>
      <c r="I999" t="s">
        <v>76</v>
      </c>
      <c r="J999" t="s">
        <v>77</v>
      </c>
      <c r="K999" t="s">
        <v>78</v>
      </c>
      <c r="L999" t="s">
        <v>75</v>
      </c>
      <c r="M999" t="s">
        <v>76</v>
      </c>
      <c r="N999" t="s">
        <v>656</v>
      </c>
      <c r="O999" t="s">
        <v>82</v>
      </c>
      <c r="P999" t="str">
        <f>"4170042681                    "</f>
        <v xml:space="preserve">4170042681                    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16.32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1</v>
      </c>
      <c r="BI999">
        <v>2</v>
      </c>
      <c r="BJ999">
        <v>1.1000000000000001</v>
      </c>
      <c r="BK999">
        <v>2</v>
      </c>
      <c r="BL999">
        <v>54.28</v>
      </c>
      <c r="BM999">
        <v>8.14</v>
      </c>
      <c r="BN999">
        <v>62.42</v>
      </c>
      <c r="BO999">
        <v>62.42</v>
      </c>
      <c r="BQ999" t="s">
        <v>657</v>
      </c>
      <c r="BR999" t="s">
        <v>84</v>
      </c>
      <c r="BS999" s="3">
        <v>45818</v>
      </c>
      <c r="BT999" s="4">
        <v>0.34166666666666667</v>
      </c>
      <c r="BU999" t="s">
        <v>770</v>
      </c>
      <c r="BV999" t="s">
        <v>86</v>
      </c>
      <c r="BY999">
        <v>5320</v>
      </c>
      <c r="CA999" t="s">
        <v>1087</v>
      </c>
      <c r="CC999" t="s">
        <v>76</v>
      </c>
      <c r="CD999">
        <v>1619</v>
      </c>
      <c r="CE999" t="s">
        <v>687</v>
      </c>
      <c r="CF999" s="3">
        <v>45818</v>
      </c>
      <c r="CI999">
        <v>1</v>
      </c>
      <c r="CJ999">
        <v>1</v>
      </c>
      <c r="CK999">
        <v>22</v>
      </c>
      <c r="CL999" t="s">
        <v>90</v>
      </c>
    </row>
    <row r="1000" spans="1:90" x14ac:dyDescent="0.3">
      <c r="A1000" t="s">
        <v>72</v>
      </c>
      <c r="B1000" t="s">
        <v>73</v>
      </c>
      <c r="C1000" t="s">
        <v>74</v>
      </c>
      <c r="E1000" t="str">
        <f>"080065841683"</f>
        <v>080065841683</v>
      </c>
      <c r="F1000" s="3">
        <v>45817</v>
      </c>
      <c r="G1000">
        <v>202603</v>
      </c>
      <c r="H1000" t="s">
        <v>75</v>
      </c>
      <c r="I1000" t="s">
        <v>76</v>
      </c>
      <c r="J1000" t="s">
        <v>77</v>
      </c>
      <c r="K1000" t="s">
        <v>78</v>
      </c>
      <c r="L1000" t="s">
        <v>91</v>
      </c>
      <c r="M1000" t="s">
        <v>92</v>
      </c>
      <c r="N1000" t="s">
        <v>763</v>
      </c>
      <c r="O1000" t="s">
        <v>82</v>
      </c>
      <c r="P1000" t="str">
        <f>"4170042633                    "</f>
        <v xml:space="preserve">4170042633                    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31.34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1</v>
      </c>
      <c r="BI1000">
        <v>3</v>
      </c>
      <c r="BJ1000">
        <v>1.1000000000000001</v>
      </c>
      <c r="BK1000">
        <v>3</v>
      </c>
      <c r="BL1000">
        <v>104.22</v>
      </c>
      <c r="BM1000">
        <v>15.63</v>
      </c>
      <c r="BN1000">
        <v>119.85</v>
      </c>
      <c r="BO1000">
        <v>119.85</v>
      </c>
      <c r="BQ1000" t="s">
        <v>764</v>
      </c>
      <c r="BR1000" t="s">
        <v>84</v>
      </c>
      <c r="BS1000" s="3">
        <v>45818</v>
      </c>
      <c r="BT1000" s="4">
        <v>0.57152777777777775</v>
      </c>
      <c r="BU1000" t="s">
        <v>765</v>
      </c>
      <c r="BV1000" t="s">
        <v>90</v>
      </c>
      <c r="BW1000" t="s">
        <v>144</v>
      </c>
      <c r="BX1000" t="s">
        <v>1720</v>
      </c>
      <c r="BY1000">
        <v>5320</v>
      </c>
      <c r="CA1000" t="s">
        <v>767</v>
      </c>
      <c r="CC1000" t="s">
        <v>92</v>
      </c>
      <c r="CD1000">
        <v>7550</v>
      </c>
      <c r="CE1000" t="s">
        <v>292</v>
      </c>
      <c r="CF1000" s="3">
        <v>45819</v>
      </c>
      <c r="CI1000">
        <v>1</v>
      </c>
      <c r="CJ1000">
        <v>1</v>
      </c>
      <c r="CK1000">
        <v>21</v>
      </c>
      <c r="CL1000" t="s">
        <v>90</v>
      </c>
    </row>
    <row r="1001" spans="1:90" x14ac:dyDescent="0.3">
      <c r="A1001" t="s">
        <v>72</v>
      </c>
      <c r="B1001" t="s">
        <v>73</v>
      </c>
      <c r="C1001" t="s">
        <v>74</v>
      </c>
      <c r="E1001" t="str">
        <f>"080065841707"</f>
        <v>080065841707</v>
      </c>
      <c r="F1001" s="3">
        <v>45817</v>
      </c>
      <c r="G1001">
        <v>202603</v>
      </c>
      <c r="H1001" t="s">
        <v>75</v>
      </c>
      <c r="I1001" t="s">
        <v>76</v>
      </c>
      <c r="J1001" t="s">
        <v>77</v>
      </c>
      <c r="K1001" t="s">
        <v>78</v>
      </c>
      <c r="L1001" t="s">
        <v>159</v>
      </c>
      <c r="M1001" t="s">
        <v>160</v>
      </c>
      <c r="N1001" t="s">
        <v>409</v>
      </c>
      <c r="O1001" t="s">
        <v>276</v>
      </c>
      <c r="P1001" t="str">
        <f>"4170042616                    "</f>
        <v xml:space="preserve">4170042616                    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16.329999999999998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1</v>
      </c>
      <c r="BI1001">
        <v>3</v>
      </c>
      <c r="BJ1001">
        <v>6.9</v>
      </c>
      <c r="BK1001">
        <v>7</v>
      </c>
      <c r="BL1001">
        <v>54.3</v>
      </c>
      <c r="BM1001">
        <v>8.15</v>
      </c>
      <c r="BN1001">
        <v>62.45</v>
      </c>
      <c r="BO1001">
        <v>62.45</v>
      </c>
      <c r="BQ1001" t="s">
        <v>410</v>
      </c>
      <c r="BR1001" t="s">
        <v>84</v>
      </c>
      <c r="BS1001" s="3">
        <v>45818</v>
      </c>
      <c r="BT1001" s="4">
        <v>0.36458333333333331</v>
      </c>
      <c r="BU1001" t="s">
        <v>967</v>
      </c>
      <c r="BV1001" t="s">
        <v>86</v>
      </c>
      <c r="BY1001">
        <v>34680</v>
      </c>
      <c r="CA1001" t="s">
        <v>444</v>
      </c>
      <c r="CC1001" t="s">
        <v>160</v>
      </c>
      <c r="CD1001">
        <v>2091</v>
      </c>
      <c r="CE1001" t="s">
        <v>166</v>
      </c>
      <c r="CF1001" s="3">
        <v>45818</v>
      </c>
      <c r="CI1001">
        <v>1</v>
      </c>
      <c r="CJ1001">
        <v>1</v>
      </c>
      <c r="CK1001">
        <v>32</v>
      </c>
      <c r="CL1001" t="s">
        <v>90</v>
      </c>
    </row>
    <row r="1002" spans="1:90" x14ac:dyDescent="0.3">
      <c r="A1002" t="s">
        <v>72</v>
      </c>
      <c r="B1002" t="s">
        <v>73</v>
      </c>
      <c r="C1002" t="s">
        <v>74</v>
      </c>
      <c r="E1002" t="str">
        <f>"080065841744"</f>
        <v>080065841744</v>
      </c>
      <c r="F1002" s="3">
        <v>45817</v>
      </c>
      <c r="G1002">
        <v>202603</v>
      </c>
      <c r="H1002" t="s">
        <v>75</v>
      </c>
      <c r="I1002" t="s">
        <v>76</v>
      </c>
      <c r="J1002" t="s">
        <v>77</v>
      </c>
      <c r="K1002" t="s">
        <v>78</v>
      </c>
      <c r="L1002" t="s">
        <v>106</v>
      </c>
      <c r="M1002" t="s">
        <v>107</v>
      </c>
      <c r="N1002" t="s">
        <v>495</v>
      </c>
      <c r="O1002" t="s">
        <v>82</v>
      </c>
      <c r="P1002" t="str">
        <f>"4170042781                    "</f>
        <v xml:space="preserve">4170042781                    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57.44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1</v>
      </c>
      <c r="BI1002">
        <v>3</v>
      </c>
      <c r="BJ1002">
        <v>5.0999999999999996</v>
      </c>
      <c r="BK1002">
        <v>5.5</v>
      </c>
      <c r="BL1002">
        <v>191.02</v>
      </c>
      <c r="BM1002">
        <v>28.65</v>
      </c>
      <c r="BN1002">
        <v>219.67</v>
      </c>
      <c r="BO1002">
        <v>219.67</v>
      </c>
      <c r="BQ1002" t="s">
        <v>496</v>
      </c>
      <c r="BR1002" t="s">
        <v>84</v>
      </c>
      <c r="BS1002" s="3">
        <v>45818</v>
      </c>
      <c r="BT1002" s="4">
        <v>0.32291666666666669</v>
      </c>
      <c r="BU1002" t="s">
        <v>497</v>
      </c>
      <c r="BV1002" t="s">
        <v>86</v>
      </c>
      <c r="BY1002">
        <v>25536</v>
      </c>
      <c r="CA1002" t="s">
        <v>316</v>
      </c>
      <c r="CC1002" t="s">
        <v>107</v>
      </c>
      <c r="CD1002">
        <v>2</v>
      </c>
      <c r="CE1002" t="s">
        <v>166</v>
      </c>
      <c r="CF1002" s="3">
        <v>45818</v>
      </c>
      <c r="CI1002">
        <v>1</v>
      </c>
      <c r="CJ1002">
        <v>1</v>
      </c>
      <c r="CK1002">
        <v>21</v>
      </c>
      <c r="CL1002" t="s">
        <v>90</v>
      </c>
    </row>
    <row r="1003" spans="1:90" x14ac:dyDescent="0.3">
      <c r="A1003" t="s">
        <v>72</v>
      </c>
      <c r="B1003" t="s">
        <v>73</v>
      </c>
      <c r="C1003" t="s">
        <v>74</v>
      </c>
      <c r="E1003" t="str">
        <f>"080065842000"</f>
        <v>080065842000</v>
      </c>
      <c r="F1003" s="3">
        <v>45817</v>
      </c>
      <c r="G1003">
        <v>202603</v>
      </c>
      <c r="H1003" t="s">
        <v>75</v>
      </c>
      <c r="I1003" t="s">
        <v>76</v>
      </c>
      <c r="J1003" t="s">
        <v>77</v>
      </c>
      <c r="K1003" t="s">
        <v>78</v>
      </c>
      <c r="L1003" t="s">
        <v>106</v>
      </c>
      <c r="M1003" t="s">
        <v>107</v>
      </c>
      <c r="N1003" t="s">
        <v>495</v>
      </c>
      <c r="O1003" t="s">
        <v>82</v>
      </c>
      <c r="P1003" t="str">
        <f>"4170042727                    "</f>
        <v xml:space="preserve">4170042727                    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20.9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1</v>
      </c>
      <c r="BI1003">
        <v>1</v>
      </c>
      <c r="BJ1003">
        <v>0.2</v>
      </c>
      <c r="BK1003">
        <v>1</v>
      </c>
      <c r="BL1003">
        <v>69.5</v>
      </c>
      <c r="BM1003">
        <v>10.43</v>
      </c>
      <c r="BN1003">
        <v>79.930000000000007</v>
      </c>
      <c r="BO1003">
        <v>79.930000000000007</v>
      </c>
      <c r="BQ1003" t="s">
        <v>496</v>
      </c>
      <c r="BR1003" t="s">
        <v>84</v>
      </c>
      <c r="BS1003" s="3">
        <v>45818</v>
      </c>
      <c r="BT1003" s="4">
        <v>0.32291666666666669</v>
      </c>
      <c r="BU1003" t="s">
        <v>497</v>
      </c>
      <c r="BV1003" t="s">
        <v>86</v>
      </c>
      <c r="BY1003">
        <v>1200</v>
      </c>
      <c r="CA1003" t="s">
        <v>316</v>
      </c>
      <c r="CC1003" t="s">
        <v>107</v>
      </c>
      <c r="CD1003">
        <v>2</v>
      </c>
      <c r="CE1003" t="s">
        <v>215</v>
      </c>
      <c r="CF1003" s="3">
        <v>45818</v>
      </c>
      <c r="CI1003">
        <v>1</v>
      </c>
      <c r="CJ1003">
        <v>1</v>
      </c>
      <c r="CK1003">
        <v>21</v>
      </c>
      <c r="CL1003" t="s">
        <v>90</v>
      </c>
    </row>
    <row r="1004" spans="1:90" x14ac:dyDescent="0.3">
      <c r="A1004" t="s">
        <v>72</v>
      </c>
      <c r="B1004" t="s">
        <v>73</v>
      </c>
      <c r="C1004" t="s">
        <v>74</v>
      </c>
      <c r="E1004" t="str">
        <f>"080065842024"</f>
        <v>080065842024</v>
      </c>
      <c r="F1004" s="3">
        <v>45817</v>
      </c>
      <c r="G1004">
        <v>202603</v>
      </c>
      <c r="H1004" t="s">
        <v>75</v>
      </c>
      <c r="I1004" t="s">
        <v>76</v>
      </c>
      <c r="J1004" t="s">
        <v>77</v>
      </c>
      <c r="K1004" t="s">
        <v>78</v>
      </c>
      <c r="L1004" t="s">
        <v>100</v>
      </c>
      <c r="M1004" t="s">
        <v>101</v>
      </c>
      <c r="N1004" t="s">
        <v>669</v>
      </c>
      <c r="O1004" t="s">
        <v>82</v>
      </c>
      <c r="P1004" t="str">
        <f>"4170042734                    "</f>
        <v xml:space="preserve">4170042734                    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20.9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1</v>
      </c>
      <c r="BI1004">
        <v>1</v>
      </c>
      <c r="BJ1004">
        <v>0.2</v>
      </c>
      <c r="BK1004">
        <v>1</v>
      </c>
      <c r="BL1004">
        <v>69.5</v>
      </c>
      <c r="BM1004">
        <v>10.43</v>
      </c>
      <c r="BN1004">
        <v>79.930000000000007</v>
      </c>
      <c r="BO1004">
        <v>79.930000000000007</v>
      </c>
      <c r="BQ1004" t="s">
        <v>670</v>
      </c>
      <c r="BR1004" t="s">
        <v>84</v>
      </c>
      <c r="BS1004" s="3">
        <v>45818</v>
      </c>
      <c r="BT1004" s="4">
        <v>0.42152777777777778</v>
      </c>
      <c r="BU1004" t="s">
        <v>1697</v>
      </c>
      <c r="BV1004" t="s">
        <v>86</v>
      </c>
      <c r="BY1004">
        <v>1200</v>
      </c>
      <c r="CA1004" t="s">
        <v>283</v>
      </c>
      <c r="CC1004" t="s">
        <v>101</v>
      </c>
      <c r="CD1004">
        <v>6012</v>
      </c>
      <c r="CE1004" t="s">
        <v>215</v>
      </c>
      <c r="CF1004" s="3">
        <v>45818</v>
      </c>
      <c r="CI1004">
        <v>1</v>
      </c>
      <c r="CJ1004">
        <v>1</v>
      </c>
      <c r="CK1004">
        <v>21</v>
      </c>
      <c r="CL1004" t="s">
        <v>90</v>
      </c>
    </row>
    <row r="1005" spans="1:90" x14ac:dyDescent="0.3">
      <c r="A1005" t="s">
        <v>72</v>
      </c>
      <c r="B1005" t="s">
        <v>73</v>
      </c>
      <c r="C1005" t="s">
        <v>74</v>
      </c>
      <c r="E1005" t="str">
        <f>"080065842040"</f>
        <v>080065842040</v>
      </c>
      <c r="F1005" s="3">
        <v>45817</v>
      </c>
      <c r="G1005">
        <v>202603</v>
      </c>
      <c r="H1005" t="s">
        <v>75</v>
      </c>
      <c r="I1005" t="s">
        <v>76</v>
      </c>
      <c r="J1005" t="s">
        <v>77</v>
      </c>
      <c r="K1005" t="s">
        <v>78</v>
      </c>
      <c r="L1005" t="s">
        <v>100</v>
      </c>
      <c r="M1005" t="s">
        <v>101</v>
      </c>
      <c r="N1005" t="s">
        <v>492</v>
      </c>
      <c r="O1005" t="s">
        <v>82</v>
      </c>
      <c r="P1005" t="str">
        <f>"4170042760                    "</f>
        <v xml:space="preserve">4170042760                    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41.78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1</v>
      </c>
      <c r="BI1005">
        <v>4</v>
      </c>
      <c r="BJ1005">
        <v>3.4</v>
      </c>
      <c r="BK1005">
        <v>4</v>
      </c>
      <c r="BL1005">
        <v>138.94</v>
      </c>
      <c r="BM1005">
        <v>20.84</v>
      </c>
      <c r="BN1005">
        <v>159.78</v>
      </c>
      <c r="BO1005">
        <v>159.78</v>
      </c>
      <c r="BQ1005" t="s">
        <v>493</v>
      </c>
      <c r="BR1005" t="s">
        <v>84</v>
      </c>
      <c r="BS1005" s="3">
        <v>45818</v>
      </c>
      <c r="BT1005" s="4">
        <v>0.42708333333333331</v>
      </c>
      <c r="BU1005" t="s">
        <v>981</v>
      </c>
      <c r="BV1005" t="s">
        <v>86</v>
      </c>
      <c r="BY1005">
        <v>16965</v>
      </c>
      <c r="CA1005" t="s">
        <v>394</v>
      </c>
      <c r="CC1005" t="s">
        <v>101</v>
      </c>
      <c r="CD1005">
        <v>6001</v>
      </c>
      <c r="CE1005" t="s">
        <v>687</v>
      </c>
      <c r="CF1005" s="3">
        <v>45818</v>
      </c>
      <c r="CI1005">
        <v>1</v>
      </c>
      <c r="CJ1005">
        <v>1</v>
      </c>
      <c r="CK1005">
        <v>21</v>
      </c>
      <c r="CL1005" t="s">
        <v>90</v>
      </c>
    </row>
    <row r="1006" spans="1:90" x14ac:dyDescent="0.3">
      <c r="A1006" t="s">
        <v>72</v>
      </c>
      <c r="B1006" t="s">
        <v>73</v>
      </c>
      <c r="C1006" t="s">
        <v>74</v>
      </c>
      <c r="E1006" t="str">
        <f>"080065842069"</f>
        <v>080065842069</v>
      </c>
      <c r="F1006" s="3">
        <v>45817</v>
      </c>
      <c r="G1006">
        <v>202603</v>
      </c>
      <c r="H1006" t="s">
        <v>75</v>
      </c>
      <c r="I1006" t="s">
        <v>76</v>
      </c>
      <c r="J1006" t="s">
        <v>77</v>
      </c>
      <c r="K1006" t="s">
        <v>78</v>
      </c>
      <c r="L1006" t="s">
        <v>75</v>
      </c>
      <c r="M1006" t="s">
        <v>76</v>
      </c>
      <c r="N1006" t="s">
        <v>1002</v>
      </c>
      <c r="O1006" t="s">
        <v>82</v>
      </c>
      <c r="P1006" t="str">
        <f>"4170042803                    "</f>
        <v xml:space="preserve">4170042803                    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16.32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1</v>
      </c>
      <c r="BI1006">
        <v>2</v>
      </c>
      <c r="BJ1006">
        <v>1.7</v>
      </c>
      <c r="BK1006">
        <v>2</v>
      </c>
      <c r="BL1006">
        <v>54.28</v>
      </c>
      <c r="BM1006">
        <v>8.14</v>
      </c>
      <c r="BN1006">
        <v>62.42</v>
      </c>
      <c r="BO1006">
        <v>62.42</v>
      </c>
      <c r="BQ1006" t="s">
        <v>1003</v>
      </c>
      <c r="BR1006" t="s">
        <v>84</v>
      </c>
      <c r="BS1006" s="3">
        <v>45818</v>
      </c>
      <c r="BT1006" s="4">
        <v>0.35902777777777778</v>
      </c>
      <c r="BU1006" t="s">
        <v>1051</v>
      </c>
      <c r="BV1006" t="s">
        <v>86</v>
      </c>
      <c r="BY1006">
        <v>8550</v>
      </c>
      <c r="CA1006" t="s">
        <v>1734</v>
      </c>
      <c r="CC1006" t="s">
        <v>76</v>
      </c>
      <c r="CD1006">
        <v>1666</v>
      </c>
      <c r="CE1006" t="s">
        <v>687</v>
      </c>
      <c r="CF1006" s="3">
        <v>45819</v>
      </c>
      <c r="CI1006">
        <v>1</v>
      </c>
      <c r="CJ1006">
        <v>1</v>
      </c>
      <c r="CK1006">
        <v>22</v>
      </c>
      <c r="CL1006" t="s">
        <v>90</v>
      </c>
    </row>
    <row r="1007" spans="1:90" x14ac:dyDescent="0.3">
      <c r="A1007" t="s">
        <v>72</v>
      </c>
      <c r="B1007" t="s">
        <v>73</v>
      </c>
      <c r="C1007" t="s">
        <v>74</v>
      </c>
      <c r="E1007" t="str">
        <f>"080065842107"</f>
        <v>080065842107</v>
      </c>
      <c r="F1007" s="3">
        <v>45817</v>
      </c>
      <c r="G1007">
        <v>202603</v>
      </c>
      <c r="H1007" t="s">
        <v>75</v>
      </c>
      <c r="I1007" t="s">
        <v>76</v>
      </c>
      <c r="J1007" t="s">
        <v>77</v>
      </c>
      <c r="K1007" t="s">
        <v>78</v>
      </c>
      <c r="L1007" t="s">
        <v>331</v>
      </c>
      <c r="M1007" t="s">
        <v>332</v>
      </c>
      <c r="N1007" t="s">
        <v>1499</v>
      </c>
      <c r="O1007" t="s">
        <v>82</v>
      </c>
      <c r="P1007" t="str">
        <f>"4170042786                    "</f>
        <v xml:space="preserve">4170042786                    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41.78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1</v>
      </c>
      <c r="BI1007">
        <v>4</v>
      </c>
      <c r="BJ1007">
        <v>1.1000000000000001</v>
      </c>
      <c r="BK1007">
        <v>4</v>
      </c>
      <c r="BL1007">
        <v>138.94</v>
      </c>
      <c r="BM1007">
        <v>20.84</v>
      </c>
      <c r="BN1007">
        <v>159.78</v>
      </c>
      <c r="BO1007">
        <v>159.78</v>
      </c>
      <c r="BQ1007" t="s">
        <v>1500</v>
      </c>
      <c r="BR1007" t="s">
        <v>84</v>
      </c>
      <c r="BS1007" s="3">
        <v>45818</v>
      </c>
      <c r="BT1007" s="4">
        <v>0.33819444444444446</v>
      </c>
      <c r="BU1007" t="s">
        <v>1695</v>
      </c>
      <c r="BV1007" t="s">
        <v>86</v>
      </c>
      <c r="BY1007">
        <v>5320</v>
      </c>
      <c r="CA1007" t="s">
        <v>336</v>
      </c>
      <c r="CC1007" t="s">
        <v>332</v>
      </c>
      <c r="CD1007">
        <v>4051</v>
      </c>
      <c r="CE1007" t="s">
        <v>687</v>
      </c>
      <c r="CF1007" s="3">
        <v>45818</v>
      </c>
      <c r="CI1007">
        <v>1</v>
      </c>
      <c r="CJ1007">
        <v>1</v>
      </c>
      <c r="CK1007">
        <v>21</v>
      </c>
      <c r="CL1007" t="s">
        <v>90</v>
      </c>
    </row>
    <row r="1008" spans="1:90" x14ac:dyDescent="0.3">
      <c r="A1008" t="s">
        <v>72</v>
      </c>
      <c r="B1008" t="s">
        <v>73</v>
      </c>
      <c r="C1008" t="s">
        <v>74</v>
      </c>
      <c r="E1008" t="str">
        <f>"080065842141"</f>
        <v>080065842141</v>
      </c>
      <c r="F1008" s="3">
        <v>45817</v>
      </c>
      <c r="G1008">
        <v>202603</v>
      </c>
      <c r="H1008" t="s">
        <v>75</v>
      </c>
      <c r="I1008" t="s">
        <v>76</v>
      </c>
      <c r="J1008" t="s">
        <v>77</v>
      </c>
      <c r="K1008" t="s">
        <v>78</v>
      </c>
      <c r="L1008" t="s">
        <v>975</v>
      </c>
      <c r="M1008" t="s">
        <v>976</v>
      </c>
      <c r="N1008" t="s">
        <v>977</v>
      </c>
      <c r="O1008" t="s">
        <v>82</v>
      </c>
      <c r="P1008" t="str">
        <f>"4170042735                    "</f>
        <v xml:space="preserve">4170042735                    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58.77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1</v>
      </c>
      <c r="BI1008">
        <v>3</v>
      </c>
      <c r="BJ1008">
        <v>1.8</v>
      </c>
      <c r="BK1008">
        <v>3</v>
      </c>
      <c r="BL1008">
        <v>195.45</v>
      </c>
      <c r="BM1008">
        <v>29.32</v>
      </c>
      <c r="BN1008">
        <v>224.77</v>
      </c>
      <c r="BO1008">
        <v>224.77</v>
      </c>
      <c r="BQ1008" t="s">
        <v>978</v>
      </c>
      <c r="BR1008" t="s">
        <v>84</v>
      </c>
      <c r="BS1008" s="3">
        <v>45818</v>
      </c>
      <c r="BT1008" s="4">
        <v>0.58472222222222225</v>
      </c>
      <c r="BU1008" t="s">
        <v>1180</v>
      </c>
      <c r="BV1008" t="s">
        <v>86</v>
      </c>
      <c r="BY1008">
        <v>8820</v>
      </c>
      <c r="CA1008" t="s">
        <v>980</v>
      </c>
      <c r="CC1008" t="s">
        <v>976</v>
      </c>
      <c r="CD1008">
        <v>6500</v>
      </c>
      <c r="CE1008" t="s">
        <v>166</v>
      </c>
      <c r="CF1008" s="3">
        <v>45819</v>
      </c>
      <c r="CI1008">
        <v>1</v>
      </c>
      <c r="CJ1008">
        <v>1</v>
      </c>
      <c r="CK1008">
        <v>23</v>
      </c>
      <c r="CL1008" t="s">
        <v>90</v>
      </c>
    </row>
    <row r="1009" spans="1:90" x14ac:dyDescent="0.3">
      <c r="A1009" t="s">
        <v>72</v>
      </c>
      <c r="B1009" t="s">
        <v>73</v>
      </c>
      <c r="C1009" t="s">
        <v>74</v>
      </c>
      <c r="E1009" t="str">
        <f>"R080065700408"</f>
        <v>R080065700408</v>
      </c>
      <c r="F1009" s="3">
        <v>45817</v>
      </c>
      <c r="G1009">
        <v>202603</v>
      </c>
      <c r="H1009" t="s">
        <v>293</v>
      </c>
      <c r="I1009" t="s">
        <v>294</v>
      </c>
      <c r="J1009" t="s">
        <v>381</v>
      </c>
      <c r="K1009" t="s">
        <v>78</v>
      </c>
      <c r="L1009" t="s">
        <v>75</v>
      </c>
      <c r="M1009" t="s">
        <v>76</v>
      </c>
      <c r="N1009" t="s">
        <v>77</v>
      </c>
      <c r="O1009" t="s">
        <v>94</v>
      </c>
      <c r="P1009" t="str">
        <f>"4170041752                    "</f>
        <v xml:space="preserve">4170041752                    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57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1</v>
      </c>
      <c r="BI1009">
        <v>1</v>
      </c>
      <c r="BJ1009">
        <v>0.2</v>
      </c>
      <c r="BK1009">
        <v>1</v>
      </c>
      <c r="BL1009">
        <v>195.12</v>
      </c>
      <c r="BM1009">
        <v>29.27</v>
      </c>
      <c r="BN1009">
        <v>224.39</v>
      </c>
      <c r="BO1009">
        <v>224.39</v>
      </c>
      <c r="BQ1009" t="s">
        <v>84</v>
      </c>
      <c r="BR1009" t="s">
        <v>382</v>
      </c>
      <c r="BS1009" s="3">
        <v>45818</v>
      </c>
      <c r="BT1009" s="4">
        <v>0.37708333333333333</v>
      </c>
      <c r="BU1009" t="s">
        <v>1735</v>
      </c>
      <c r="BV1009" t="s">
        <v>86</v>
      </c>
      <c r="BY1009">
        <v>1200</v>
      </c>
      <c r="BZ1009" t="s">
        <v>97</v>
      </c>
      <c r="CC1009" t="s">
        <v>76</v>
      </c>
      <c r="CD1009">
        <v>1601</v>
      </c>
      <c r="CE1009" t="s">
        <v>89</v>
      </c>
      <c r="CF1009" s="3">
        <v>45818</v>
      </c>
      <c r="CI1009">
        <v>1</v>
      </c>
      <c r="CJ1009">
        <v>1</v>
      </c>
      <c r="CK1009">
        <v>43</v>
      </c>
      <c r="CL1009" t="s">
        <v>90</v>
      </c>
    </row>
    <row r="1010" spans="1:90" x14ac:dyDescent="0.3">
      <c r="A1010" t="s">
        <v>72</v>
      </c>
      <c r="B1010" t="s">
        <v>73</v>
      </c>
      <c r="C1010" t="s">
        <v>74</v>
      </c>
      <c r="E1010" t="str">
        <f>"080065843279"</f>
        <v>080065843279</v>
      </c>
      <c r="F1010" s="3">
        <v>45817</v>
      </c>
      <c r="G1010">
        <v>202603</v>
      </c>
      <c r="H1010" t="s">
        <v>75</v>
      </c>
      <c r="I1010" t="s">
        <v>76</v>
      </c>
      <c r="J1010" t="s">
        <v>77</v>
      </c>
      <c r="K1010" t="s">
        <v>78</v>
      </c>
      <c r="L1010" t="s">
        <v>91</v>
      </c>
      <c r="M1010" t="s">
        <v>92</v>
      </c>
      <c r="N1010" t="s">
        <v>341</v>
      </c>
      <c r="O1010" t="s">
        <v>82</v>
      </c>
      <c r="P1010" t="str">
        <f>"4170042865                    "</f>
        <v xml:space="preserve">4170042865                    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20.9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1</v>
      </c>
      <c r="BI1010">
        <v>1</v>
      </c>
      <c r="BJ1010">
        <v>0.2</v>
      </c>
      <c r="BK1010">
        <v>1</v>
      </c>
      <c r="BL1010">
        <v>69.5</v>
      </c>
      <c r="BM1010">
        <v>10.43</v>
      </c>
      <c r="BN1010">
        <v>79.930000000000007</v>
      </c>
      <c r="BO1010">
        <v>79.930000000000007</v>
      </c>
      <c r="BQ1010" t="s">
        <v>342</v>
      </c>
      <c r="BR1010" t="s">
        <v>84</v>
      </c>
      <c r="BS1010" s="3">
        <v>45818</v>
      </c>
      <c r="BT1010" s="4">
        <v>0.38958333333333334</v>
      </c>
      <c r="BU1010" t="s">
        <v>1686</v>
      </c>
      <c r="BV1010" t="s">
        <v>86</v>
      </c>
      <c r="BY1010">
        <v>1230</v>
      </c>
      <c r="CA1010" t="s">
        <v>1350</v>
      </c>
      <c r="CC1010" t="s">
        <v>92</v>
      </c>
      <c r="CD1010">
        <v>7535</v>
      </c>
      <c r="CE1010" t="s">
        <v>215</v>
      </c>
      <c r="CF1010" s="3">
        <v>45819</v>
      </c>
      <c r="CI1010">
        <v>1</v>
      </c>
      <c r="CJ1010">
        <v>1</v>
      </c>
      <c r="CK1010">
        <v>21</v>
      </c>
      <c r="CL1010" t="s">
        <v>90</v>
      </c>
    </row>
    <row r="1011" spans="1:90" x14ac:dyDescent="0.3">
      <c r="A1011" t="s">
        <v>72</v>
      </c>
      <c r="B1011" t="s">
        <v>73</v>
      </c>
      <c r="C1011" t="s">
        <v>74</v>
      </c>
      <c r="E1011" t="str">
        <f>"080065843323"</f>
        <v>080065843323</v>
      </c>
      <c r="F1011" s="3">
        <v>45817</v>
      </c>
      <c r="G1011">
        <v>202603</v>
      </c>
      <c r="H1011" t="s">
        <v>75</v>
      </c>
      <c r="I1011" t="s">
        <v>76</v>
      </c>
      <c r="J1011" t="s">
        <v>77</v>
      </c>
      <c r="K1011" t="s">
        <v>78</v>
      </c>
      <c r="L1011" t="s">
        <v>154</v>
      </c>
      <c r="M1011" t="s">
        <v>154</v>
      </c>
      <c r="N1011" t="s">
        <v>1736</v>
      </c>
      <c r="O1011" t="s">
        <v>82</v>
      </c>
      <c r="P1011" t="str">
        <f>"4170042867                    "</f>
        <v xml:space="preserve">4170042867                    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40.49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1</v>
      </c>
      <c r="BI1011">
        <v>1</v>
      </c>
      <c r="BJ1011">
        <v>0.2</v>
      </c>
      <c r="BK1011">
        <v>1</v>
      </c>
      <c r="BL1011">
        <v>134.65</v>
      </c>
      <c r="BM1011">
        <v>20.2</v>
      </c>
      <c r="BN1011">
        <v>154.85</v>
      </c>
      <c r="BO1011">
        <v>154.85</v>
      </c>
      <c r="BQ1011" t="s">
        <v>1737</v>
      </c>
      <c r="BR1011" t="s">
        <v>84</v>
      </c>
      <c r="BS1011" t="s">
        <v>189</v>
      </c>
      <c r="BY1011">
        <v>1200</v>
      </c>
      <c r="CC1011" t="s">
        <v>154</v>
      </c>
      <c r="CD1011">
        <v>7646</v>
      </c>
      <c r="CE1011" t="s">
        <v>215</v>
      </c>
      <c r="CF1011" s="3">
        <v>45819</v>
      </c>
      <c r="CI1011">
        <v>1</v>
      </c>
      <c r="CJ1011" t="s">
        <v>189</v>
      </c>
      <c r="CK1011">
        <v>23</v>
      </c>
      <c r="CL1011" t="s">
        <v>90</v>
      </c>
    </row>
    <row r="1012" spans="1:90" x14ac:dyDescent="0.3">
      <c r="A1012" t="s">
        <v>72</v>
      </c>
      <c r="B1012" t="s">
        <v>73</v>
      </c>
      <c r="C1012" t="s">
        <v>74</v>
      </c>
      <c r="E1012" t="str">
        <f>"080065843399"</f>
        <v>080065843399</v>
      </c>
      <c r="F1012" s="3">
        <v>45817</v>
      </c>
      <c r="G1012">
        <v>202603</v>
      </c>
      <c r="H1012" t="s">
        <v>75</v>
      </c>
      <c r="I1012" t="s">
        <v>76</v>
      </c>
      <c r="J1012" t="s">
        <v>77</v>
      </c>
      <c r="K1012" t="s">
        <v>78</v>
      </c>
      <c r="L1012" t="s">
        <v>91</v>
      </c>
      <c r="M1012" t="s">
        <v>92</v>
      </c>
      <c r="N1012" t="s">
        <v>327</v>
      </c>
      <c r="O1012" t="s">
        <v>82</v>
      </c>
      <c r="P1012" t="str">
        <f>"4170042952                    "</f>
        <v xml:space="preserve">4170042952                    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20.9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1</v>
      </c>
      <c r="BI1012">
        <v>1</v>
      </c>
      <c r="BJ1012">
        <v>0.2</v>
      </c>
      <c r="BK1012">
        <v>1</v>
      </c>
      <c r="BL1012">
        <v>69.5</v>
      </c>
      <c r="BM1012">
        <v>10.43</v>
      </c>
      <c r="BN1012">
        <v>79.930000000000007</v>
      </c>
      <c r="BO1012">
        <v>79.930000000000007</v>
      </c>
      <c r="BQ1012" t="s">
        <v>328</v>
      </c>
      <c r="BR1012" t="s">
        <v>84</v>
      </c>
      <c r="BS1012" s="3">
        <v>45818</v>
      </c>
      <c r="BT1012" s="4">
        <v>0.32500000000000001</v>
      </c>
      <c r="BU1012" t="s">
        <v>1035</v>
      </c>
      <c r="BV1012" t="s">
        <v>86</v>
      </c>
      <c r="BY1012">
        <v>1200</v>
      </c>
      <c r="CA1012" t="s">
        <v>330</v>
      </c>
      <c r="CC1012" t="s">
        <v>92</v>
      </c>
      <c r="CD1012">
        <v>7530</v>
      </c>
      <c r="CE1012" t="s">
        <v>215</v>
      </c>
      <c r="CF1012" s="3">
        <v>45819</v>
      </c>
      <c r="CI1012">
        <v>1</v>
      </c>
      <c r="CJ1012">
        <v>1</v>
      </c>
      <c r="CK1012">
        <v>21</v>
      </c>
      <c r="CL1012" t="s">
        <v>90</v>
      </c>
    </row>
    <row r="1013" spans="1:90" x14ac:dyDescent="0.3">
      <c r="A1013" t="s">
        <v>72</v>
      </c>
      <c r="B1013" t="s">
        <v>73</v>
      </c>
      <c r="C1013" t="s">
        <v>74</v>
      </c>
      <c r="E1013" t="str">
        <f>"080065843437"</f>
        <v>080065843437</v>
      </c>
      <c r="F1013" s="3">
        <v>45817</v>
      </c>
      <c r="G1013">
        <v>202603</v>
      </c>
      <c r="H1013" t="s">
        <v>75</v>
      </c>
      <c r="I1013" t="s">
        <v>76</v>
      </c>
      <c r="J1013" t="s">
        <v>77</v>
      </c>
      <c r="K1013" t="s">
        <v>78</v>
      </c>
      <c r="L1013" t="s">
        <v>710</v>
      </c>
      <c r="M1013" t="s">
        <v>711</v>
      </c>
      <c r="N1013" t="s">
        <v>1445</v>
      </c>
      <c r="O1013" t="s">
        <v>82</v>
      </c>
      <c r="P1013" t="str">
        <f>"4170042855                    "</f>
        <v xml:space="preserve">4170042855                    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20.9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0</v>
      </c>
      <c r="BF1013">
        <v>0</v>
      </c>
      <c r="BG1013">
        <v>0</v>
      </c>
      <c r="BH1013">
        <v>1</v>
      </c>
      <c r="BI1013">
        <v>1</v>
      </c>
      <c r="BJ1013">
        <v>0.2</v>
      </c>
      <c r="BK1013">
        <v>1</v>
      </c>
      <c r="BL1013">
        <v>69.5</v>
      </c>
      <c r="BM1013">
        <v>10.43</v>
      </c>
      <c r="BN1013">
        <v>79.930000000000007</v>
      </c>
      <c r="BO1013">
        <v>79.930000000000007</v>
      </c>
      <c r="BQ1013" t="s">
        <v>1446</v>
      </c>
      <c r="BR1013" t="s">
        <v>84</v>
      </c>
      <c r="BS1013" s="3">
        <v>45818</v>
      </c>
      <c r="BT1013" s="4">
        <v>0.33333333333333331</v>
      </c>
      <c r="BU1013" t="s">
        <v>1738</v>
      </c>
      <c r="BV1013" t="s">
        <v>86</v>
      </c>
      <c r="BY1013">
        <v>1200</v>
      </c>
      <c r="CA1013" t="s">
        <v>715</v>
      </c>
      <c r="CC1013" t="s">
        <v>711</v>
      </c>
      <c r="CD1013">
        <v>7600</v>
      </c>
      <c r="CE1013" t="s">
        <v>215</v>
      </c>
      <c r="CF1013" s="3">
        <v>45819</v>
      </c>
      <c r="CI1013">
        <v>1</v>
      </c>
      <c r="CJ1013">
        <v>1</v>
      </c>
      <c r="CK1013">
        <v>21</v>
      </c>
      <c r="CL1013" t="s">
        <v>90</v>
      </c>
    </row>
    <row r="1014" spans="1:90" x14ac:dyDescent="0.3">
      <c r="A1014" t="s">
        <v>72</v>
      </c>
      <c r="B1014" t="s">
        <v>73</v>
      </c>
      <c r="C1014" t="s">
        <v>74</v>
      </c>
      <c r="E1014" t="str">
        <f>"080065843470"</f>
        <v>080065843470</v>
      </c>
      <c r="F1014" s="3">
        <v>45817</v>
      </c>
      <c r="G1014">
        <v>202603</v>
      </c>
      <c r="H1014" t="s">
        <v>75</v>
      </c>
      <c r="I1014" t="s">
        <v>76</v>
      </c>
      <c r="J1014" t="s">
        <v>77</v>
      </c>
      <c r="K1014" t="s">
        <v>78</v>
      </c>
      <c r="L1014" t="s">
        <v>116</v>
      </c>
      <c r="M1014" t="s">
        <v>117</v>
      </c>
      <c r="N1014" t="s">
        <v>183</v>
      </c>
      <c r="O1014" t="s">
        <v>82</v>
      </c>
      <c r="P1014" t="str">
        <f>"4170042844                    "</f>
        <v xml:space="preserve">4170042844                    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20.9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0</v>
      </c>
      <c r="BF1014">
        <v>0</v>
      </c>
      <c r="BG1014">
        <v>0</v>
      </c>
      <c r="BH1014">
        <v>1</v>
      </c>
      <c r="BI1014">
        <v>1</v>
      </c>
      <c r="BJ1014">
        <v>0.2</v>
      </c>
      <c r="BK1014">
        <v>1</v>
      </c>
      <c r="BL1014">
        <v>69.5</v>
      </c>
      <c r="BM1014">
        <v>10.43</v>
      </c>
      <c r="BN1014">
        <v>79.930000000000007</v>
      </c>
      <c r="BO1014">
        <v>79.930000000000007</v>
      </c>
      <c r="BQ1014" t="s">
        <v>184</v>
      </c>
      <c r="BR1014" t="s">
        <v>84</v>
      </c>
      <c r="BS1014" s="3">
        <v>45818</v>
      </c>
      <c r="BT1014" s="4">
        <v>0.41666666666666669</v>
      </c>
      <c r="BU1014" t="s">
        <v>1278</v>
      </c>
      <c r="BV1014" t="s">
        <v>86</v>
      </c>
      <c r="BY1014">
        <v>1200</v>
      </c>
      <c r="CA1014" t="s">
        <v>186</v>
      </c>
      <c r="CC1014" t="s">
        <v>117</v>
      </c>
      <c r="CD1014">
        <v>3212</v>
      </c>
      <c r="CE1014" t="s">
        <v>215</v>
      </c>
      <c r="CF1014" s="3">
        <v>45819</v>
      </c>
      <c r="CI1014">
        <v>2</v>
      </c>
      <c r="CJ1014">
        <v>1</v>
      </c>
      <c r="CK1014">
        <v>21</v>
      </c>
      <c r="CL1014" t="s">
        <v>90</v>
      </c>
    </row>
    <row r="1015" spans="1:90" x14ac:dyDescent="0.3">
      <c r="A1015" t="s">
        <v>72</v>
      </c>
      <c r="B1015" t="s">
        <v>73</v>
      </c>
      <c r="C1015" t="s">
        <v>74</v>
      </c>
      <c r="E1015" t="str">
        <f>"080065843496"</f>
        <v>080065843496</v>
      </c>
      <c r="F1015" s="3">
        <v>45817</v>
      </c>
      <c r="G1015">
        <v>202603</v>
      </c>
      <c r="H1015" t="s">
        <v>75</v>
      </c>
      <c r="I1015" t="s">
        <v>76</v>
      </c>
      <c r="J1015" t="s">
        <v>77</v>
      </c>
      <c r="K1015" t="s">
        <v>78</v>
      </c>
      <c r="L1015" t="s">
        <v>266</v>
      </c>
      <c r="M1015" t="s">
        <v>267</v>
      </c>
      <c r="N1015" t="s">
        <v>1739</v>
      </c>
      <c r="O1015" t="s">
        <v>82</v>
      </c>
      <c r="P1015" t="str">
        <f>"4170042940                    "</f>
        <v xml:space="preserve">4170042940                    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20.9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0</v>
      </c>
      <c r="BF1015">
        <v>0</v>
      </c>
      <c r="BG1015">
        <v>0</v>
      </c>
      <c r="BH1015">
        <v>1</v>
      </c>
      <c r="BI1015">
        <v>1</v>
      </c>
      <c r="BJ1015">
        <v>1.1000000000000001</v>
      </c>
      <c r="BK1015">
        <v>1.5</v>
      </c>
      <c r="BL1015">
        <v>69.5</v>
      </c>
      <c r="BM1015">
        <v>10.43</v>
      </c>
      <c r="BN1015">
        <v>79.930000000000007</v>
      </c>
      <c r="BO1015">
        <v>79.930000000000007</v>
      </c>
      <c r="BQ1015" t="s">
        <v>1740</v>
      </c>
      <c r="BR1015" t="s">
        <v>84</v>
      </c>
      <c r="BS1015" s="3">
        <v>45818</v>
      </c>
      <c r="BT1015" s="4">
        <v>0.37708333333333333</v>
      </c>
      <c r="BU1015" t="s">
        <v>1741</v>
      </c>
      <c r="BV1015" t="s">
        <v>86</v>
      </c>
      <c r="BY1015">
        <v>5320</v>
      </c>
      <c r="CA1015" t="s">
        <v>271</v>
      </c>
      <c r="CC1015" t="s">
        <v>267</v>
      </c>
      <c r="CD1015">
        <v>6229</v>
      </c>
      <c r="CE1015" t="s">
        <v>687</v>
      </c>
      <c r="CF1015" s="3">
        <v>45818</v>
      </c>
      <c r="CI1015">
        <v>1</v>
      </c>
      <c r="CJ1015">
        <v>1</v>
      </c>
      <c r="CK1015">
        <v>21</v>
      </c>
      <c r="CL1015" t="s">
        <v>90</v>
      </c>
    </row>
    <row r="1016" spans="1:90" x14ac:dyDescent="0.3">
      <c r="A1016" t="s">
        <v>72</v>
      </c>
      <c r="B1016" t="s">
        <v>73</v>
      </c>
      <c r="C1016" t="s">
        <v>74</v>
      </c>
      <c r="E1016" t="str">
        <f>"080065843773"</f>
        <v>080065843773</v>
      </c>
      <c r="F1016" s="3">
        <v>45817</v>
      </c>
      <c r="G1016">
        <v>202603</v>
      </c>
      <c r="H1016" t="s">
        <v>75</v>
      </c>
      <c r="I1016" t="s">
        <v>76</v>
      </c>
      <c r="J1016" t="s">
        <v>77</v>
      </c>
      <c r="K1016" t="s">
        <v>78</v>
      </c>
      <c r="L1016" t="s">
        <v>100</v>
      </c>
      <c r="M1016" t="s">
        <v>101</v>
      </c>
      <c r="N1016" t="s">
        <v>581</v>
      </c>
      <c r="O1016" t="s">
        <v>82</v>
      </c>
      <c r="P1016" t="str">
        <f>"4170042726                    "</f>
        <v xml:space="preserve">4170042726                    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20.9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0</v>
      </c>
      <c r="BF1016">
        <v>0</v>
      </c>
      <c r="BG1016">
        <v>0</v>
      </c>
      <c r="BH1016">
        <v>1</v>
      </c>
      <c r="BI1016">
        <v>2</v>
      </c>
      <c r="BJ1016">
        <v>1.1000000000000001</v>
      </c>
      <c r="BK1016">
        <v>2</v>
      </c>
      <c r="BL1016">
        <v>69.5</v>
      </c>
      <c r="BM1016">
        <v>10.43</v>
      </c>
      <c r="BN1016">
        <v>79.930000000000007</v>
      </c>
      <c r="BO1016">
        <v>79.930000000000007</v>
      </c>
      <c r="BQ1016" t="s">
        <v>582</v>
      </c>
      <c r="BR1016" t="s">
        <v>84</v>
      </c>
      <c r="BS1016" s="3">
        <v>45818</v>
      </c>
      <c r="BT1016" s="4">
        <v>0.43125000000000002</v>
      </c>
      <c r="BU1016" t="s">
        <v>1613</v>
      </c>
      <c r="BV1016" t="s">
        <v>86</v>
      </c>
      <c r="BY1016">
        <v>5320</v>
      </c>
      <c r="CA1016" t="s">
        <v>235</v>
      </c>
      <c r="CC1016" t="s">
        <v>101</v>
      </c>
      <c r="CD1016">
        <v>6056</v>
      </c>
      <c r="CE1016" t="s">
        <v>292</v>
      </c>
      <c r="CF1016" s="3">
        <v>45818</v>
      </c>
      <c r="CI1016">
        <v>1</v>
      </c>
      <c r="CJ1016">
        <v>1</v>
      </c>
      <c r="CK1016">
        <v>21</v>
      </c>
      <c r="CL1016" t="s">
        <v>90</v>
      </c>
    </row>
    <row r="1017" spans="1:90" x14ac:dyDescent="0.3">
      <c r="A1017" t="s">
        <v>72</v>
      </c>
      <c r="B1017" t="s">
        <v>73</v>
      </c>
      <c r="C1017" t="s">
        <v>74</v>
      </c>
      <c r="E1017" t="str">
        <f>"080065843799"</f>
        <v>080065843799</v>
      </c>
      <c r="F1017" s="3">
        <v>45817</v>
      </c>
      <c r="G1017">
        <v>202603</v>
      </c>
      <c r="H1017" t="s">
        <v>75</v>
      </c>
      <c r="I1017" t="s">
        <v>76</v>
      </c>
      <c r="J1017" t="s">
        <v>77</v>
      </c>
      <c r="K1017" t="s">
        <v>78</v>
      </c>
      <c r="L1017" t="s">
        <v>91</v>
      </c>
      <c r="M1017" t="s">
        <v>92</v>
      </c>
      <c r="N1017" t="s">
        <v>540</v>
      </c>
      <c r="O1017" t="s">
        <v>82</v>
      </c>
      <c r="P1017" t="str">
        <f>"4170042791                    "</f>
        <v xml:space="preserve">4170042791                    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20.9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0</v>
      </c>
      <c r="BF1017">
        <v>0</v>
      </c>
      <c r="BG1017">
        <v>0</v>
      </c>
      <c r="BH1017">
        <v>1</v>
      </c>
      <c r="BI1017">
        <v>1</v>
      </c>
      <c r="BJ1017">
        <v>1.1000000000000001</v>
      </c>
      <c r="BK1017">
        <v>1.5</v>
      </c>
      <c r="BL1017">
        <v>69.5</v>
      </c>
      <c r="BM1017">
        <v>10.43</v>
      </c>
      <c r="BN1017">
        <v>79.930000000000007</v>
      </c>
      <c r="BO1017">
        <v>79.930000000000007</v>
      </c>
      <c r="BQ1017" t="s">
        <v>541</v>
      </c>
      <c r="BR1017" t="s">
        <v>84</v>
      </c>
      <c r="BS1017" s="3">
        <v>45818</v>
      </c>
      <c r="BT1017" s="4">
        <v>0.40625</v>
      </c>
      <c r="BU1017" t="s">
        <v>1725</v>
      </c>
      <c r="BV1017" t="s">
        <v>86</v>
      </c>
      <c r="BY1017">
        <v>5320</v>
      </c>
      <c r="CA1017" t="s">
        <v>291</v>
      </c>
      <c r="CC1017" t="s">
        <v>92</v>
      </c>
      <c r="CD1017">
        <v>7441</v>
      </c>
      <c r="CE1017" t="s">
        <v>292</v>
      </c>
      <c r="CF1017" s="3">
        <v>45819</v>
      </c>
      <c r="CI1017">
        <v>1</v>
      </c>
      <c r="CJ1017">
        <v>1</v>
      </c>
      <c r="CK1017">
        <v>21</v>
      </c>
      <c r="CL1017" t="s">
        <v>90</v>
      </c>
    </row>
    <row r="1018" spans="1:90" x14ac:dyDescent="0.3">
      <c r="A1018" t="s">
        <v>72</v>
      </c>
      <c r="B1018" t="s">
        <v>73</v>
      </c>
      <c r="C1018" t="s">
        <v>74</v>
      </c>
      <c r="E1018" t="str">
        <f>"080065843841"</f>
        <v>080065843841</v>
      </c>
      <c r="F1018" s="3">
        <v>45817</v>
      </c>
      <c r="G1018">
        <v>202603</v>
      </c>
      <c r="H1018" t="s">
        <v>75</v>
      </c>
      <c r="I1018" t="s">
        <v>76</v>
      </c>
      <c r="J1018" t="s">
        <v>77</v>
      </c>
      <c r="K1018" t="s">
        <v>78</v>
      </c>
      <c r="L1018" t="s">
        <v>159</v>
      </c>
      <c r="M1018" t="s">
        <v>160</v>
      </c>
      <c r="N1018" t="s">
        <v>230</v>
      </c>
      <c r="O1018" t="s">
        <v>82</v>
      </c>
      <c r="P1018" t="str">
        <f>"4170042664                    "</f>
        <v xml:space="preserve">4170042664                    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16.32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1</v>
      </c>
      <c r="BI1018">
        <v>3</v>
      </c>
      <c r="BJ1018">
        <v>5.9</v>
      </c>
      <c r="BK1018">
        <v>6</v>
      </c>
      <c r="BL1018">
        <v>54.28</v>
      </c>
      <c r="BM1018">
        <v>8.14</v>
      </c>
      <c r="BN1018">
        <v>62.42</v>
      </c>
      <c r="BO1018">
        <v>62.42</v>
      </c>
      <c r="BQ1018" t="s">
        <v>231</v>
      </c>
      <c r="BR1018" t="s">
        <v>84</v>
      </c>
      <c r="BS1018" s="3">
        <v>45818</v>
      </c>
      <c r="BT1018" s="4">
        <v>0.41666666666666669</v>
      </c>
      <c r="BU1018" t="s">
        <v>1742</v>
      </c>
      <c r="BV1018" t="s">
        <v>86</v>
      </c>
      <c r="BY1018">
        <v>29376</v>
      </c>
      <c r="CA1018" t="s">
        <v>233</v>
      </c>
      <c r="CC1018" t="s">
        <v>160</v>
      </c>
      <c r="CD1018">
        <v>2094</v>
      </c>
      <c r="CE1018" t="s">
        <v>166</v>
      </c>
      <c r="CF1018" s="3">
        <v>45818</v>
      </c>
      <c r="CI1018">
        <v>1</v>
      </c>
      <c r="CJ1018">
        <v>1</v>
      </c>
      <c r="CK1018">
        <v>22</v>
      </c>
      <c r="CL1018" t="s">
        <v>90</v>
      </c>
    </row>
    <row r="1019" spans="1:90" x14ac:dyDescent="0.3">
      <c r="A1019" t="s">
        <v>72</v>
      </c>
      <c r="B1019" t="s">
        <v>73</v>
      </c>
      <c r="C1019" t="s">
        <v>74</v>
      </c>
      <c r="E1019" t="str">
        <f>"080065843883"</f>
        <v>080065843883</v>
      </c>
      <c r="F1019" s="3">
        <v>45817</v>
      </c>
      <c r="G1019">
        <v>202603</v>
      </c>
      <c r="H1019" t="s">
        <v>75</v>
      </c>
      <c r="I1019" t="s">
        <v>76</v>
      </c>
      <c r="J1019" t="s">
        <v>77</v>
      </c>
      <c r="K1019" t="s">
        <v>78</v>
      </c>
      <c r="L1019" t="s">
        <v>1645</v>
      </c>
      <c r="M1019" t="s">
        <v>1646</v>
      </c>
      <c r="N1019" t="s">
        <v>1647</v>
      </c>
      <c r="O1019" t="s">
        <v>82</v>
      </c>
      <c r="P1019" t="str">
        <f>"4170042775                    "</f>
        <v xml:space="preserve">4170042775                    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50.86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0</v>
      </c>
      <c r="BF1019">
        <v>0</v>
      </c>
      <c r="BG1019">
        <v>0</v>
      </c>
      <c r="BH1019">
        <v>1</v>
      </c>
      <c r="BI1019">
        <v>1</v>
      </c>
      <c r="BJ1019">
        <v>3.4</v>
      </c>
      <c r="BK1019">
        <v>3.5</v>
      </c>
      <c r="BL1019">
        <v>169.13</v>
      </c>
      <c r="BM1019">
        <v>25.37</v>
      </c>
      <c r="BN1019">
        <v>194.5</v>
      </c>
      <c r="BO1019">
        <v>194.5</v>
      </c>
      <c r="BQ1019" t="s">
        <v>1648</v>
      </c>
      <c r="BR1019" t="s">
        <v>84</v>
      </c>
      <c r="BS1019" s="3">
        <v>45818</v>
      </c>
      <c r="BT1019" s="4">
        <v>0.41319444444444442</v>
      </c>
      <c r="BU1019" t="s">
        <v>1649</v>
      </c>
      <c r="BV1019" t="s">
        <v>86</v>
      </c>
      <c r="BY1019">
        <v>16965</v>
      </c>
      <c r="CA1019" t="s">
        <v>1650</v>
      </c>
      <c r="CC1019" t="s">
        <v>1646</v>
      </c>
      <c r="CD1019">
        <v>2410</v>
      </c>
      <c r="CE1019" t="s">
        <v>687</v>
      </c>
      <c r="CF1019" s="3">
        <v>45818</v>
      </c>
      <c r="CI1019">
        <v>1</v>
      </c>
      <c r="CJ1019">
        <v>1</v>
      </c>
      <c r="CK1019">
        <v>24</v>
      </c>
      <c r="CL1019" t="s">
        <v>90</v>
      </c>
    </row>
    <row r="1020" spans="1:90" x14ac:dyDescent="0.3">
      <c r="A1020" t="s">
        <v>72</v>
      </c>
      <c r="B1020" t="s">
        <v>73</v>
      </c>
      <c r="C1020" t="s">
        <v>74</v>
      </c>
      <c r="E1020" t="str">
        <f>"080065843923"</f>
        <v>080065843923</v>
      </c>
      <c r="F1020" s="3">
        <v>45817</v>
      </c>
      <c r="G1020">
        <v>202603</v>
      </c>
      <c r="H1020" t="s">
        <v>75</v>
      </c>
      <c r="I1020" t="s">
        <v>76</v>
      </c>
      <c r="J1020" t="s">
        <v>77</v>
      </c>
      <c r="K1020" t="s">
        <v>78</v>
      </c>
      <c r="L1020" t="s">
        <v>321</v>
      </c>
      <c r="M1020" t="s">
        <v>322</v>
      </c>
      <c r="N1020" t="s">
        <v>323</v>
      </c>
      <c r="O1020" t="s">
        <v>276</v>
      </c>
      <c r="P1020" t="str">
        <f>"4170042595                    "</f>
        <v xml:space="preserve">4170042595                    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135.22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0</v>
      </c>
      <c r="BF1020">
        <v>0</v>
      </c>
      <c r="BG1020">
        <v>0</v>
      </c>
      <c r="BH1020">
        <v>1</v>
      </c>
      <c r="BI1020">
        <v>4</v>
      </c>
      <c r="BJ1020">
        <v>7.9</v>
      </c>
      <c r="BK1020">
        <v>8</v>
      </c>
      <c r="BL1020">
        <v>449.69</v>
      </c>
      <c r="BM1020">
        <v>67.45</v>
      </c>
      <c r="BN1020">
        <v>517.14</v>
      </c>
      <c r="BO1020">
        <v>517.14</v>
      </c>
      <c r="BQ1020" t="s">
        <v>324</v>
      </c>
      <c r="BR1020" t="s">
        <v>84</v>
      </c>
      <c r="BS1020" s="3">
        <v>45818</v>
      </c>
      <c r="BT1020" s="4">
        <v>0.41180555555555554</v>
      </c>
      <c r="BU1020" t="s">
        <v>1591</v>
      </c>
      <c r="BV1020" t="s">
        <v>86</v>
      </c>
      <c r="BY1020">
        <v>39304</v>
      </c>
      <c r="CA1020" t="s">
        <v>326</v>
      </c>
      <c r="CC1020" t="s">
        <v>322</v>
      </c>
      <c r="CD1020">
        <v>1438</v>
      </c>
      <c r="CE1020" t="s">
        <v>166</v>
      </c>
      <c r="CF1020" s="3">
        <v>45819</v>
      </c>
      <c r="CI1020">
        <v>1</v>
      </c>
      <c r="CJ1020">
        <v>1</v>
      </c>
      <c r="CK1020">
        <v>34</v>
      </c>
      <c r="CL1020" t="s">
        <v>90</v>
      </c>
    </row>
    <row r="1021" spans="1:90" x14ac:dyDescent="0.3">
      <c r="A1021" t="s">
        <v>72</v>
      </c>
      <c r="B1021" t="s">
        <v>73</v>
      </c>
      <c r="C1021" t="s">
        <v>74</v>
      </c>
      <c r="E1021" t="str">
        <f>"080065843962"</f>
        <v>080065843962</v>
      </c>
      <c r="F1021" s="3">
        <v>45817</v>
      </c>
      <c r="G1021">
        <v>202603</v>
      </c>
      <c r="H1021" t="s">
        <v>75</v>
      </c>
      <c r="I1021" t="s">
        <v>76</v>
      </c>
      <c r="J1021" t="s">
        <v>77</v>
      </c>
      <c r="K1021" t="s">
        <v>78</v>
      </c>
      <c r="L1021" t="s">
        <v>284</v>
      </c>
      <c r="M1021" t="s">
        <v>285</v>
      </c>
      <c r="N1021" t="s">
        <v>286</v>
      </c>
      <c r="O1021" t="s">
        <v>82</v>
      </c>
      <c r="P1021" t="str">
        <f>"4170042776                    "</f>
        <v xml:space="preserve">4170042776                    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16.32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1</v>
      </c>
      <c r="BI1021">
        <v>1</v>
      </c>
      <c r="BJ1021">
        <v>3.2</v>
      </c>
      <c r="BK1021">
        <v>4</v>
      </c>
      <c r="BL1021">
        <v>54.28</v>
      </c>
      <c r="BM1021">
        <v>8.14</v>
      </c>
      <c r="BN1021">
        <v>62.42</v>
      </c>
      <c r="BO1021">
        <v>62.42</v>
      </c>
      <c r="BQ1021" t="s">
        <v>287</v>
      </c>
      <c r="BR1021" t="s">
        <v>84</v>
      </c>
      <c r="BS1021" s="3">
        <v>45818</v>
      </c>
      <c r="BT1021" s="4">
        <v>0.52083333333333337</v>
      </c>
      <c r="BU1021" t="s">
        <v>1743</v>
      </c>
      <c r="BV1021" t="s">
        <v>86</v>
      </c>
      <c r="BY1021">
        <v>16128</v>
      </c>
      <c r="CA1021" t="s">
        <v>971</v>
      </c>
      <c r="CC1021" t="s">
        <v>285</v>
      </c>
      <c r="CD1021">
        <v>1559</v>
      </c>
      <c r="CE1021" t="s">
        <v>292</v>
      </c>
      <c r="CF1021" s="3">
        <v>45819</v>
      </c>
      <c r="CI1021">
        <v>1</v>
      </c>
      <c r="CJ1021">
        <v>1</v>
      </c>
      <c r="CK1021">
        <v>22</v>
      </c>
      <c r="CL1021" t="s">
        <v>90</v>
      </c>
    </row>
    <row r="1022" spans="1:90" x14ac:dyDescent="0.3">
      <c r="A1022" t="s">
        <v>72</v>
      </c>
      <c r="B1022" t="s">
        <v>73</v>
      </c>
      <c r="C1022" t="s">
        <v>74</v>
      </c>
      <c r="E1022" t="str">
        <f>"080065844147"</f>
        <v>080065844147</v>
      </c>
      <c r="F1022" s="3">
        <v>45817</v>
      </c>
      <c r="G1022">
        <v>202603</v>
      </c>
      <c r="H1022" t="s">
        <v>75</v>
      </c>
      <c r="I1022" t="s">
        <v>76</v>
      </c>
      <c r="J1022" t="s">
        <v>77</v>
      </c>
      <c r="K1022" t="s">
        <v>78</v>
      </c>
      <c r="L1022" t="s">
        <v>100</v>
      </c>
      <c r="M1022" t="s">
        <v>101</v>
      </c>
      <c r="N1022" t="s">
        <v>123</v>
      </c>
      <c r="O1022" t="s">
        <v>94</v>
      </c>
      <c r="P1022" t="str">
        <f>"4170042540                    "</f>
        <v xml:space="preserve">4170042540                    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372.42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0</v>
      </c>
      <c r="BF1022">
        <v>0</v>
      </c>
      <c r="BG1022">
        <v>0</v>
      </c>
      <c r="BH1022">
        <v>7</v>
      </c>
      <c r="BI1022">
        <v>177</v>
      </c>
      <c r="BJ1022">
        <v>213.5</v>
      </c>
      <c r="BK1022">
        <v>214</v>
      </c>
      <c r="BL1022">
        <v>1244.0899999999999</v>
      </c>
      <c r="BM1022">
        <v>186.61</v>
      </c>
      <c r="BN1022">
        <v>1430.7</v>
      </c>
      <c r="BO1022">
        <v>1430.7</v>
      </c>
      <c r="BQ1022" t="s">
        <v>124</v>
      </c>
      <c r="BR1022" t="s">
        <v>84</v>
      </c>
      <c r="BS1022" t="s">
        <v>189</v>
      </c>
      <c r="BY1022">
        <v>1067538</v>
      </c>
      <c r="CC1022" t="s">
        <v>101</v>
      </c>
      <c r="CD1022">
        <v>6001</v>
      </c>
      <c r="CE1022" t="s">
        <v>122</v>
      </c>
      <c r="CI1022">
        <v>3</v>
      </c>
      <c r="CJ1022" t="s">
        <v>189</v>
      </c>
      <c r="CK1022">
        <v>41</v>
      </c>
      <c r="CL1022" t="s">
        <v>90</v>
      </c>
    </row>
    <row r="1023" spans="1:90" x14ac:dyDescent="0.3">
      <c r="A1023" t="s">
        <v>72</v>
      </c>
      <c r="B1023" t="s">
        <v>73</v>
      </c>
      <c r="C1023" t="s">
        <v>74</v>
      </c>
      <c r="E1023" t="str">
        <f>"080065844478"</f>
        <v>080065844478</v>
      </c>
      <c r="F1023" s="3">
        <v>45817</v>
      </c>
      <c r="G1023">
        <v>202603</v>
      </c>
      <c r="H1023" t="s">
        <v>75</v>
      </c>
      <c r="I1023" t="s">
        <v>76</v>
      </c>
      <c r="J1023" t="s">
        <v>77</v>
      </c>
      <c r="K1023" t="s">
        <v>78</v>
      </c>
      <c r="L1023" t="s">
        <v>100</v>
      </c>
      <c r="M1023" t="s">
        <v>101</v>
      </c>
      <c r="N1023" t="s">
        <v>640</v>
      </c>
      <c r="O1023" t="s">
        <v>82</v>
      </c>
      <c r="P1023" t="str">
        <f>"4170042955                    "</f>
        <v xml:space="preserve">4170042955                    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20.9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0</v>
      </c>
      <c r="BF1023">
        <v>0</v>
      </c>
      <c r="BG1023">
        <v>0</v>
      </c>
      <c r="BH1023">
        <v>1</v>
      </c>
      <c r="BI1023">
        <v>1</v>
      </c>
      <c r="BJ1023">
        <v>0.2</v>
      </c>
      <c r="BK1023">
        <v>1</v>
      </c>
      <c r="BL1023">
        <v>69.5</v>
      </c>
      <c r="BM1023">
        <v>10.43</v>
      </c>
      <c r="BN1023">
        <v>79.930000000000007</v>
      </c>
      <c r="BO1023">
        <v>79.930000000000007</v>
      </c>
      <c r="BQ1023" t="s">
        <v>641</v>
      </c>
      <c r="BR1023" t="s">
        <v>84</v>
      </c>
      <c r="BS1023" s="3">
        <v>45818</v>
      </c>
      <c r="BT1023" s="4">
        <v>0.43472222222222223</v>
      </c>
      <c r="BU1023" t="s">
        <v>1744</v>
      </c>
      <c r="BV1023" t="s">
        <v>86</v>
      </c>
      <c r="BY1023">
        <v>1200</v>
      </c>
      <c r="CA1023" t="s">
        <v>394</v>
      </c>
      <c r="CC1023" t="s">
        <v>101</v>
      </c>
      <c r="CD1023">
        <v>6001</v>
      </c>
      <c r="CE1023" t="s">
        <v>215</v>
      </c>
      <c r="CF1023" s="3">
        <v>45818</v>
      </c>
      <c r="CI1023">
        <v>1</v>
      </c>
      <c r="CJ1023">
        <v>1</v>
      </c>
      <c r="CK1023">
        <v>21</v>
      </c>
      <c r="CL1023" t="s">
        <v>90</v>
      </c>
    </row>
    <row r="1024" spans="1:90" x14ac:dyDescent="0.3">
      <c r="A1024" t="s">
        <v>72</v>
      </c>
      <c r="B1024" t="s">
        <v>73</v>
      </c>
      <c r="C1024" t="s">
        <v>74</v>
      </c>
      <c r="E1024" t="str">
        <f>"080065844505"</f>
        <v>080065844505</v>
      </c>
      <c r="F1024" s="3">
        <v>45817</v>
      </c>
      <c r="G1024">
        <v>202603</v>
      </c>
      <c r="H1024" t="s">
        <v>75</v>
      </c>
      <c r="I1024" t="s">
        <v>76</v>
      </c>
      <c r="J1024" t="s">
        <v>77</v>
      </c>
      <c r="K1024" t="s">
        <v>78</v>
      </c>
      <c r="L1024" t="s">
        <v>615</v>
      </c>
      <c r="M1024" t="s">
        <v>616</v>
      </c>
      <c r="N1024" t="s">
        <v>863</v>
      </c>
      <c r="O1024" t="s">
        <v>82</v>
      </c>
      <c r="P1024" t="str">
        <f>"4170042969                    "</f>
        <v xml:space="preserve">4170042969                    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40.49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0</v>
      </c>
      <c r="BF1024">
        <v>0</v>
      </c>
      <c r="BG1024">
        <v>0</v>
      </c>
      <c r="BH1024">
        <v>1</v>
      </c>
      <c r="BI1024">
        <v>1</v>
      </c>
      <c r="BJ1024">
        <v>0.2</v>
      </c>
      <c r="BK1024">
        <v>1</v>
      </c>
      <c r="BL1024">
        <v>134.65</v>
      </c>
      <c r="BM1024">
        <v>20.2</v>
      </c>
      <c r="BN1024">
        <v>154.85</v>
      </c>
      <c r="BO1024">
        <v>154.85</v>
      </c>
      <c r="BQ1024" t="s">
        <v>864</v>
      </c>
      <c r="BR1024" t="s">
        <v>84</v>
      </c>
      <c r="BS1024" s="3">
        <v>45818</v>
      </c>
      <c r="BT1024" s="4">
        <v>0.52638888888888891</v>
      </c>
      <c r="BU1024" t="s">
        <v>1745</v>
      </c>
      <c r="BV1024" t="s">
        <v>86</v>
      </c>
      <c r="BY1024">
        <v>1200</v>
      </c>
      <c r="CA1024" t="s">
        <v>620</v>
      </c>
      <c r="CC1024" t="s">
        <v>616</v>
      </c>
      <c r="CD1024">
        <v>6850</v>
      </c>
      <c r="CE1024" t="s">
        <v>215</v>
      </c>
      <c r="CF1024" s="3">
        <v>45819</v>
      </c>
      <c r="CI1024">
        <v>2</v>
      </c>
      <c r="CJ1024">
        <v>1</v>
      </c>
      <c r="CK1024">
        <v>23</v>
      </c>
      <c r="CL1024" t="s">
        <v>90</v>
      </c>
    </row>
    <row r="1025" spans="1:90" x14ac:dyDescent="0.3">
      <c r="A1025" t="s">
        <v>72</v>
      </c>
      <c r="B1025" t="s">
        <v>73</v>
      </c>
      <c r="C1025" t="s">
        <v>74</v>
      </c>
      <c r="E1025" t="str">
        <f>"080065844540"</f>
        <v>080065844540</v>
      </c>
      <c r="F1025" s="3">
        <v>45817</v>
      </c>
      <c r="G1025">
        <v>202603</v>
      </c>
      <c r="H1025" t="s">
        <v>75</v>
      </c>
      <c r="I1025" t="s">
        <v>76</v>
      </c>
      <c r="J1025" t="s">
        <v>77</v>
      </c>
      <c r="K1025" t="s">
        <v>78</v>
      </c>
      <c r="L1025" t="s">
        <v>116</v>
      </c>
      <c r="M1025" t="s">
        <v>117</v>
      </c>
      <c r="N1025" t="s">
        <v>183</v>
      </c>
      <c r="O1025" t="s">
        <v>82</v>
      </c>
      <c r="P1025" t="str">
        <f>"4170042901                    "</f>
        <v xml:space="preserve">4170042901                    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20.9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0</v>
      </c>
      <c r="BF1025">
        <v>0</v>
      </c>
      <c r="BG1025">
        <v>0</v>
      </c>
      <c r="BH1025">
        <v>1</v>
      </c>
      <c r="BI1025">
        <v>1</v>
      </c>
      <c r="BJ1025">
        <v>0.2</v>
      </c>
      <c r="BK1025">
        <v>1</v>
      </c>
      <c r="BL1025">
        <v>69.5</v>
      </c>
      <c r="BM1025">
        <v>10.43</v>
      </c>
      <c r="BN1025">
        <v>79.930000000000007</v>
      </c>
      <c r="BO1025">
        <v>79.930000000000007</v>
      </c>
      <c r="BQ1025" t="s">
        <v>184</v>
      </c>
      <c r="BR1025" t="s">
        <v>84</v>
      </c>
      <c r="BS1025" s="3">
        <v>45818</v>
      </c>
      <c r="BT1025" s="4">
        <v>0.41666666666666669</v>
      </c>
      <c r="BU1025" t="s">
        <v>1278</v>
      </c>
      <c r="BV1025" t="s">
        <v>86</v>
      </c>
      <c r="BY1025">
        <v>1200</v>
      </c>
      <c r="CA1025" t="s">
        <v>186</v>
      </c>
      <c r="CC1025" t="s">
        <v>117</v>
      </c>
      <c r="CD1025">
        <v>3212</v>
      </c>
      <c r="CE1025" t="s">
        <v>215</v>
      </c>
      <c r="CF1025" s="3">
        <v>45819</v>
      </c>
      <c r="CI1025">
        <v>2</v>
      </c>
      <c r="CJ1025">
        <v>1</v>
      </c>
      <c r="CK1025">
        <v>21</v>
      </c>
      <c r="CL1025" t="s">
        <v>90</v>
      </c>
    </row>
    <row r="1026" spans="1:90" x14ac:dyDescent="0.3">
      <c r="A1026" t="s">
        <v>72</v>
      </c>
      <c r="B1026" t="s">
        <v>73</v>
      </c>
      <c r="C1026" t="s">
        <v>74</v>
      </c>
      <c r="E1026" t="str">
        <f>"080065844571"</f>
        <v>080065844571</v>
      </c>
      <c r="F1026" s="3">
        <v>45817</v>
      </c>
      <c r="G1026">
        <v>202603</v>
      </c>
      <c r="H1026" t="s">
        <v>75</v>
      </c>
      <c r="I1026" t="s">
        <v>76</v>
      </c>
      <c r="J1026" t="s">
        <v>77</v>
      </c>
      <c r="K1026" t="s">
        <v>78</v>
      </c>
      <c r="L1026" t="s">
        <v>75</v>
      </c>
      <c r="M1026" t="s">
        <v>76</v>
      </c>
      <c r="N1026" t="s">
        <v>147</v>
      </c>
      <c r="O1026" t="s">
        <v>82</v>
      </c>
      <c r="P1026" t="str">
        <f>"4170042894                    "</f>
        <v xml:space="preserve">4170042894                    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16.32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0</v>
      </c>
      <c r="BF1026">
        <v>0</v>
      </c>
      <c r="BG1026">
        <v>0</v>
      </c>
      <c r="BH1026">
        <v>1</v>
      </c>
      <c r="BI1026">
        <v>1</v>
      </c>
      <c r="BJ1026">
        <v>0.2</v>
      </c>
      <c r="BK1026">
        <v>1</v>
      </c>
      <c r="BL1026">
        <v>54.28</v>
      </c>
      <c r="BM1026">
        <v>8.14</v>
      </c>
      <c r="BN1026">
        <v>62.42</v>
      </c>
      <c r="BO1026">
        <v>62.42</v>
      </c>
      <c r="BQ1026" t="s">
        <v>148</v>
      </c>
      <c r="BR1026" t="s">
        <v>84</v>
      </c>
      <c r="BS1026" s="3">
        <v>45818</v>
      </c>
      <c r="BT1026" s="4">
        <v>0.30833333333333335</v>
      </c>
      <c r="BU1026" t="s">
        <v>1114</v>
      </c>
      <c r="BV1026" t="s">
        <v>86</v>
      </c>
      <c r="BY1026">
        <v>1200</v>
      </c>
      <c r="CA1026" t="s">
        <v>115</v>
      </c>
      <c r="CC1026" t="s">
        <v>76</v>
      </c>
      <c r="CD1026">
        <v>1600</v>
      </c>
      <c r="CE1026" t="s">
        <v>215</v>
      </c>
      <c r="CF1026" s="3">
        <v>45818</v>
      </c>
      <c r="CI1026">
        <v>1</v>
      </c>
      <c r="CJ1026">
        <v>1</v>
      </c>
      <c r="CK1026">
        <v>22</v>
      </c>
      <c r="CL1026" t="s">
        <v>90</v>
      </c>
    </row>
    <row r="1027" spans="1:90" x14ac:dyDescent="0.3">
      <c r="A1027" t="s">
        <v>72</v>
      </c>
      <c r="B1027" t="s">
        <v>73</v>
      </c>
      <c r="C1027" t="s">
        <v>74</v>
      </c>
      <c r="E1027" t="str">
        <f>"080065844596"</f>
        <v>080065844596</v>
      </c>
      <c r="F1027" s="3">
        <v>45817</v>
      </c>
      <c r="G1027">
        <v>202603</v>
      </c>
      <c r="H1027" t="s">
        <v>75</v>
      </c>
      <c r="I1027" t="s">
        <v>76</v>
      </c>
      <c r="J1027" t="s">
        <v>77</v>
      </c>
      <c r="K1027" t="s">
        <v>78</v>
      </c>
      <c r="L1027" t="s">
        <v>130</v>
      </c>
      <c r="M1027" t="s">
        <v>131</v>
      </c>
      <c r="N1027" t="s">
        <v>422</v>
      </c>
      <c r="O1027" t="s">
        <v>82</v>
      </c>
      <c r="P1027" t="str">
        <f>"4170042903                    "</f>
        <v xml:space="preserve">4170042903                    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16.32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0</v>
      </c>
      <c r="BF1027">
        <v>0</v>
      </c>
      <c r="BG1027">
        <v>0</v>
      </c>
      <c r="BH1027">
        <v>1</v>
      </c>
      <c r="BI1027">
        <v>1</v>
      </c>
      <c r="BJ1027">
        <v>0.2</v>
      </c>
      <c r="BK1027">
        <v>1</v>
      </c>
      <c r="BL1027">
        <v>54.28</v>
      </c>
      <c r="BM1027">
        <v>8.14</v>
      </c>
      <c r="BN1027">
        <v>62.42</v>
      </c>
      <c r="BO1027">
        <v>62.42</v>
      </c>
      <c r="BQ1027" t="s">
        <v>423</v>
      </c>
      <c r="BR1027" t="s">
        <v>84</v>
      </c>
      <c r="BS1027" s="3">
        <v>45818</v>
      </c>
      <c r="BT1027" s="4">
        <v>0.35138888888888886</v>
      </c>
      <c r="BU1027" t="s">
        <v>1050</v>
      </c>
      <c r="BV1027" t="s">
        <v>86</v>
      </c>
      <c r="BY1027">
        <v>1200</v>
      </c>
      <c r="CA1027" t="s">
        <v>425</v>
      </c>
      <c r="CC1027" t="s">
        <v>131</v>
      </c>
      <c r="CD1027">
        <v>1459</v>
      </c>
      <c r="CE1027" t="s">
        <v>215</v>
      </c>
      <c r="CF1027" s="3">
        <v>45818</v>
      </c>
      <c r="CI1027">
        <v>1</v>
      </c>
      <c r="CJ1027">
        <v>1</v>
      </c>
      <c r="CK1027">
        <v>22</v>
      </c>
      <c r="CL1027" t="s">
        <v>90</v>
      </c>
    </row>
    <row r="1028" spans="1:90" x14ac:dyDescent="0.3">
      <c r="A1028" t="s">
        <v>72</v>
      </c>
      <c r="B1028" t="s">
        <v>73</v>
      </c>
      <c r="C1028" t="s">
        <v>74</v>
      </c>
      <c r="E1028" t="str">
        <f>"080065844618"</f>
        <v>080065844618</v>
      </c>
      <c r="F1028" s="3">
        <v>45817</v>
      </c>
      <c r="G1028">
        <v>202603</v>
      </c>
      <c r="H1028" t="s">
        <v>75</v>
      </c>
      <c r="I1028" t="s">
        <v>76</v>
      </c>
      <c r="J1028" t="s">
        <v>77</v>
      </c>
      <c r="K1028" t="s">
        <v>78</v>
      </c>
      <c r="L1028" t="s">
        <v>136</v>
      </c>
      <c r="M1028" t="s">
        <v>137</v>
      </c>
      <c r="N1028" t="s">
        <v>806</v>
      </c>
      <c r="O1028" t="s">
        <v>82</v>
      </c>
      <c r="P1028" t="str">
        <f>"4170042834                    "</f>
        <v xml:space="preserve">4170042834                    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20.9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0</v>
      </c>
      <c r="BF1028">
        <v>0</v>
      </c>
      <c r="BG1028">
        <v>0</v>
      </c>
      <c r="BH1028">
        <v>1</v>
      </c>
      <c r="BI1028">
        <v>1</v>
      </c>
      <c r="BJ1028">
        <v>0.2</v>
      </c>
      <c r="BK1028">
        <v>1</v>
      </c>
      <c r="BL1028">
        <v>69.5</v>
      </c>
      <c r="BM1028">
        <v>10.43</v>
      </c>
      <c r="BN1028">
        <v>79.930000000000007</v>
      </c>
      <c r="BO1028">
        <v>79.930000000000007</v>
      </c>
      <c r="BQ1028" t="s">
        <v>807</v>
      </c>
      <c r="BR1028" t="s">
        <v>84</v>
      </c>
      <c r="BS1028" s="3">
        <v>45818</v>
      </c>
      <c r="BT1028" s="4">
        <v>0.60416666666666663</v>
      </c>
      <c r="BU1028" t="s">
        <v>1682</v>
      </c>
      <c r="BV1028" t="s">
        <v>90</v>
      </c>
      <c r="BY1028">
        <v>1200</v>
      </c>
      <c r="CC1028" t="s">
        <v>137</v>
      </c>
      <c r="CD1028">
        <v>5200</v>
      </c>
      <c r="CE1028" t="s">
        <v>215</v>
      </c>
      <c r="CF1028" s="3">
        <v>45818</v>
      </c>
      <c r="CI1028">
        <v>1</v>
      </c>
      <c r="CJ1028">
        <v>1</v>
      </c>
      <c r="CK1028">
        <v>21</v>
      </c>
      <c r="CL1028" t="s">
        <v>90</v>
      </c>
    </row>
    <row r="1029" spans="1:90" x14ac:dyDescent="0.3">
      <c r="A1029" t="s">
        <v>72</v>
      </c>
      <c r="B1029" t="s">
        <v>73</v>
      </c>
      <c r="C1029" t="s">
        <v>74</v>
      </c>
      <c r="E1029" t="str">
        <f>"080065844642"</f>
        <v>080065844642</v>
      </c>
      <c r="F1029" s="3">
        <v>45817</v>
      </c>
      <c r="G1029">
        <v>202603</v>
      </c>
      <c r="H1029" t="s">
        <v>75</v>
      </c>
      <c r="I1029" t="s">
        <v>76</v>
      </c>
      <c r="J1029" t="s">
        <v>77</v>
      </c>
      <c r="K1029" t="s">
        <v>78</v>
      </c>
      <c r="L1029" t="s">
        <v>174</v>
      </c>
      <c r="M1029" t="s">
        <v>175</v>
      </c>
      <c r="N1029" t="s">
        <v>1311</v>
      </c>
      <c r="O1029" t="s">
        <v>82</v>
      </c>
      <c r="P1029" t="str">
        <f>"4170042877                    "</f>
        <v xml:space="preserve">4170042877                    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20.9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0</v>
      </c>
      <c r="BF1029">
        <v>0</v>
      </c>
      <c r="BG1029">
        <v>0</v>
      </c>
      <c r="BH1029">
        <v>1</v>
      </c>
      <c r="BI1029">
        <v>1</v>
      </c>
      <c r="BJ1029">
        <v>0.2</v>
      </c>
      <c r="BK1029">
        <v>1</v>
      </c>
      <c r="BL1029">
        <v>69.5</v>
      </c>
      <c r="BM1029">
        <v>10.43</v>
      </c>
      <c r="BN1029">
        <v>79.930000000000007</v>
      </c>
      <c r="BO1029">
        <v>79.930000000000007</v>
      </c>
      <c r="BQ1029" t="s">
        <v>1312</v>
      </c>
      <c r="BR1029" t="s">
        <v>84</v>
      </c>
      <c r="BS1029" s="3">
        <v>45818</v>
      </c>
      <c r="BT1029" s="4">
        <v>0.40416666666666667</v>
      </c>
      <c r="BU1029" t="s">
        <v>1651</v>
      </c>
      <c r="BV1029" t="s">
        <v>86</v>
      </c>
      <c r="BY1029">
        <v>1200</v>
      </c>
      <c r="CA1029" t="s">
        <v>179</v>
      </c>
      <c r="CC1029" t="s">
        <v>175</v>
      </c>
      <c r="CD1029">
        <v>3610</v>
      </c>
      <c r="CE1029" t="s">
        <v>215</v>
      </c>
      <c r="CF1029" s="3">
        <v>45819</v>
      </c>
      <c r="CI1029">
        <v>1</v>
      </c>
      <c r="CJ1029">
        <v>1</v>
      </c>
      <c r="CK1029">
        <v>21</v>
      </c>
      <c r="CL1029" t="s">
        <v>90</v>
      </c>
    </row>
    <row r="1030" spans="1:90" x14ac:dyDescent="0.3">
      <c r="A1030" t="s">
        <v>72</v>
      </c>
      <c r="B1030" t="s">
        <v>73</v>
      </c>
      <c r="C1030" t="s">
        <v>74</v>
      </c>
      <c r="E1030" t="str">
        <f>"080065844660"</f>
        <v>080065844660</v>
      </c>
      <c r="F1030" s="3">
        <v>45817</v>
      </c>
      <c r="G1030">
        <v>202603</v>
      </c>
      <c r="H1030" t="s">
        <v>75</v>
      </c>
      <c r="I1030" t="s">
        <v>76</v>
      </c>
      <c r="J1030" t="s">
        <v>77</v>
      </c>
      <c r="K1030" t="s">
        <v>78</v>
      </c>
      <c r="L1030" t="s">
        <v>159</v>
      </c>
      <c r="M1030" t="s">
        <v>160</v>
      </c>
      <c r="N1030" t="s">
        <v>230</v>
      </c>
      <c r="O1030" t="s">
        <v>82</v>
      </c>
      <c r="P1030" t="str">
        <f>"4170042931                    "</f>
        <v xml:space="preserve">4170042931                    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16.32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0</v>
      </c>
      <c r="BF1030">
        <v>0</v>
      </c>
      <c r="BG1030">
        <v>0</v>
      </c>
      <c r="BH1030">
        <v>1</v>
      </c>
      <c r="BI1030">
        <v>1</v>
      </c>
      <c r="BJ1030">
        <v>0.2</v>
      </c>
      <c r="BK1030">
        <v>1</v>
      </c>
      <c r="BL1030">
        <v>54.28</v>
      </c>
      <c r="BM1030">
        <v>8.14</v>
      </c>
      <c r="BN1030">
        <v>62.42</v>
      </c>
      <c r="BO1030">
        <v>62.42</v>
      </c>
      <c r="BQ1030" t="s">
        <v>231</v>
      </c>
      <c r="BR1030" t="s">
        <v>84</v>
      </c>
      <c r="BS1030" s="3">
        <v>45818</v>
      </c>
      <c r="BT1030" s="4">
        <v>0.41666666666666669</v>
      </c>
      <c r="BU1030" t="s">
        <v>1746</v>
      </c>
      <c r="BV1030" t="s">
        <v>86</v>
      </c>
      <c r="BY1030">
        <v>1200</v>
      </c>
      <c r="CA1030" t="s">
        <v>233</v>
      </c>
      <c r="CC1030" t="s">
        <v>160</v>
      </c>
      <c r="CD1030">
        <v>2094</v>
      </c>
      <c r="CE1030" t="s">
        <v>215</v>
      </c>
      <c r="CF1030" s="3">
        <v>45818</v>
      </c>
      <c r="CI1030">
        <v>1</v>
      </c>
      <c r="CJ1030">
        <v>1</v>
      </c>
      <c r="CK1030">
        <v>22</v>
      </c>
      <c r="CL1030" t="s">
        <v>90</v>
      </c>
    </row>
    <row r="1031" spans="1:90" x14ac:dyDescent="0.3">
      <c r="A1031" t="s">
        <v>72</v>
      </c>
      <c r="B1031" t="s">
        <v>73</v>
      </c>
      <c r="C1031" t="s">
        <v>74</v>
      </c>
      <c r="E1031" t="str">
        <f>"080065844680"</f>
        <v>080065844680</v>
      </c>
      <c r="F1031" s="3">
        <v>45817</v>
      </c>
      <c r="G1031">
        <v>202603</v>
      </c>
      <c r="H1031" t="s">
        <v>75</v>
      </c>
      <c r="I1031" t="s">
        <v>76</v>
      </c>
      <c r="J1031" t="s">
        <v>77</v>
      </c>
      <c r="K1031" t="s">
        <v>78</v>
      </c>
      <c r="L1031" t="s">
        <v>106</v>
      </c>
      <c r="M1031" t="s">
        <v>107</v>
      </c>
      <c r="N1031" t="s">
        <v>236</v>
      </c>
      <c r="O1031" t="s">
        <v>82</v>
      </c>
      <c r="P1031" t="str">
        <f>"4170042960                    "</f>
        <v xml:space="preserve">4170042960                    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20.9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0</v>
      </c>
      <c r="BF1031">
        <v>0</v>
      </c>
      <c r="BG1031">
        <v>0</v>
      </c>
      <c r="BH1031">
        <v>1</v>
      </c>
      <c r="BI1031">
        <v>1</v>
      </c>
      <c r="BJ1031">
        <v>0.2</v>
      </c>
      <c r="BK1031">
        <v>1</v>
      </c>
      <c r="BL1031">
        <v>69.5</v>
      </c>
      <c r="BM1031">
        <v>10.43</v>
      </c>
      <c r="BN1031">
        <v>79.930000000000007</v>
      </c>
      <c r="BO1031">
        <v>79.930000000000007</v>
      </c>
      <c r="BQ1031" t="s">
        <v>237</v>
      </c>
      <c r="BR1031" t="s">
        <v>84</v>
      </c>
      <c r="BS1031" s="3">
        <v>45818</v>
      </c>
      <c r="BT1031" s="4">
        <v>0.40625</v>
      </c>
      <c r="BU1031" t="s">
        <v>238</v>
      </c>
      <c r="BV1031" t="s">
        <v>86</v>
      </c>
      <c r="BY1031">
        <v>1200</v>
      </c>
      <c r="CA1031" t="s">
        <v>111</v>
      </c>
      <c r="CC1031" t="s">
        <v>107</v>
      </c>
      <c r="CD1031">
        <v>200</v>
      </c>
      <c r="CE1031" t="s">
        <v>215</v>
      </c>
      <c r="CF1031" s="3">
        <v>45818</v>
      </c>
      <c r="CI1031">
        <v>1</v>
      </c>
      <c r="CJ1031">
        <v>1</v>
      </c>
      <c r="CK1031">
        <v>21</v>
      </c>
      <c r="CL1031" t="s">
        <v>90</v>
      </c>
    </row>
    <row r="1032" spans="1:90" x14ac:dyDescent="0.3">
      <c r="A1032" t="s">
        <v>72</v>
      </c>
      <c r="B1032" t="s">
        <v>73</v>
      </c>
      <c r="C1032" t="s">
        <v>74</v>
      </c>
      <c r="E1032" t="str">
        <f>"080065844708"</f>
        <v>080065844708</v>
      </c>
      <c r="F1032" s="3">
        <v>45817</v>
      </c>
      <c r="G1032">
        <v>202603</v>
      </c>
      <c r="H1032" t="s">
        <v>75</v>
      </c>
      <c r="I1032" t="s">
        <v>76</v>
      </c>
      <c r="J1032" t="s">
        <v>77</v>
      </c>
      <c r="K1032" t="s">
        <v>78</v>
      </c>
      <c r="L1032" t="s">
        <v>311</v>
      </c>
      <c r="M1032" t="s">
        <v>312</v>
      </c>
      <c r="N1032" t="s">
        <v>313</v>
      </c>
      <c r="O1032" t="s">
        <v>82</v>
      </c>
      <c r="P1032" t="str">
        <f>"4170042847                    "</f>
        <v xml:space="preserve">4170042847                    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40.49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0</v>
      </c>
      <c r="BF1032">
        <v>0</v>
      </c>
      <c r="BG1032">
        <v>0</v>
      </c>
      <c r="BH1032">
        <v>1</v>
      </c>
      <c r="BI1032">
        <v>1</v>
      </c>
      <c r="BJ1032">
        <v>0.2</v>
      </c>
      <c r="BK1032">
        <v>1</v>
      </c>
      <c r="BL1032">
        <v>134.65</v>
      </c>
      <c r="BM1032">
        <v>20.2</v>
      </c>
      <c r="BN1032">
        <v>154.85</v>
      </c>
      <c r="BO1032">
        <v>154.85</v>
      </c>
      <c r="BQ1032" t="s">
        <v>314</v>
      </c>
      <c r="BR1032" t="s">
        <v>84</v>
      </c>
      <c r="BS1032" s="3">
        <v>45818</v>
      </c>
      <c r="BT1032" s="4">
        <v>0.53472222222222221</v>
      </c>
      <c r="BU1032" t="s">
        <v>315</v>
      </c>
      <c r="BV1032" t="s">
        <v>86</v>
      </c>
      <c r="BY1032">
        <v>1200</v>
      </c>
      <c r="CA1032" t="s">
        <v>316</v>
      </c>
      <c r="CC1032" t="s">
        <v>312</v>
      </c>
      <c r="CD1032">
        <v>1028</v>
      </c>
      <c r="CE1032" t="s">
        <v>215</v>
      </c>
      <c r="CF1032" s="3">
        <v>45818</v>
      </c>
      <c r="CI1032">
        <v>1</v>
      </c>
      <c r="CJ1032">
        <v>1</v>
      </c>
      <c r="CK1032">
        <v>23</v>
      </c>
      <c r="CL1032" t="s">
        <v>90</v>
      </c>
    </row>
    <row r="1033" spans="1:90" x14ac:dyDescent="0.3">
      <c r="A1033" t="s">
        <v>72</v>
      </c>
      <c r="B1033" t="s">
        <v>73</v>
      </c>
      <c r="C1033" t="s">
        <v>74</v>
      </c>
      <c r="E1033" t="str">
        <f>"080065844741"</f>
        <v>080065844741</v>
      </c>
      <c r="F1033" s="3">
        <v>45817</v>
      </c>
      <c r="G1033">
        <v>202603</v>
      </c>
      <c r="H1033" t="s">
        <v>75</v>
      </c>
      <c r="I1033" t="s">
        <v>76</v>
      </c>
      <c r="J1033" t="s">
        <v>77</v>
      </c>
      <c r="K1033" t="s">
        <v>78</v>
      </c>
      <c r="L1033" t="s">
        <v>91</v>
      </c>
      <c r="M1033" t="s">
        <v>92</v>
      </c>
      <c r="N1033" t="s">
        <v>540</v>
      </c>
      <c r="O1033" t="s">
        <v>82</v>
      </c>
      <c r="P1033" t="str">
        <f>"4170042862                    "</f>
        <v xml:space="preserve">4170042862                    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20.9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0</v>
      </c>
      <c r="BF1033">
        <v>0</v>
      </c>
      <c r="BG1033">
        <v>0</v>
      </c>
      <c r="BH1033">
        <v>1</v>
      </c>
      <c r="BI1033">
        <v>1</v>
      </c>
      <c r="BJ1033">
        <v>0.2</v>
      </c>
      <c r="BK1033">
        <v>1</v>
      </c>
      <c r="BL1033">
        <v>69.5</v>
      </c>
      <c r="BM1033">
        <v>10.43</v>
      </c>
      <c r="BN1033">
        <v>79.930000000000007</v>
      </c>
      <c r="BO1033">
        <v>79.930000000000007</v>
      </c>
      <c r="BQ1033" t="s">
        <v>541</v>
      </c>
      <c r="BR1033" t="s">
        <v>84</v>
      </c>
      <c r="BS1033" s="3">
        <v>45818</v>
      </c>
      <c r="BT1033" s="4">
        <v>0.40625</v>
      </c>
      <c r="BU1033" t="s">
        <v>1725</v>
      </c>
      <c r="BV1033" t="s">
        <v>86</v>
      </c>
      <c r="BY1033">
        <v>1200</v>
      </c>
      <c r="CA1033" t="s">
        <v>291</v>
      </c>
      <c r="CC1033" t="s">
        <v>92</v>
      </c>
      <c r="CD1033">
        <v>7441</v>
      </c>
      <c r="CE1033" t="s">
        <v>1029</v>
      </c>
      <c r="CF1033" s="3">
        <v>45819</v>
      </c>
      <c r="CI1033">
        <v>1</v>
      </c>
      <c r="CJ1033">
        <v>1</v>
      </c>
      <c r="CK1033">
        <v>21</v>
      </c>
      <c r="CL1033" t="s">
        <v>90</v>
      </c>
    </row>
    <row r="1034" spans="1:90" x14ac:dyDescent="0.3">
      <c r="A1034" t="s">
        <v>72</v>
      </c>
      <c r="B1034" t="s">
        <v>73</v>
      </c>
      <c r="C1034" t="s">
        <v>74</v>
      </c>
      <c r="E1034" t="str">
        <f>"080065844763"</f>
        <v>080065844763</v>
      </c>
      <c r="F1034" s="3">
        <v>45817</v>
      </c>
      <c r="G1034">
        <v>202603</v>
      </c>
      <c r="H1034" t="s">
        <v>75</v>
      </c>
      <c r="I1034" t="s">
        <v>76</v>
      </c>
      <c r="J1034" t="s">
        <v>77</v>
      </c>
      <c r="K1034" t="s">
        <v>78</v>
      </c>
      <c r="L1034" t="s">
        <v>201</v>
      </c>
      <c r="M1034" t="s">
        <v>202</v>
      </c>
      <c r="N1034" t="s">
        <v>203</v>
      </c>
      <c r="O1034" t="s">
        <v>82</v>
      </c>
      <c r="P1034" t="str">
        <f>"4170042869                    "</f>
        <v xml:space="preserve">4170042869                    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40.49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0</v>
      </c>
      <c r="BF1034">
        <v>0</v>
      </c>
      <c r="BG1034">
        <v>0</v>
      </c>
      <c r="BH1034">
        <v>1</v>
      </c>
      <c r="BI1034">
        <v>1</v>
      </c>
      <c r="BJ1034">
        <v>0.2</v>
      </c>
      <c r="BK1034">
        <v>1</v>
      </c>
      <c r="BL1034">
        <v>134.65</v>
      </c>
      <c r="BM1034">
        <v>20.2</v>
      </c>
      <c r="BN1034">
        <v>154.85</v>
      </c>
      <c r="BO1034">
        <v>154.85</v>
      </c>
      <c r="BQ1034" t="s">
        <v>204</v>
      </c>
      <c r="BR1034" t="s">
        <v>84</v>
      </c>
      <c r="BS1034" s="3">
        <v>45818</v>
      </c>
      <c r="BT1034" s="4">
        <v>0.58194444444444449</v>
      </c>
      <c r="BU1034" t="s">
        <v>1747</v>
      </c>
      <c r="BV1034" t="s">
        <v>86</v>
      </c>
      <c r="BY1034">
        <v>1200</v>
      </c>
      <c r="CA1034" t="s">
        <v>206</v>
      </c>
      <c r="CC1034" t="s">
        <v>202</v>
      </c>
      <c r="CD1034">
        <v>5257</v>
      </c>
      <c r="CE1034" t="s">
        <v>1029</v>
      </c>
      <c r="CF1034" s="3">
        <v>45818</v>
      </c>
      <c r="CI1034">
        <v>1</v>
      </c>
      <c r="CJ1034">
        <v>1</v>
      </c>
      <c r="CK1034">
        <v>23</v>
      </c>
      <c r="CL1034" t="s">
        <v>90</v>
      </c>
    </row>
    <row r="1035" spans="1:90" x14ac:dyDescent="0.3">
      <c r="A1035" t="s">
        <v>72</v>
      </c>
      <c r="B1035" t="s">
        <v>73</v>
      </c>
      <c r="C1035" t="s">
        <v>74</v>
      </c>
      <c r="E1035" t="str">
        <f>"080065844775"</f>
        <v>080065844775</v>
      </c>
      <c r="F1035" s="3">
        <v>45817</v>
      </c>
      <c r="G1035">
        <v>202603</v>
      </c>
      <c r="H1035" t="s">
        <v>75</v>
      </c>
      <c r="I1035" t="s">
        <v>76</v>
      </c>
      <c r="J1035" t="s">
        <v>77</v>
      </c>
      <c r="K1035" t="s">
        <v>78</v>
      </c>
      <c r="L1035" t="s">
        <v>91</v>
      </c>
      <c r="M1035" t="s">
        <v>92</v>
      </c>
      <c r="N1035" t="s">
        <v>409</v>
      </c>
      <c r="O1035" t="s">
        <v>94</v>
      </c>
      <c r="P1035" t="str">
        <f>"4170042640                    "</f>
        <v xml:space="preserve">4170042640                    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57.1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0</v>
      </c>
      <c r="BF1035">
        <v>0</v>
      </c>
      <c r="BG1035">
        <v>0</v>
      </c>
      <c r="BH1035">
        <v>1</v>
      </c>
      <c r="BI1035">
        <v>25</v>
      </c>
      <c r="BJ1035">
        <v>15.3</v>
      </c>
      <c r="BK1035">
        <v>25</v>
      </c>
      <c r="BL1035">
        <v>195.45</v>
      </c>
      <c r="BM1035">
        <v>29.32</v>
      </c>
      <c r="BN1035">
        <v>224.77</v>
      </c>
      <c r="BO1035">
        <v>224.77</v>
      </c>
      <c r="BQ1035" t="s">
        <v>410</v>
      </c>
      <c r="BR1035" t="s">
        <v>84</v>
      </c>
      <c r="BS1035" s="3">
        <v>45819</v>
      </c>
      <c r="BT1035" s="4">
        <v>0.40486111111111112</v>
      </c>
      <c r="BU1035" t="s">
        <v>1748</v>
      </c>
      <c r="BV1035" t="s">
        <v>86</v>
      </c>
      <c r="BY1035">
        <v>76380</v>
      </c>
      <c r="CA1035" t="s">
        <v>1749</v>
      </c>
      <c r="CC1035" t="s">
        <v>92</v>
      </c>
      <c r="CD1035">
        <v>7490</v>
      </c>
      <c r="CE1035" t="s">
        <v>1029</v>
      </c>
      <c r="CF1035" s="3">
        <v>45820</v>
      </c>
      <c r="CI1035">
        <v>3</v>
      </c>
      <c r="CJ1035">
        <v>2</v>
      </c>
      <c r="CK1035">
        <v>41</v>
      </c>
      <c r="CL1035" t="s">
        <v>90</v>
      </c>
    </row>
    <row r="1036" spans="1:90" x14ac:dyDescent="0.3">
      <c r="A1036" t="s">
        <v>72</v>
      </c>
      <c r="B1036" t="s">
        <v>73</v>
      </c>
      <c r="C1036" t="s">
        <v>74</v>
      </c>
      <c r="E1036" t="str">
        <f>"080065844787"</f>
        <v>080065844787</v>
      </c>
      <c r="F1036" s="3">
        <v>45817</v>
      </c>
      <c r="G1036">
        <v>202603</v>
      </c>
      <c r="H1036" t="s">
        <v>75</v>
      </c>
      <c r="I1036" t="s">
        <v>76</v>
      </c>
      <c r="J1036" t="s">
        <v>77</v>
      </c>
      <c r="K1036" t="s">
        <v>78</v>
      </c>
      <c r="L1036" t="s">
        <v>130</v>
      </c>
      <c r="M1036" t="s">
        <v>131</v>
      </c>
      <c r="N1036" t="s">
        <v>422</v>
      </c>
      <c r="O1036" t="s">
        <v>82</v>
      </c>
      <c r="P1036" t="str">
        <f>"4170042870                    "</f>
        <v xml:space="preserve">4170042870                    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16.32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0</v>
      </c>
      <c r="BF1036">
        <v>0</v>
      </c>
      <c r="BG1036">
        <v>0</v>
      </c>
      <c r="BH1036">
        <v>1</v>
      </c>
      <c r="BI1036">
        <v>1</v>
      </c>
      <c r="BJ1036">
        <v>0.2</v>
      </c>
      <c r="BK1036">
        <v>1</v>
      </c>
      <c r="BL1036">
        <v>54.28</v>
      </c>
      <c r="BM1036">
        <v>8.14</v>
      </c>
      <c r="BN1036">
        <v>62.42</v>
      </c>
      <c r="BO1036">
        <v>62.42</v>
      </c>
      <c r="BQ1036" t="s">
        <v>423</v>
      </c>
      <c r="BR1036" t="s">
        <v>84</v>
      </c>
      <c r="BS1036" s="3">
        <v>45818</v>
      </c>
      <c r="BT1036" s="4">
        <v>0.35069444444444442</v>
      </c>
      <c r="BU1036" t="s">
        <v>1050</v>
      </c>
      <c r="BV1036" t="s">
        <v>86</v>
      </c>
      <c r="BY1036">
        <v>1200</v>
      </c>
      <c r="CA1036" t="s">
        <v>425</v>
      </c>
      <c r="CC1036" t="s">
        <v>131</v>
      </c>
      <c r="CD1036">
        <v>1459</v>
      </c>
      <c r="CE1036" t="s">
        <v>1029</v>
      </c>
      <c r="CF1036" s="3">
        <v>45818</v>
      </c>
      <c r="CI1036">
        <v>1</v>
      </c>
      <c r="CJ1036">
        <v>1</v>
      </c>
      <c r="CK1036">
        <v>22</v>
      </c>
      <c r="CL1036" t="s">
        <v>90</v>
      </c>
    </row>
    <row r="1037" spans="1:90" x14ac:dyDescent="0.3">
      <c r="A1037" t="s">
        <v>72</v>
      </c>
      <c r="B1037" t="s">
        <v>73</v>
      </c>
      <c r="C1037" t="s">
        <v>74</v>
      </c>
      <c r="E1037" t="str">
        <f>"080065844810"</f>
        <v>080065844810</v>
      </c>
      <c r="F1037" s="3">
        <v>45817</v>
      </c>
      <c r="G1037">
        <v>202603</v>
      </c>
      <c r="H1037" t="s">
        <v>75</v>
      </c>
      <c r="I1037" t="s">
        <v>76</v>
      </c>
      <c r="J1037" t="s">
        <v>77</v>
      </c>
      <c r="K1037" t="s">
        <v>78</v>
      </c>
      <c r="L1037" t="s">
        <v>331</v>
      </c>
      <c r="M1037" t="s">
        <v>332</v>
      </c>
      <c r="N1037" t="s">
        <v>480</v>
      </c>
      <c r="O1037" t="s">
        <v>82</v>
      </c>
      <c r="P1037" t="str">
        <f>"4170042956                    "</f>
        <v xml:space="preserve">4170042956                    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20.9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1</v>
      </c>
      <c r="BI1037">
        <v>1</v>
      </c>
      <c r="BJ1037">
        <v>1.1000000000000001</v>
      </c>
      <c r="BK1037">
        <v>1.5</v>
      </c>
      <c r="BL1037">
        <v>69.5</v>
      </c>
      <c r="BM1037">
        <v>10.43</v>
      </c>
      <c r="BN1037">
        <v>79.930000000000007</v>
      </c>
      <c r="BO1037">
        <v>79.930000000000007</v>
      </c>
      <c r="BQ1037" t="s">
        <v>1221</v>
      </c>
      <c r="BR1037" t="s">
        <v>84</v>
      </c>
      <c r="BS1037" s="3">
        <v>45818</v>
      </c>
      <c r="BT1037" s="4">
        <v>0.43680555555555556</v>
      </c>
      <c r="BU1037" t="s">
        <v>1624</v>
      </c>
      <c r="BV1037" t="s">
        <v>86</v>
      </c>
      <c r="BY1037">
        <v>5320</v>
      </c>
      <c r="CA1037" t="s">
        <v>487</v>
      </c>
      <c r="CC1037" t="s">
        <v>332</v>
      </c>
      <c r="CD1037">
        <v>4001</v>
      </c>
      <c r="CE1037" t="s">
        <v>1029</v>
      </c>
      <c r="CF1037" s="3">
        <v>45819</v>
      </c>
      <c r="CI1037">
        <v>1</v>
      </c>
      <c r="CJ1037">
        <v>1</v>
      </c>
      <c r="CK1037">
        <v>21</v>
      </c>
      <c r="CL1037" t="s">
        <v>90</v>
      </c>
    </row>
    <row r="1038" spans="1:90" x14ac:dyDescent="0.3">
      <c r="A1038" t="s">
        <v>72</v>
      </c>
      <c r="B1038" t="s">
        <v>73</v>
      </c>
      <c r="C1038" t="s">
        <v>74</v>
      </c>
      <c r="E1038" t="str">
        <f>"080065844812"</f>
        <v>080065844812</v>
      </c>
      <c r="F1038" s="3">
        <v>45817</v>
      </c>
      <c r="G1038">
        <v>202603</v>
      </c>
      <c r="H1038" t="s">
        <v>75</v>
      </c>
      <c r="I1038" t="s">
        <v>76</v>
      </c>
      <c r="J1038" t="s">
        <v>77</v>
      </c>
      <c r="K1038" t="s">
        <v>78</v>
      </c>
      <c r="L1038" t="s">
        <v>91</v>
      </c>
      <c r="M1038" t="s">
        <v>92</v>
      </c>
      <c r="N1038" t="s">
        <v>610</v>
      </c>
      <c r="O1038" t="s">
        <v>82</v>
      </c>
      <c r="P1038" t="str">
        <f>"4170042916                    "</f>
        <v xml:space="preserve">4170042916                    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20.9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1</v>
      </c>
      <c r="BI1038">
        <v>1</v>
      </c>
      <c r="BJ1038">
        <v>0.2</v>
      </c>
      <c r="BK1038">
        <v>1</v>
      </c>
      <c r="BL1038">
        <v>69.5</v>
      </c>
      <c r="BM1038">
        <v>10.43</v>
      </c>
      <c r="BN1038">
        <v>79.930000000000007</v>
      </c>
      <c r="BO1038">
        <v>79.930000000000007</v>
      </c>
      <c r="BQ1038" t="s">
        <v>611</v>
      </c>
      <c r="BR1038" t="s">
        <v>84</v>
      </c>
      <c r="BS1038" s="3">
        <v>45818</v>
      </c>
      <c r="BT1038" s="4">
        <v>0.40486111111111112</v>
      </c>
      <c r="BU1038" t="s">
        <v>612</v>
      </c>
      <c r="BV1038" t="s">
        <v>86</v>
      </c>
      <c r="BY1038">
        <v>1200</v>
      </c>
      <c r="CA1038" t="s">
        <v>613</v>
      </c>
      <c r="CC1038" t="s">
        <v>92</v>
      </c>
      <c r="CD1038">
        <v>8001</v>
      </c>
      <c r="CE1038" t="s">
        <v>1029</v>
      </c>
      <c r="CF1038" s="3">
        <v>45819</v>
      </c>
      <c r="CI1038">
        <v>1</v>
      </c>
      <c r="CJ1038">
        <v>1</v>
      </c>
      <c r="CK1038">
        <v>21</v>
      </c>
      <c r="CL1038" t="s">
        <v>90</v>
      </c>
    </row>
    <row r="1039" spans="1:90" x14ac:dyDescent="0.3">
      <c r="A1039" t="s">
        <v>72</v>
      </c>
      <c r="B1039" t="s">
        <v>73</v>
      </c>
      <c r="C1039" t="s">
        <v>74</v>
      </c>
      <c r="E1039" t="str">
        <f>"080065844837"</f>
        <v>080065844837</v>
      </c>
      <c r="F1039" s="3">
        <v>45817</v>
      </c>
      <c r="G1039">
        <v>202603</v>
      </c>
      <c r="H1039" t="s">
        <v>75</v>
      </c>
      <c r="I1039" t="s">
        <v>76</v>
      </c>
      <c r="J1039" t="s">
        <v>77</v>
      </c>
      <c r="K1039" t="s">
        <v>78</v>
      </c>
      <c r="L1039" t="s">
        <v>116</v>
      </c>
      <c r="M1039" t="s">
        <v>117</v>
      </c>
      <c r="N1039" t="s">
        <v>183</v>
      </c>
      <c r="O1039" t="s">
        <v>82</v>
      </c>
      <c r="P1039" t="str">
        <f>"4170042546                    "</f>
        <v xml:space="preserve">4170042546                    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20.9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1</v>
      </c>
      <c r="BI1039">
        <v>2</v>
      </c>
      <c r="BJ1039">
        <v>1.1000000000000001</v>
      </c>
      <c r="BK1039">
        <v>2</v>
      </c>
      <c r="BL1039">
        <v>69.5</v>
      </c>
      <c r="BM1039">
        <v>10.43</v>
      </c>
      <c r="BN1039">
        <v>79.930000000000007</v>
      </c>
      <c r="BO1039">
        <v>79.930000000000007</v>
      </c>
      <c r="BQ1039" t="s">
        <v>184</v>
      </c>
      <c r="BR1039" t="s">
        <v>84</v>
      </c>
      <c r="BS1039" s="3">
        <v>45818</v>
      </c>
      <c r="BT1039" s="4">
        <v>0.41666666666666669</v>
      </c>
      <c r="BU1039" t="s">
        <v>1278</v>
      </c>
      <c r="BV1039" t="s">
        <v>86</v>
      </c>
      <c r="BY1039">
        <v>5320</v>
      </c>
      <c r="CA1039" t="s">
        <v>186</v>
      </c>
      <c r="CC1039" t="s">
        <v>117</v>
      </c>
      <c r="CD1039">
        <v>3212</v>
      </c>
      <c r="CE1039" t="s">
        <v>1029</v>
      </c>
      <c r="CF1039" s="3">
        <v>45819</v>
      </c>
      <c r="CI1039">
        <v>2</v>
      </c>
      <c r="CJ1039">
        <v>1</v>
      </c>
      <c r="CK1039">
        <v>21</v>
      </c>
      <c r="CL1039" t="s">
        <v>90</v>
      </c>
    </row>
    <row r="1040" spans="1:90" x14ac:dyDescent="0.3">
      <c r="A1040" t="s">
        <v>72</v>
      </c>
      <c r="B1040" t="s">
        <v>73</v>
      </c>
      <c r="C1040" t="s">
        <v>74</v>
      </c>
      <c r="E1040" t="str">
        <f>"080065844846"</f>
        <v>080065844846</v>
      </c>
      <c r="F1040" s="3">
        <v>45817</v>
      </c>
      <c r="G1040">
        <v>202603</v>
      </c>
      <c r="H1040" t="s">
        <v>75</v>
      </c>
      <c r="I1040" t="s">
        <v>76</v>
      </c>
      <c r="J1040" t="s">
        <v>77</v>
      </c>
      <c r="K1040" t="s">
        <v>78</v>
      </c>
      <c r="L1040" t="s">
        <v>106</v>
      </c>
      <c r="M1040" t="s">
        <v>107</v>
      </c>
      <c r="N1040" t="s">
        <v>1141</v>
      </c>
      <c r="O1040" t="s">
        <v>82</v>
      </c>
      <c r="P1040" t="str">
        <f>"4170042860                    "</f>
        <v xml:space="preserve">4170042860                    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20.9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1</v>
      </c>
      <c r="BI1040">
        <v>1</v>
      </c>
      <c r="BJ1040">
        <v>0.2</v>
      </c>
      <c r="BK1040">
        <v>1</v>
      </c>
      <c r="BL1040">
        <v>69.5</v>
      </c>
      <c r="BM1040">
        <v>10.43</v>
      </c>
      <c r="BN1040">
        <v>79.930000000000007</v>
      </c>
      <c r="BO1040">
        <v>79.930000000000007</v>
      </c>
      <c r="BQ1040" t="s">
        <v>1142</v>
      </c>
      <c r="BR1040" t="s">
        <v>84</v>
      </c>
      <c r="BS1040" s="3">
        <v>45818</v>
      </c>
      <c r="BT1040" s="4">
        <v>0.40902777777777777</v>
      </c>
      <c r="BU1040" t="s">
        <v>1750</v>
      </c>
      <c r="BV1040" t="s">
        <v>86</v>
      </c>
      <c r="BY1040">
        <v>1200</v>
      </c>
      <c r="CA1040" t="s">
        <v>1751</v>
      </c>
      <c r="CC1040" t="s">
        <v>107</v>
      </c>
      <c r="CD1040">
        <v>184</v>
      </c>
      <c r="CE1040" t="s">
        <v>1029</v>
      </c>
      <c r="CF1040" s="3">
        <v>45818</v>
      </c>
      <c r="CI1040">
        <v>1</v>
      </c>
      <c r="CJ1040">
        <v>1</v>
      </c>
      <c r="CK1040">
        <v>21</v>
      </c>
      <c r="CL1040" t="s">
        <v>90</v>
      </c>
    </row>
    <row r="1041" spans="1:90" x14ac:dyDescent="0.3">
      <c r="A1041" t="s">
        <v>72</v>
      </c>
      <c r="B1041" t="s">
        <v>73</v>
      </c>
      <c r="C1041" t="s">
        <v>74</v>
      </c>
      <c r="E1041" t="str">
        <f>"080065844872"</f>
        <v>080065844872</v>
      </c>
      <c r="F1041" s="3">
        <v>45817</v>
      </c>
      <c r="G1041">
        <v>202603</v>
      </c>
      <c r="H1041" t="s">
        <v>75</v>
      </c>
      <c r="I1041" t="s">
        <v>76</v>
      </c>
      <c r="J1041" t="s">
        <v>77</v>
      </c>
      <c r="K1041" t="s">
        <v>78</v>
      </c>
      <c r="L1041" t="s">
        <v>100</v>
      </c>
      <c r="M1041" t="s">
        <v>101</v>
      </c>
      <c r="N1041" t="s">
        <v>585</v>
      </c>
      <c r="O1041" t="s">
        <v>82</v>
      </c>
      <c r="P1041" t="str">
        <f>"4170042909                    "</f>
        <v xml:space="preserve">4170042909                    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20.9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1</v>
      </c>
      <c r="BI1041">
        <v>1</v>
      </c>
      <c r="BJ1041">
        <v>0.2</v>
      </c>
      <c r="BK1041">
        <v>1</v>
      </c>
      <c r="BL1041">
        <v>69.5</v>
      </c>
      <c r="BM1041">
        <v>10.43</v>
      </c>
      <c r="BN1041">
        <v>79.930000000000007</v>
      </c>
      <c r="BO1041">
        <v>79.930000000000007</v>
      </c>
      <c r="BQ1041" t="s">
        <v>586</v>
      </c>
      <c r="BR1041" t="s">
        <v>84</v>
      </c>
      <c r="BS1041" s="3">
        <v>45818</v>
      </c>
      <c r="BT1041" s="4">
        <v>0.34444444444444444</v>
      </c>
      <c r="BU1041" t="s">
        <v>1390</v>
      </c>
      <c r="BV1041" t="s">
        <v>86</v>
      </c>
      <c r="BY1041">
        <v>1200</v>
      </c>
      <c r="CA1041" t="s">
        <v>589</v>
      </c>
      <c r="CC1041" t="s">
        <v>101</v>
      </c>
      <c r="CD1041">
        <v>6001</v>
      </c>
      <c r="CE1041" t="s">
        <v>215</v>
      </c>
      <c r="CF1041" s="3">
        <v>45818</v>
      </c>
      <c r="CI1041">
        <v>1</v>
      </c>
      <c r="CJ1041">
        <v>1</v>
      </c>
      <c r="CK1041">
        <v>21</v>
      </c>
      <c r="CL1041" t="s">
        <v>90</v>
      </c>
    </row>
    <row r="1042" spans="1:90" x14ac:dyDescent="0.3">
      <c r="A1042" t="s">
        <v>72</v>
      </c>
      <c r="B1042" t="s">
        <v>73</v>
      </c>
      <c r="C1042" t="s">
        <v>74</v>
      </c>
      <c r="E1042" t="str">
        <f>"080065844875"</f>
        <v>080065844875</v>
      </c>
      <c r="F1042" s="3">
        <v>45817</v>
      </c>
      <c r="G1042">
        <v>202603</v>
      </c>
      <c r="H1042" t="s">
        <v>75</v>
      </c>
      <c r="I1042" t="s">
        <v>76</v>
      </c>
      <c r="J1042" t="s">
        <v>77</v>
      </c>
      <c r="K1042" t="s">
        <v>78</v>
      </c>
      <c r="L1042" t="s">
        <v>91</v>
      </c>
      <c r="M1042" t="s">
        <v>92</v>
      </c>
      <c r="N1042" t="s">
        <v>540</v>
      </c>
      <c r="O1042" t="s">
        <v>82</v>
      </c>
      <c r="P1042" t="str">
        <f>"4170042792                    "</f>
        <v xml:space="preserve">4170042792                    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20.9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0</v>
      </c>
      <c r="BF1042">
        <v>0</v>
      </c>
      <c r="BG1042">
        <v>0</v>
      </c>
      <c r="BH1042">
        <v>1</v>
      </c>
      <c r="BI1042">
        <v>1</v>
      </c>
      <c r="BJ1042">
        <v>1.1000000000000001</v>
      </c>
      <c r="BK1042">
        <v>1.5</v>
      </c>
      <c r="BL1042">
        <v>69.5</v>
      </c>
      <c r="BM1042">
        <v>10.43</v>
      </c>
      <c r="BN1042">
        <v>79.930000000000007</v>
      </c>
      <c r="BO1042">
        <v>79.930000000000007</v>
      </c>
      <c r="BQ1042" t="s">
        <v>541</v>
      </c>
      <c r="BR1042" t="s">
        <v>84</v>
      </c>
      <c r="BS1042" s="3">
        <v>45818</v>
      </c>
      <c r="BT1042" s="4">
        <v>0.40625</v>
      </c>
      <c r="BU1042" t="s">
        <v>1725</v>
      </c>
      <c r="BV1042" t="s">
        <v>86</v>
      </c>
      <c r="BY1042">
        <v>5320</v>
      </c>
      <c r="CA1042" t="s">
        <v>291</v>
      </c>
      <c r="CC1042" t="s">
        <v>92</v>
      </c>
      <c r="CD1042">
        <v>7441</v>
      </c>
      <c r="CE1042" t="s">
        <v>292</v>
      </c>
      <c r="CF1042" s="3">
        <v>45819</v>
      </c>
      <c r="CI1042">
        <v>1</v>
      </c>
      <c r="CJ1042">
        <v>1</v>
      </c>
      <c r="CK1042">
        <v>21</v>
      </c>
      <c r="CL1042" t="s">
        <v>90</v>
      </c>
    </row>
    <row r="1043" spans="1:90" x14ac:dyDescent="0.3">
      <c r="A1043" t="s">
        <v>72</v>
      </c>
      <c r="B1043" t="s">
        <v>73</v>
      </c>
      <c r="C1043" t="s">
        <v>74</v>
      </c>
      <c r="E1043" t="str">
        <f>"080065844900"</f>
        <v>080065844900</v>
      </c>
      <c r="F1043" s="3">
        <v>45817</v>
      </c>
      <c r="G1043">
        <v>202603</v>
      </c>
      <c r="H1043" t="s">
        <v>75</v>
      </c>
      <c r="I1043" t="s">
        <v>76</v>
      </c>
      <c r="J1043" t="s">
        <v>77</v>
      </c>
      <c r="K1043" t="s">
        <v>78</v>
      </c>
      <c r="L1043" t="s">
        <v>91</v>
      </c>
      <c r="M1043" t="s">
        <v>92</v>
      </c>
      <c r="N1043" t="s">
        <v>1252</v>
      </c>
      <c r="O1043" t="s">
        <v>82</v>
      </c>
      <c r="P1043" t="str">
        <f>"4170042943                    "</f>
        <v xml:space="preserve">4170042943                    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20.9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0</v>
      </c>
      <c r="BF1043">
        <v>0</v>
      </c>
      <c r="BG1043">
        <v>0</v>
      </c>
      <c r="BH1043">
        <v>1</v>
      </c>
      <c r="BI1043">
        <v>1</v>
      </c>
      <c r="BJ1043">
        <v>0.2</v>
      </c>
      <c r="BK1043">
        <v>1</v>
      </c>
      <c r="BL1043">
        <v>69.5</v>
      </c>
      <c r="BM1043">
        <v>10.43</v>
      </c>
      <c r="BN1043">
        <v>79.930000000000007</v>
      </c>
      <c r="BO1043">
        <v>79.930000000000007</v>
      </c>
      <c r="BQ1043" t="s">
        <v>1253</v>
      </c>
      <c r="BR1043" t="s">
        <v>84</v>
      </c>
      <c r="BS1043" s="3">
        <v>45818</v>
      </c>
      <c r="BT1043" s="4">
        <v>0.43125000000000002</v>
      </c>
      <c r="BU1043" t="s">
        <v>1752</v>
      </c>
      <c r="BV1043" t="s">
        <v>86</v>
      </c>
      <c r="BY1043">
        <v>1200</v>
      </c>
      <c r="CA1043" t="s">
        <v>1255</v>
      </c>
      <c r="CC1043" t="s">
        <v>92</v>
      </c>
      <c r="CD1043">
        <v>7800</v>
      </c>
      <c r="CE1043" t="s">
        <v>1029</v>
      </c>
      <c r="CF1043" s="3">
        <v>45819</v>
      </c>
      <c r="CI1043">
        <v>1</v>
      </c>
      <c r="CJ1043">
        <v>1</v>
      </c>
      <c r="CK1043">
        <v>21</v>
      </c>
      <c r="CL1043" t="s">
        <v>90</v>
      </c>
    </row>
    <row r="1044" spans="1:90" x14ac:dyDescent="0.3">
      <c r="A1044" t="s">
        <v>72</v>
      </c>
      <c r="B1044" t="s">
        <v>73</v>
      </c>
      <c r="C1044" t="s">
        <v>74</v>
      </c>
      <c r="E1044" t="str">
        <f>"080065844911"</f>
        <v>080065844911</v>
      </c>
      <c r="F1044" s="3">
        <v>45817</v>
      </c>
      <c r="G1044">
        <v>202603</v>
      </c>
      <c r="H1044" t="s">
        <v>75</v>
      </c>
      <c r="I1044" t="s">
        <v>76</v>
      </c>
      <c r="J1044" t="s">
        <v>77</v>
      </c>
      <c r="K1044" t="s">
        <v>78</v>
      </c>
      <c r="L1044" t="s">
        <v>100</v>
      </c>
      <c r="M1044" t="s">
        <v>101</v>
      </c>
      <c r="N1044" t="s">
        <v>585</v>
      </c>
      <c r="O1044" t="s">
        <v>82</v>
      </c>
      <c r="P1044" t="str">
        <f>"4170042836                    "</f>
        <v xml:space="preserve">4170042836                    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52.22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0</v>
      </c>
      <c r="BF1044">
        <v>0</v>
      </c>
      <c r="BG1044">
        <v>0</v>
      </c>
      <c r="BH1044">
        <v>1</v>
      </c>
      <c r="BI1044">
        <v>5</v>
      </c>
      <c r="BJ1044">
        <v>1.7</v>
      </c>
      <c r="BK1044">
        <v>5</v>
      </c>
      <c r="BL1044">
        <v>173.66</v>
      </c>
      <c r="BM1044">
        <v>26.05</v>
      </c>
      <c r="BN1044">
        <v>199.71</v>
      </c>
      <c r="BO1044">
        <v>199.71</v>
      </c>
      <c r="BQ1044" t="s">
        <v>586</v>
      </c>
      <c r="BR1044" t="s">
        <v>84</v>
      </c>
      <c r="BS1044" s="3">
        <v>45818</v>
      </c>
      <c r="BT1044" s="4">
        <v>0.34444444444444444</v>
      </c>
      <c r="BU1044" t="s">
        <v>783</v>
      </c>
      <c r="BV1044" t="s">
        <v>86</v>
      </c>
      <c r="BY1044">
        <v>8512</v>
      </c>
      <c r="CA1044" t="s">
        <v>589</v>
      </c>
      <c r="CC1044" t="s">
        <v>101</v>
      </c>
      <c r="CD1044">
        <v>6001</v>
      </c>
      <c r="CE1044" t="s">
        <v>1029</v>
      </c>
      <c r="CF1044" s="3">
        <v>45818</v>
      </c>
      <c r="CI1044">
        <v>1</v>
      </c>
      <c r="CJ1044">
        <v>1</v>
      </c>
      <c r="CK1044">
        <v>21</v>
      </c>
      <c r="CL1044" t="s">
        <v>90</v>
      </c>
    </row>
    <row r="1045" spans="1:90" x14ac:dyDescent="0.3">
      <c r="A1045" t="s">
        <v>72</v>
      </c>
      <c r="B1045" t="s">
        <v>73</v>
      </c>
      <c r="C1045" t="s">
        <v>74</v>
      </c>
      <c r="E1045" t="str">
        <f>"080065844962"</f>
        <v>080065844962</v>
      </c>
      <c r="F1045" s="3">
        <v>45817</v>
      </c>
      <c r="G1045">
        <v>202603</v>
      </c>
      <c r="H1045" t="s">
        <v>75</v>
      </c>
      <c r="I1045" t="s">
        <v>76</v>
      </c>
      <c r="J1045" t="s">
        <v>77</v>
      </c>
      <c r="K1045" t="s">
        <v>78</v>
      </c>
      <c r="L1045" t="s">
        <v>311</v>
      </c>
      <c r="M1045" t="s">
        <v>312</v>
      </c>
      <c r="N1045" t="s">
        <v>313</v>
      </c>
      <c r="O1045" t="s">
        <v>82</v>
      </c>
      <c r="P1045" t="str">
        <f>"4170042858                    "</f>
        <v xml:space="preserve">4170042858                    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40.49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0</v>
      </c>
      <c r="BF1045">
        <v>0</v>
      </c>
      <c r="BG1045">
        <v>0</v>
      </c>
      <c r="BH1045">
        <v>1</v>
      </c>
      <c r="BI1045">
        <v>1</v>
      </c>
      <c r="BJ1045">
        <v>1.2</v>
      </c>
      <c r="BK1045">
        <v>1.5</v>
      </c>
      <c r="BL1045">
        <v>134.65</v>
      </c>
      <c r="BM1045">
        <v>20.2</v>
      </c>
      <c r="BN1045">
        <v>154.85</v>
      </c>
      <c r="BO1045">
        <v>154.85</v>
      </c>
      <c r="BQ1045" t="s">
        <v>314</v>
      </c>
      <c r="BR1045" t="s">
        <v>84</v>
      </c>
      <c r="BS1045" s="3">
        <v>45818</v>
      </c>
      <c r="BT1045" s="4">
        <v>0.53472222222222221</v>
      </c>
      <c r="BU1045" t="s">
        <v>315</v>
      </c>
      <c r="BV1045" t="s">
        <v>86</v>
      </c>
      <c r="BY1045">
        <v>5760</v>
      </c>
      <c r="CA1045" t="s">
        <v>316</v>
      </c>
      <c r="CC1045" t="s">
        <v>312</v>
      </c>
      <c r="CD1045">
        <v>1028</v>
      </c>
      <c r="CE1045" t="s">
        <v>292</v>
      </c>
      <c r="CF1045" s="3">
        <v>45818</v>
      </c>
      <c r="CI1045">
        <v>1</v>
      </c>
      <c r="CJ1045">
        <v>1</v>
      </c>
      <c r="CK1045">
        <v>23</v>
      </c>
      <c r="CL1045" t="s">
        <v>90</v>
      </c>
    </row>
    <row r="1046" spans="1:90" x14ac:dyDescent="0.3">
      <c r="A1046" t="s">
        <v>72</v>
      </c>
      <c r="B1046" t="s">
        <v>73</v>
      </c>
      <c r="C1046" t="s">
        <v>74</v>
      </c>
      <c r="E1046" t="str">
        <f>"080065844990"</f>
        <v>080065844990</v>
      </c>
      <c r="F1046" s="3">
        <v>45817</v>
      </c>
      <c r="G1046">
        <v>202603</v>
      </c>
      <c r="H1046" t="s">
        <v>75</v>
      </c>
      <c r="I1046" t="s">
        <v>76</v>
      </c>
      <c r="J1046" t="s">
        <v>77</v>
      </c>
      <c r="K1046" t="s">
        <v>78</v>
      </c>
      <c r="L1046" t="s">
        <v>79</v>
      </c>
      <c r="M1046" t="s">
        <v>80</v>
      </c>
      <c r="N1046" t="s">
        <v>236</v>
      </c>
      <c r="O1046" t="s">
        <v>82</v>
      </c>
      <c r="P1046" t="str">
        <f>"4170042961                    "</f>
        <v xml:space="preserve">4170042961                    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58.01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1</v>
      </c>
      <c r="BI1046">
        <v>4</v>
      </c>
      <c r="BJ1046">
        <v>1.7</v>
      </c>
      <c r="BK1046">
        <v>4</v>
      </c>
      <c r="BL1046">
        <v>192.92</v>
      </c>
      <c r="BM1046">
        <v>28.94</v>
      </c>
      <c r="BN1046">
        <v>221.86</v>
      </c>
      <c r="BO1046">
        <v>221.86</v>
      </c>
      <c r="BQ1046" t="s">
        <v>237</v>
      </c>
      <c r="BR1046" t="s">
        <v>84</v>
      </c>
      <c r="BS1046" s="3">
        <v>45818</v>
      </c>
      <c r="BT1046" s="4">
        <v>0.44444444444444442</v>
      </c>
      <c r="BU1046" t="s">
        <v>1753</v>
      </c>
      <c r="BV1046" t="s">
        <v>86</v>
      </c>
      <c r="BY1046">
        <v>8550</v>
      </c>
      <c r="CA1046" t="s">
        <v>720</v>
      </c>
      <c r="CC1046" t="s">
        <v>80</v>
      </c>
      <c r="CD1046">
        <v>1754</v>
      </c>
      <c r="CE1046" t="s">
        <v>292</v>
      </c>
      <c r="CF1046" s="3">
        <v>45818</v>
      </c>
      <c r="CI1046">
        <v>1</v>
      </c>
      <c r="CJ1046">
        <v>1</v>
      </c>
      <c r="CK1046">
        <v>24</v>
      </c>
      <c r="CL1046" t="s">
        <v>90</v>
      </c>
    </row>
    <row r="1047" spans="1:90" x14ac:dyDescent="0.3">
      <c r="A1047" t="s">
        <v>72</v>
      </c>
      <c r="B1047" t="s">
        <v>73</v>
      </c>
      <c r="C1047" t="s">
        <v>74</v>
      </c>
      <c r="E1047" t="str">
        <f>"080065845030"</f>
        <v>080065845030</v>
      </c>
      <c r="F1047" s="3">
        <v>45817</v>
      </c>
      <c r="G1047">
        <v>202603</v>
      </c>
      <c r="H1047" t="s">
        <v>75</v>
      </c>
      <c r="I1047" t="s">
        <v>76</v>
      </c>
      <c r="J1047" t="s">
        <v>77</v>
      </c>
      <c r="K1047" t="s">
        <v>78</v>
      </c>
      <c r="L1047" t="s">
        <v>100</v>
      </c>
      <c r="M1047" t="s">
        <v>101</v>
      </c>
      <c r="N1047" t="s">
        <v>1754</v>
      </c>
      <c r="O1047" t="s">
        <v>82</v>
      </c>
      <c r="P1047" t="str">
        <f>"4170042910                    "</f>
        <v xml:space="preserve">4170042910                    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41.78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0</v>
      </c>
      <c r="BF1047">
        <v>0</v>
      </c>
      <c r="BG1047">
        <v>0</v>
      </c>
      <c r="BH1047">
        <v>1</v>
      </c>
      <c r="BI1047">
        <v>4</v>
      </c>
      <c r="BJ1047">
        <v>1.6</v>
      </c>
      <c r="BK1047">
        <v>4</v>
      </c>
      <c r="BL1047">
        <v>138.94</v>
      </c>
      <c r="BM1047">
        <v>20.84</v>
      </c>
      <c r="BN1047">
        <v>159.78</v>
      </c>
      <c r="BO1047">
        <v>159.78</v>
      </c>
      <c r="BQ1047" t="s">
        <v>1755</v>
      </c>
      <c r="BR1047" t="s">
        <v>84</v>
      </c>
      <c r="BS1047" s="3">
        <v>45818</v>
      </c>
      <c r="BT1047" s="4">
        <v>0.35</v>
      </c>
      <c r="BU1047" t="s">
        <v>1756</v>
      </c>
      <c r="BV1047" t="s">
        <v>86</v>
      </c>
      <c r="BY1047">
        <v>7840</v>
      </c>
      <c r="CA1047" t="s">
        <v>283</v>
      </c>
      <c r="CC1047" t="s">
        <v>101</v>
      </c>
      <c r="CD1047">
        <v>6001</v>
      </c>
      <c r="CE1047" t="s">
        <v>166</v>
      </c>
      <c r="CF1047" s="3">
        <v>45818</v>
      </c>
      <c r="CI1047">
        <v>1</v>
      </c>
      <c r="CJ1047">
        <v>1</v>
      </c>
      <c r="CK1047">
        <v>21</v>
      </c>
      <c r="CL1047" t="s">
        <v>90</v>
      </c>
    </row>
    <row r="1048" spans="1:90" x14ac:dyDescent="0.3">
      <c r="A1048" t="s">
        <v>72</v>
      </c>
      <c r="B1048" t="s">
        <v>73</v>
      </c>
      <c r="C1048" t="s">
        <v>74</v>
      </c>
      <c r="E1048" t="str">
        <f>"080065845054"</f>
        <v>080065845054</v>
      </c>
      <c r="F1048" s="3">
        <v>45817</v>
      </c>
      <c r="G1048">
        <v>202603</v>
      </c>
      <c r="H1048" t="s">
        <v>75</v>
      </c>
      <c r="I1048" t="s">
        <v>76</v>
      </c>
      <c r="J1048" t="s">
        <v>77</v>
      </c>
      <c r="K1048" t="s">
        <v>78</v>
      </c>
      <c r="L1048" t="s">
        <v>130</v>
      </c>
      <c r="M1048" t="s">
        <v>131</v>
      </c>
      <c r="N1048" t="s">
        <v>451</v>
      </c>
      <c r="O1048" t="s">
        <v>82</v>
      </c>
      <c r="P1048" t="str">
        <f>"4170042838                    "</f>
        <v xml:space="preserve">4170042838                    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16.32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0</v>
      </c>
      <c r="BF1048">
        <v>0</v>
      </c>
      <c r="BG1048">
        <v>0</v>
      </c>
      <c r="BH1048">
        <v>1</v>
      </c>
      <c r="BI1048">
        <v>5</v>
      </c>
      <c r="BJ1048">
        <v>3</v>
      </c>
      <c r="BK1048">
        <v>5</v>
      </c>
      <c r="BL1048">
        <v>54.28</v>
      </c>
      <c r="BM1048">
        <v>8.14</v>
      </c>
      <c r="BN1048">
        <v>62.42</v>
      </c>
      <c r="BO1048">
        <v>62.42</v>
      </c>
      <c r="BQ1048" t="s">
        <v>452</v>
      </c>
      <c r="BR1048" t="s">
        <v>84</v>
      </c>
      <c r="BS1048" s="3">
        <v>45818</v>
      </c>
      <c r="BT1048" s="4">
        <v>0.4284722222222222</v>
      </c>
      <c r="BU1048" t="s">
        <v>1564</v>
      </c>
      <c r="BV1048" t="s">
        <v>86</v>
      </c>
      <c r="BY1048">
        <v>14848</v>
      </c>
      <c r="CA1048" t="s">
        <v>454</v>
      </c>
      <c r="CC1048" t="s">
        <v>131</v>
      </c>
      <c r="CD1048">
        <v>1459</v>
      </c>
      <c r="CE1048" t="s">
        <v>166</v>
      </c>
      <c r="CF1048" s="3">
        <v>45819</v>
      </c>
      <c r="CI1048">
        <v>1</v>
      </c>
      <c r="CJ1048">
        <v>1</v>
      </c>
      <c r="CK1048">
        <v>22</v>
      </c>
      <c r="CL1048" t="s">
        <v>90</v>
      </c>
    </row>
    <row r="1049" spans="1:90" x14ac:dyDescent="0.3">
      <c r="A1049" t="s">
        <v>72</v>
      </c>
      <c r="B1049" t="s">
        <v>73</v>
      </c>
      <c r="C1049" t="s">
        <v>74</v>
      </c>
      <c r="E1049" t="str">
        <f>"080065845082"</f>
        <v>080065845082</v>
      </c>
      <c r="F1049" s="3">
        <v>45817</v>
      </c>
      <c r="G1049">
        <v>202603</v>
      </c>
      <c r="H1049" t="s">
        <v>75</v>
      </c>
      <c r="I1049" t="s">
        <v>76</v>
      </c>
      <c r="J1049" t="s">
        <v>77</v>
      </c>
      <c r="K1049" t="s">
        <v>78</v>
      </c>
      <c r="L1049" t="s">
        <v>91</v>
      </c>
      <c r="M1049" t="s">
        <v>92</v>
      </c>
      <c r="N1049" t="s">
        <v>1348</v>
      </c>
      <c r="O1049" t="s">
        <v>94</v>
      </c>
      <c r="P1049" t="str">
        <f>"4170042805                    "</f>
        <v xml:space="preserve">4170042805                    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45.42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0</v>
      </c>
      <c r="BF1049">
        <v>0</v>
      </c>
      <c r="BG1049">
        <v>0</v>
      </c>
      <c r="BH1049">
        <v>1</v>
      </c>
      <c r="BI1049">
        <v>5</v>
      </c>
      <c r="BJ1049">
        <v>17.7</v>
      </c>
      <c r="BK1049">
        <v>18</v>
      </c>
      <c r="BL1049">
        <v>156.61000000000001</v>
      </c>
      <c r="BM1049">
        <v>23.49</v>
      </c>
      <c r="BN1049">
        <v>180.1</v>
      </c>
      <c r="BO1049">
        <v>180.1</v>
      </c>
      <c r="BQ1049" t="s">
        <v>1349</v>
      </c>
      <c r="BR1049" t="s">
        <v>84</v>
      </c>
      <c r="BS1049" s="3">
        <v>45819</v>
      </c>
      <c r="BT1049" s="4">
        <v>0.41180555555555554</v>
      </c>
      <c r="BU1049" t="s">
        <v>1757</v>
      </c>
      <c r="BV1049" t="s">
        <v>86</v>
      </c>
      <c r="BY1049">
        <v>88320</v>
      </c>
      <c r="CA1049" t="s">
        <v>1350</v>
      </c>
      <c r="CC1049" t="s">
        <v>92</v>
      </c>
      <c r="CD1049">
        <v>7535</v>
      </c>
      <c r="CE1049" t="s">
        <v>687</v>
      </c>
      <c r="CF1049" s="3">
        <v>45820</v>
      </c>
      <c r="CI1049">
        <v>3</v>
      </c>
      <c r="CJ1049">
        <v>2</v>
      </c>
      <c r="CK1049">
        <v>41</v>
      </c>
      <c r="CL1049" t="s">
        <v>90</v>
      </c>
    </row>
    <row r="1050" spans="1:90" x14ac:dyDescent="0.3">
      <c r="A1050" t="s">
        <v>72</v>
      </c>
      <c r="B1050" t="s">
        <v>73</v>
      </c>
      <c r="C1050" t="s">
        <v>74</v>
      </c>
      <c r="E1050" t="str">
        <f>"080065845575"</f>
        <v>080065845575</v>
      </c>
      <c r="F1050" s="3">
        <v>45817</v>
      </c>
      <c r="G1050">
        <v>202603</v>
      </c>
      <c r="H1050" t="s">
        <v>75</v>
      </c>
      <c r="I1050" t="s">
        <v>76</v>
      </c>
      <c r="J1050" t="s">
        <v>77</v>
      </c>
      <c r="K1050" t="s">
        <v>78</v>
      </c>
      <c r="L1050" t="s">
        <v>106</v>
      </c>
      <c r="M1050" t="s">
        <v>107</v>
      </c>
      <c r="N1050" t="s">
        <v>364</v>
      </c>
      <c r="O1050" t="s">
        <v>82</v>
      </c>
      <c r="P1050" t="str">
        <f>"4170042868                    "</f>
        <v xml:space="preserve">4170042868                    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20.9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0</v>
      </c>
      <c r="BF1050">
        <v>0</v>
      </c>
      <c r="BG1050">
        <v>0</v>
      </c>
      <c r="BH1050">
        <v>1</v>
      </c>
      <c r="BI1050">
        <v>1</v>
      </c>
      <c r="BJ1050">
        <v>0.2</v>
      </c>
      <c r="BK1050">
        <v>1</v>
      </c>
      <c r="BL1050">
        <v>69.5</v>
      </c>
      <c r="BM1050">
        <v>10.43</v>
      </c>
      <c r="BN1050">
        <v>79.930000000000007</v>
      </c>
      <c r="BO1050">
        <v>79.930000000000007</v>
      </c>
      <c r="BQ1050" t="s">
        <v>365</v>
      </c>
      <c r="BR1050" t="s">
        <v>84</v>
      </c>
      <c r="BS1050" s="3">
        <v>45818</v>
      </c>
      <c r="BT1050" s="4">
        <v>0.37638888888888888</v>
      </c>
      <c r="BU1050" t="s">
        <v>1758</v>
      </c>
      <c r="BV1050" t="s">
        <v>86</v>
      </c>
      <c r="BY1050">
        <v>1200</v>
      </c>
      <c r="CA1050" t="s">
        <v>1751</v>
      </c>
      <c r="CC1050" t="s">
        <v>107</v>
      </c>
      <c r="CD1050">
        <v>1</v>
      </c>
      <c r="CE1050" t="s">
        <v>215</v>
      </c>
      <c r="CF1050" s="3">
        <v>45818</v>
      </c>
      <c r="CI1050">
        <v>1</v>
      </c>
      <c r="CJ1050">
        <v>1</v>
      </c>
      <c r="CK1050">
        <v>21</v>
      </c>
      <c r="CL1050" t="s">
        <v>90</v>
      </c>
    </row>
    <row r="1051" spans="1:90" x14ac:dyDescent="0.3">
      <c r="A1051" t="s">
        <v>72</v>
      </c>
      <c r="B1051" t="s">
        <v>73</v>
      </c>
      <c r="C1051" t="s">
        <v>74</v>
      </c>
      <c r="E1051" t="str">
        <f>"080065845578"</f>
        <v>080065845578</v>
      </c>
      <c r="F1051" s="3">
        <v>45817</v>
      </c>
      <c r="G1051">
        <v>202603</v>
      </c>
      <c r="H1051" t="s">
        <v>75</v>
      </c>
      <c r="I1051" t="s">
        <v>76</v>
      </c>
      <c r="J1051" t="s">
        <v>77</v>
      </c>
      <c r="K1051" t="s">
        <v>78</v>
      </c>
      <c r="L1051" t="s">
        <v>1645</v>
      </c>
      <c r="M1051" t="s">
        <v>1646</v>
      </c>
      <c r="N1051" t="s">
        <v>1647</v>
      </c>
      <c r="O1051" t="s">
        <v>82</v>
      </c>
      <c r="P1051" t="str">
        <f>"4170042849                    "</f>
        <v xml:space="preserve">4170042849                    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29.39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0</v>
      </c>
      <c r="BF1051">
        <v>0</v>
      </c>
      <c r="BG1051">
        <v>0</v>
      </c>
      <c r="BH1051">
        <v>1</v>
      </c>
      <c r="BI1051">
        <v>1</v>
      </c>
      <c r="BJ1051">
        <v>0.9</v>
      </c>
      <c r="BK1051">
        <v>1</v>
      </c>
      <c r="BL1051">
        <v>97.74</v>
      </c>
      <c r="BM1051">
        <v>14.66</v>
      </c>
      <c r="BN1051">
        <v>112.4</v>
      </c>
      <c r="BO1051">
        <v>112.4</v>
      </c>
      <c r="BQ1051" t="s">
        <v>1648</v>
      </c>
      <c r="BR1051" t="s">
        <v>84</v>
      </c>
      <c r="BS1051" s="3">
        <v>45818</v>
      </c>
      <c r="BT1051" s="4">
        <v>0.41319444444444442</v>
      </c>
      <c r="BU1051" t="s">
        <v>1649</v>
      </c>
      <c r="BV1051" t="s">
        <v>86</v>
      </c>
      <c r="BY1051">
        <v>4500</v>
      </c>
      <c r="CA1051" t="s">
        <v>1650</v>
      </c>
      <c r="CC1051" t="s">
        <v>1646</v>
      </c>
      <c r="CD1051">
        <v>2410</v>
      </c>
      <c r="CE1051" t="s">
        <v>166</v>
      </c>
      <c r="CF1051" s="3">
        <v>45818</v>
      </c>
      <c r="CI1051">
        <v>1</v>
      </c>
      <c r="CJ1051">
        <v>1</v>
      </c>
      <c r="CK1051">
        <v>24</v>
      </c>
      <c r="CL1051" t="s">
        <v>90</v>
      </c>
    </row>
    <row r="1052" spans="1:90" x14ac:dyDescent="0.3">
      <c r="A1052" t="s">
        <v>72</v>
      </c>
      <c r="B1052" t="s">
        <v>73</v>
      </c>
      <c r="C1052" t="s">
        <v>74</v>
      </c>
      <c r="E1052" t="str">
        <f>"080065845614"</f>
        <v>080065845614</v>
      </c>
      <c r="F1052" s="3">
        <v>45817</v>
      </c>
      <c r="G1052">
        <v>202603</v>
      </c>
      <c r="H1052" t="s">
        <v>75</v>
      </c>
      <c r="I1052" t="s">
        <v>76</v>
      </c>
      <c r="J1052" t="s">
        <v>77</v>
      </c>
      <c r="K1052" t="s">
        <v>78</v>
      </c>
      <c r="L1052" t="s">
        <v>331</v>
      </c>
      <c r="M1052" t="s">
        <v>332</v>
      </c>
      <c r="N1052" t="s">
        <v>1053</v>
      </c>
      <c r="O1052" t="s">
        <v>82</v>
      </c>
      <c r="P1052" t="str">
        <f>"4170042922                    "</f>
        <v xml:space="preserve">4170042922                    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20.9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1</v>
      </c>
      <c r="BI1052">
        <v>1</v>
      </c>
      <c r="BJ1052">
        <v>0.2</v>
      </c>
      <c r="BK1052">
        <v>1</v>
      </c>
      <c r="BL1052">
        <v>69.5</v>
      </c>
      <c r="BM1052">
        <v>10.43</v>
      </c>
      <c r="BN1052">
        <v>79.930000000000007</v>
      </c>
      <c r="BO1052">
        <v>79.930000000000007</v>
      </c>
      <c r="BQ1052" t="s">
        <v>1054</v>
      </c>
      <c r="BR1052" t="s">
        <v>84</v>
      </c>
      <c r="BS1052" s="3">
        <v>45818</v>
      </c>
      <c r="BT1052" s="4">
        <v>0.58194444444444449</v>
      </c>
      <c r="BU1052" t="s">
        <v>1759</v>
      </c>
      <c r="BV1052" t="s">
        <v>90</v>
      </c>
      <c r="BW1052" t="s">
        <v>416</v>
      </c>
      <c r="BX1052" t="s">
        <v>595</v>
      </c>
      <c r="BY1052">
        <v>1200</v>
      </c>
      <c r="CA1052" t="s">
        <v>179</v>
      </c>
      <c r="CC1052" t="s">
        <v>332</v>
      </c>
      <c r="CD1052">
        <v>4001</v>
      </c>
      <c r="CE1052" t="s">
        <v>215</v>
      </c>
      <c r="CF1052" s="3">
        <v>45819</v>
      </c>
      <c r="CI1052">
        <v>1</v>
      </c>
      <c r="CJ1052">
        <v>1</v>
      </c>
      <c r="CK1052">
        <v>21</v>
      </c>
      <c r="CL1052" t="s">
        <v>90</v>
      </c>
    </row>
    <row r="1053" spans="1:90" x14ac:dyDescent="0.3">
      <c r="A1053" t="s">
        <v>72</v>
      </c>
      <c r="B1053" t="s">
        <v>73</v>
      </c>
      <c r="C1053" t="s">
        <v>74</v>
      </c>
      <c r="E1053" t="str">
        <f>"080065845625"</f>
        <v>080065845625</v>
      </c>
      <c r="F1053" s="3">
        <v>45817</v>
      </c>
      <c r="G1053">
        <v>202603</v>
      </c>
      <c r="H1053" t="s">
        <v>75</v>
      </c>
      <c r="I1053" t="s">
        <v>76</v>
      </c>
      <c r="J1053" t="s">
        <v>77</v>
      </c>
      <c r="K1053" t="s">
        <v>78</v>
      </c>
      <c r="L1053" t="s">
        <v>413</v>
      </c>
      <c r="M1053" t="s">
        <v>414</v>
      </c>
      <c r="N1053" t="s">
        <v>1760</v>
      </c>
      <c r="O1053" t="s">
        <v>82</v>
      </c>
      <c r="P1053" t="str">
        <f>"4170042946                    "</f>
        <v xml:space="preserve">4170042946                    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52.22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16.739999999999998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0</v>
      </c>
      <c r="BF1053">
        <v>0</v>
      </c>
      <c r="BG1053">
        <v>0</v>
      </c>
      <c r="BH1053">
        <v>1</v>
      </c>
      <c r="BI1053">
        <v>5</v>
      </c>
      <c r="BJ1053">
        <v>3.4</v>
      </c>
      <c r="BK1053">
        <v>5</v>
      </c>
      <c r="BL1053">
        <v>190.4</v>
      </c>
      <c r="BM1053">
        <v>28.56</v>
      </c>
      <c r="BN1053">
        <v>218.96</v>
      </c>
      <c r="BO1053">
        <v>218.96</v>
      </c>
      <c r="BQ1053" t="s">
        <v>1761</v>
      </c>
      <c r="BR1053" t="s">
        <v>84</v>
      </c>
      <c r="BS1053" s="3">
        <v>45818</v>
      </c>
      <c r="BT1053" s="4">
        <v>0.61527777777777781</v>
      </c>
      <c r="BU1053" t="s">
        <v>1762</v>
      </c>
      <c r="BV1053" t="s">
        <v>90</v>
      </c>
      <c r="BW1053" t="s">
        <v>416</v>
      </c>
      <c r="BX1053" t="s">
        <v>417</v>
      </c>
      <c r="BY1053">
        <v>16965</v>
      </c>
      <c r="BZ1053" t="s">
        <v>30</v>
      </c>
      <c r="CA1053" t="s">
        <v>418</v>
      </c>
      <c r="CC1053" t="s">
        <v>414</v>
      </c>
      <c r="CD1053">
        <v>4133</v>
      </c>
      <c r="CE1053" t="s">
        <v>687</v>
      </c>
      <c r="CF1053" s="3">
        <v>45818</v>
      </c>
      <c r="CI1053">
        <v>1</v>
      </c>
      <c r="CJ1053">
        <v>1</v>
      </c>
      <c r="CK1053">
        <v>21</v>
      </c>
      <c r="CL1053" t="s">
        <v>90</v>
      </c>
    </row>
    <row r="1054" spans="1:90" x14ac:dyDescent="0.3">
      <c r="A1054" t="s">
        <v>72</v>
      </c>
      <c r="B1054" t="s">
        <v>73</v>
      </c>
      <c r="C1054" t="s">
        <v>74</v>
      </c>
      <c r="E1054" t="str">
        <f>"080065845645"</f>
        <v>080065845645</v>
      </c>
      <c r="F1054" s="3">
        <v>45817</v>
      </c>
      <c r="G1054">
        <v>202603</v>
      </c>
      <c r="H1054" t="s">
        <v>75</v>
      </c>
      <c r="I1054" t="s">
        <v>76</v>
      </c>
      <c r="J1054" t="s">
        <v>77</v>
      </c>
      <c r="K1054" t="s">
        <v>78</v>
      </c>
      <c r="L1054" t="s">
        <v>116</v>
      </c>
      <c r="M1054" t="s">
        <v>117</v>
      </c>
      <c r="N1054" t="s">
        <v>1016</v>
      </c>
      <c r="O1054" t="s">
        <v>82</v>
      </c>
      <c r="P1054" t="str">
        <f>"4170042822                    "</f>
        <v xml:space="preserve">4170042822                    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20.9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0</v>
      </c>
      <c r="BF1054">
        <v>0</v>
      </c>
      <c r="BG1054">
        <v>0</v>
      </c>
      <c r="BH1054">
        <v>1</v>
      </c>
      <c r="BI1054">
        <v>1</v>
      </c>
      <c r="BJ1054">
        <v>0.2</v>
      </c>
      <c r="BK1054">
        <v>1</v>
      </c>
      <c r="BL1054">
        <v>69.5</v>
      </c>
      <c r="BM1054">
        <v>10.43</v>
      </c>
      <c r="BN1054">
        <v>79.930000000000007</v>
      </c>
      <c r="BO1054">
        <v>79.930000000000007</v>
      </c>
      <c r="BQ1054" t="s">
        <v>1017</v>
      </c>
      <c r="BR1054" t="s">
        <v>84</v>
      </c>
      <c r="BS1054" s="3">
        <v>45818</v>
      </c>
      <c r="BT1054" s="4">
        <v>0.41666666666666669</v>
      </c>
      <c r="BU1054" t="s">
        <v>1674</v>
      </c>
      <c r="BV1054" t="s">
        <v>86</v>
      </c>
      <c r="BY1054">
        <v>1200</v>
      </c>
      <c r="CA1054" t="s">
        <v>121</v>
      </c>
      <c r="CC1054" t="s">
        <v>117</v>
      </c>
      <c r="CD1054">
        <v>3201</v>
      </c>
      <c r="CE1054" t="s">
        <v>215</v>
      </c>
      <c r="CF1054" s="3">
        <v>45819</v>
      </c>
      <c r="CI1054">
        <v>1</v>
      </c>
      <c r="CJ1054">
        <v>1</v>
      </c>
      <c r="CK1054">
        <v>21</v>
      </c>
      <c r="CL1054" t="s">
        <v>90</v>
      </c>
    </row>
    <row r="1055" spans="1:90" x14ac:dyDescent="0.3">
      <c r="A1055" t="s">
        <v>72</v>
      </c>
      <c r="B1055" t="s">
        <v>73</v>
      </c>
      <c r="C1055" t="s">
        <v>74</v>
      </c>
      <c r="E1055" t="str">
        <f>"080065845687"</f>
        <v>080065845687</v>
      </c>
      <c r="F1055" s="3">
        <v>45817</v>
      </c>
      <c r="G1055">
        <v>202603</v>
      </c>
      <c r="H1055" t="s">
        <v>75</v>
      </c>
      <c r="I1055" t="s">
        <v>76</v>
      </c>
      <c r="J1055" t="s">
        <v>77</v>
      </c>
      <c r="K1055" t="s">
        <v>78</v>
      </c>
      <c r="L1055" t="s">
        <v>100</v>
      </c>
      <c r="M1055" t="s">
        <v>101</v>
      </c>
      <c r="N1055" t="s">
        <v>564</v>
      </c>
      <c r="O1055" t="s">
        <v>82</v>
      </c>
      <c r="P1055" t="str">
        <f>"4170042864                    "</f>
        <v xml:space="preserve">4170042864                    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Q1055">
        <v>36.56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0</v>
      </c>
      <c r="BF1055">
        <v>0</v>
      </c>
      <c r="BG1055">
        <v>0</v>
      </c>
      <c r="BH1055">
        <v>1</v>
      </c>
      <c r="BI1055">
        <v>2</v>
      </c>
      <c r="BJ1055">
        <v>3.4</v>
      </c>
      <c r="BK1055">
        <v>3.5</v>
      </c>
      <c r="BL1055">
        <v>121.58</v>
      </c>
      <c r="BM1055">
        <v>18.239999999999998</v>
      </c>
      <c r="BN1055">
        <v>139.82</v>
      </c>
      <c r="BO1055">
        <v>139.82</v>
      </c>
      <c r="BQ1055" t="s">
        <v>565</v>
      </c>
      <c r="BR1055" t="s">
        <v>84</v>
      </c>
      <c r="BS1055" s="3">
        <v>45818</v>
      </c>
      <c r="BT1055" s="4">
        <v>0.37222222222222223</v>
      </c>
      <c r="BU1055" t="s">
        <v>1664</v>
      </c>
      <c r="BV1055" t="s">
        <v>86</v>
      </c>
      <c r="BY1055">
        <v>16965</v>
      </c>
      <c r="CA1055" t="s">
        <v>223</v>
      </c>
      <c r="CC1055" t="s">
        <v>101</v>
      </c>
      <c r="CD1055">
        <v>6001</v>
      </c>
      <c r="CE1055" t="s">
        <v>687</v>
      </c>
      <c r="CF1055" s="3">
        <v>45818</v>
      </c>
      <c r="CI1055">
        <v>1</v>
      </c>
      <c r="CJ1055">
        <v>1</v>
      </c>
      <c r="CK1055">
        <v>21</v>
      </c>
      <c r="CL1055" t="s">
        <v>90</v>
      </c>
    </row>
    <row r="1056" spans="1:90" x14ac:dyDescent="0.3">
      <c r="A1056" t="s">
        <v>72</v>
      </c>
      <c r="B1056" t="s">
        <v>73</v>
      </c>
      <c r="C1056" t="s">
        <v>74</v>
      </c>
      <c r="E1056" t="str">
        <f>"080065845703"</f>
        <v>080065845703</v>
      </c>
      <c r="F1056" s="3">
        <v>45817</v>
      </c>
      <c r="G1056">
        <v>202603</v>
      </c>
      <c r="H1056" t="s">
        <v>75</v>
      </c>
      <c r="I1056" t="s">
        <v>76</v>
      </c>
      <c r="J1056" t="s">
        <v>77</v>
      </c>
      <c r="K1056" t="s">
        <v>78</v>
      </c>
      <c r="L1056" t="s">
        <v>136</v>
      </c>
      <c r="M1056" t="s">
        <v>137</v>
      </c>
      <c r="N1056" t="s">
        <v>806</v>
      </c>
      <c r="O1056" t="s">
        <v>82</v>
      </c>
      <c r="P1056" t="str">
        <f>"4170042886                    "</f>
        <v xml:space="preserve">4170042886                    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20.9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0</v>
      </c>
      <c r="BF1056">
        <v>0</v>
      </c>
      <c r="BG1056">
        <v>0</v>
      </c>
      <c r="BH1056">
        <v>1</v>
      </c>
      <c r="BI1056">
        <v>1</v>
      </c>
      <c r="BJ1056">
        <v>0.2</v>
      </c>
      <c r="BK1056">
        <v>1</v>
      </c>
      <c r="BL1056">
        <v>69.5</v>
      </c>
      <c r="BM1056">
        <v>10.43</v>
      </c>
      <c r="BN1056">
        <v>79.930000000000007</v>
      </c>
      <c r="BO1056">
        <v>79.930000000000007</v>
      </c>
      <c r="BQ1056" t="s">
        <v>807</v>
      </c>
      <c r="BR1056" t="s">
        <v>84</v>
      </c>
      <c r="BS1056" s="3">
        <v>45818</v>
      </c>
      <c r="BT1056" s="4">
        <v>0.60416666666666663</v>
      </c>
      <c r="BU1056" t="s">
        <v>1682</v>
      </c>
      <c r="BV1056" t="s">
        <v>90</v>
      </c>
      <c r="BY1056">
        <v>1200</v>
      </c>
      <c r="CC1056" t="s">
        <v>137</v>
      </c>
      <c r="CD1056">
        <v>5200</v>
      </c>
      <c r="CE1056" t="s">
        <v>215</v>
      </c>
      <c r="CF1056" s="3">
        <v>45818</v>
      </c>
      <c r="CI1056">
        <v>1</v>
      </c>
      <c r="CJ1056">
        <v>1</v>
      </c>
      <c r="CK1056">
        <v>21</v>
      </c>
      <c r="CL1056" t="s">
        <v>90</v>
      </c>
    </row>
    <row r="1057" spans="1:90" x14ac:dyDescent="0.3">
      <c r="A1057" t="s">
        <v>72</v>
      </c>
      <c r="B1057" t="s">
        <v>73</v>
      </c>
      <c r="C1057" t="s">
        <v>74</v>
      </c>
      <c r="E1057" t="str">
        <f>"080065845736"</f>
        <v>080065845736</v>
      </c>
      <c r="F1057" s="3">
        <v>45817</v>
      </c>
      <c r="G1057">
        <v>202603</v>
      </c>
      <c r="H1057" t="s">
        <v>75</v>
      </c>
      <c r="I1057" t="s">
        <v>76</v>
      </c>
      <c r="J1057" t="s">
        <v>77</v>
      </c>
      <c r="K1057" t="s">
        <v>78</v>
      </c>
      <c r="L1057" t="s">
        <v>331</v>
      </c>
      <c r="M1057" t="s">
        <v>332</v>
      </c>
      <c r="N1057" t="s">
        <v>1499</v>
      </c>
      <c r="O1057" t="s">
        <v>82</v>
      </c>
      <c r="P1057" t="str">
        <f>"4170042895                    "</f>
        <v xml:space="preserve">4170042895                    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>
        <v>20.9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0</v>
      </c>
      <c r="BF1057">
        <v>0</v>
      </c>
      <c r="BG1057">
        <v>0</v>
      </c>
      <c r="BH1057">
        <v>1</v>
      </c>
      <c r="BI1057">
        <v>1</v>
      </c>
      <c r="BJ1057">
        <v>0.2</v>
      </c>
      <c r="BK1057">
        <v>1</v>
      </c>
      <c r="BL1057">
        <v>69.5</v>
      </c>
      <c r="BM1057">
        <v>10.43</v>
      </c>
      <c r="BN1057">
        <v>79.930000000000007</v>
      </c>
      <c r="BO1057">
        <v>79.930000000000007</v>
      </c>
      <c r="BQ1057" t="s">
        <v>1500</v>
      </c>
      <c r="BR1057" t="s">
        <v>84</v>
      </c>
      <c r="BS1057" s="3">
        <v>45818</v>
      </c>
      <c r="BT1057" s="4">
        <v>0.33819444444444446</v>
      </c>
      <c r="BU1057" t="s">
        <v>1695</v>
      </c>
      <c r="BV1057" t="s">
        <v>86</v>
      </c>
      <c r="BY1057">
        <v>1200</v>
      </c>
      <c r="CA1057" t="s">
        <v>336</v>
      </c>
      <c r="CC1057" t="s">
        <v>332</v>
      </c>
      <c r="CD1057">
        <v>4000</v>
      </c>
      <c r="CE1057" t="s">
        <v>215</v>
      </c>
      <c r="CF1057" s="3">
        <v>45818</v>
      </c>
      <c r="CI1057">
        <v>1</v>
      </c>
      <c r="CJ1057">
        <v>1</v>
      </c>
      <c r="CK1057">
        <v>21</v>
      </c>
      <c r="CL1057" t="s">
        <v>90</v>
      </c>
    </row>
    <row r="1058" spans="1:90" x14ac:dyDescent="0.3">
      <c r="A1058" t="s">
        <v>72</v>
      </c>
      <c r="B1058" t="s">
        <v>73</v>
      </c>
      <c r="C1058" t="s">
        <v>74</v>
      </c>
      <c r="E1058" t="str">
        <f>"080065845746"</f>
        <v>080065845746</v>
      </c>
      <c r="F1058" s="3">
        <v>45817</v>
      </c>
      <c r="G1058">
        <v>202603</v>
      </c>
      <c r="H1058" t="s">
        <v>75</v>
      </c>
      <c r="I1058" t="s">
        <v>76</v>
      </c>
      <c r="J1058" t="s">
        <v>77</v>
      </c>
      <c r="K1058" t="s">
        <v>78</v>
      </c>
      <c r="L1058" t="s">
        <v>100</v>
      </c>
      <c r="M1058" t="s">
        <v>101</v>
      </c>
      <c r="N1058" t="s">
        <v>1763</v>
      </c>
      <c r="O1058" t="s">
        <v>82</v>
      </c>
      <c r="P1058" t="str">
        <f>"4170042887                    "</f>
        <v xml:space="preserve">4170042887                    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20.9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0</v>
      </c>
      <c r="BF1058">
        <v>0</v>
      </c>
      <c r="BG1058">
        <v>0</v>
      </c>
      <c r="BH1058">
        <v>1</v>
      </c>
      <c r="BI1058">
        <v>2</v>
      </c>
      <c r="BJ1058">
        <v>1.7</v>
      </c>
      <c r="BK1058">
        <v>2</v>
      </c>
      <c r="BL1058">
        <v>69.5</v>
      </c>
      <c r="BM1058">
        <v>10.43</v>
      </c>
      <c r="BN1058">
        <v>79.930000000000007</v>
      </c>
      <c r="BO1058">
        <v>79.930000000000007</v>
      </c>
      <c r="BQ1058" t="s">
        <v>1764</v>
      </c>
      <c r="BR1058" t="s">
        <v>84</v>
      </c>
      <c r="BS1058" s="3">
        <v>45818</v>
      </c>
      <c r="BT1058" s="4">
        <v>0.39930555555555558</v>
      </c>
      <c r="BU1058" t="s">
        <v>1765</v>
      </c>
      <c r="BV1058" t="s">
        <v>86</v>
      </c>
      <c r="BY1058">
        <v>8512</v>
      </c>
      <c r="CA1058" t="s">
        <v>394</v>
      </c>
      <c r="CC1058" t="s">
        <v>101</v>
      </c>
      <c r="CD1058">
        <v>6001</v>
      </c>
      <c r="CE1058" t="s">
        <v>292</v>
      </c>
      <c r="CF1058" s="3">
        <v>45818</v>
      </c>
      <c r="CI1058">
        <v>1</v>
      </c>
      <c r="CJ1058">
        <v>1</v>
      </c>
      <c r="CK1058">
        <v>21</v>
      </c>
      <c r="CL1058" t="s">
        <v>90</v>
      </c>
    </row>
    <row r="1059" spans="1:90" x14ac:dyDescent="0.3">
      <c r="A1059" t="s">
        <v>72</v>
      </c>
      <c r="B1059" t="s">
        <v>73</v>
      </c>
      <c r="C1059" t="s">
        <v>74</v>
      </c>
      <c r="E1059" t="str">
        <f>"080065845764"</f>
        <v>080065845764</v>
      </c>
      <c r="F1059" s="3">
        <v>45817</v>
      </c>
      <c r="G1059">
        <v>202603</v>
      </c>
      <c r="H1059" t="s">
        <v>75</v>
      </c>
      <c r="I1059" t="s">
        <v>76</v>
      </c>
      <c r="J1059" t="s">
        <v>77</v>
      </c>
      <c r="K1059" t="s">
        <v>78</v>
      </c>
      <c r="L1059" t="s">
        <v>375</v>
      </c>
      <c r="M1059" t="s">
        <v>376</v>
      </c>
      <c r="N1059" t="s">
        <v>498</v>
      </c>
      <c r="O1059" t="s">
        <v>82</v>
      </c>
      <c r="P1059" t="str">
        <f>"4170042846                    "</f>
        <v xml:space="preserve">4170042846                    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16.32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0</v>
      </c>
      <c r="BF1059">
        <v>0</v>
      </c>
      <c r="BG1059">
        <v>0</v>
      </c>
      <c r="BH1059">
        <v>1</v>
      </c>
      <c r="BI1059">
        <v>1</v>
      </c>
      <c r="BJ1059">
        <v>0.2</v>
      </c>
      <c r="BK1059">
        <v>1</v>
      </c>
      <c r="BL1059">
        <v>54.28</v>
      </c>
      <c r="BM1059">
        <v>8.14</v>
      </c>
      <c r="BN1059">
        <v>62.42</v>
      </c>
      <c r="BO1059">
        <v>62.42</v>
      </c>
      <c r="BQ1059" t="s">
        <v>499</v>
      </c>
      <c r="BR1059" t="s">
        <v>84</v>
      </c>
      <c r="BS1059" s="3">
        <v>45818</v>
      </c>
      <c r="BT1059" s="4">
        <v>0.38194444444444442</v>
      </c>
      <c r="BU1059" t="s">
        <v>880</v>
      </c>
      <c r="BV1059" t="s">
        <v>86</v>
      </c>
      <c r="BY1059">
        <v>1200</v>
      </c>
      <c r="CA1059" t="s">
        <v>501</v>
      </c>
      <c r="CC1059" t="s">
        <v>376</v>
      </c>
      <c r="CD1059">
        <v>1428</v>
      </c>
      <c r="CE1059" t="s">
        <v>215</v>
      </c>
      <c r="CF1059" s="3">
        <v>45818</v>
      </c>
      <c r="CI1059">
        <v>1</v>
      </c>
      <c r="CJ1059">
        <v>1</v>
      </c>
      <c r="CK1059">
        <v>22</v>
      </c>
      <c r="CL1059" t="s">
        <v>90</v>
      </c>
    </row>
    <row r="1060" spans="1:90" x14ac:dyDescent="0.3">
      <c r="A1060" t="s">
        <v>72</v>
      </c>
      <c r="B1060" t="s">
        <v>73</v>
      </c>
      <c r="C1060" t="s">
        <v>74</v>
      </c>
      <c r="E1060" t="str">
        <f>"080065845789"</f>
        <v>080065845789</v>
      </c>
      <c r="F1060" s="3">
        <v>45817</v>
      </c>
      <c r="G1060">
        <v>202603</v>
      </c>
      <c r="H1060" t="s">
        <v>75</v>
      </c>
      <c r="I1060" t="s">
        <v>76</v>
      </c>
      <c r="J1060" t="s">
        <v>77</v>
      </c>
      <c r="K1060" t="s">
        <v>78</v>
      </c>
      <c r="L1060" t="s">
        <v>91</v>
      </c>
      <c r="M1060" t="s">
        <v>92</v>
      </c>
      <c r="N1060" t="s">
        <v>307</v>
      </c>
      <c r="O1060" t="s">
        <v>82</v>
      </c>
      <c r="P1060" t="str">
        <f>"4170042906                    "</f>
        <v xml:space="preserve">4170042906                    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20.9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0</v>
      </c>
      <c r="BF1060">
        <v>0</v>
      </c>
      <c r="BG1060">
        <v>0</v>
      </c>
      <c r="BH1060">
        <v>1</v>
      </c>
      <c r="BI1060">
        <v>1</v>
      </c>
      <c r="BJ1060">
        <v>0.2</v>
      </c>
      <c r="BK1060">
        <v>1</v>
      </c>
      <c r="BL1060">
        <v>69.5</v>
      </c>
      <c r="BM1060">
        <v>10.43</v>
      </c>
      <c r="BN1060">
        <v>79.930000000000007</v>
      </c>
      <c r="BO1060">
        <v>79.930000000000007</v>
      </c>
      <c r="BQ1060" t="s">
        <v>308</v>
      </c>
      <c r="BR1060" t="s">
        <v>84</v>
      </c>
      <c r="BS1060" s="3">
        <v>45818</v>
      </c>
      <c r="BT1060" s="4">
        <v>0.40347222222222223</v>
      </c>
      <c r="BU1060" t="s">
        <v>1655</v>
      </c>
      <c r="BV1060" t="s">
        <v>86</v>
      </c>
      <c r="BY1060">
        <v>1200</v>
      </c>
      <c r="CA1060" t="s">
        <v>310</v>
      </c>
      <c r="CC1060" t="s">
        <v>92</v>
      </c>
      <c r="CD1060">
        <v>7480</v>
      </c>
      <c r="CE1060" t="s">
        <v>215</v>
      </c>
      <c r="CF1060" s="3">
        <v>45819</v>
      </c>
      <c r="CI1060">
        <v>1</v>
      </c>
      <c r="CJ1060">
        <v>1</v>
      </c>
      <c r="CK1060">
        <v>21</v>
      </c>
      <c r="CL1060" t="s">
        <v>90</v>
      </c>
    </row>
    <row r="1061" spans="1:90" x14ac:dyDescent="0.3">
      <c r="A1061" t="s">
        <v>72</v>
      </c>
      <c r="B1061" t="s">
        <v>73</v>
      </c>
      <c r="C1061" t="s">
        <v>74</v>
      </c>
      <c r="E1061" t="str">
        <f>"080065845813"</f>
        <v>080065845813</v>
      </c>
      <c r="F1061" s="3">
        <v>45817</v>
      </c>
      <c r="G1061">
        <v>202603</v>
      </c>
      <c r="H1061" t="s">
        <v>75</v>
      </c>
      <c r="I1061" t="s">
        <v>76</v>
      </c>
      <c r="J1061" t="s">
        <v>77</v>
      </c>
      <c r="K1061" t="s">
        <v>78</v>
      </c>
      <c r="L1061" t="s">
        <v>331</v>
      </c>
      <c r="M1061" t="s">
        <v>332</v>
      </c>
      <c r="N1061" t="s">
        <v>1496</v>
      </c>
      <c r="O1061" t="s">
        <v>82</v>
      </c>
      <c r="P1061" t="str">
        <f>"4170042951                    "</f>
        <v xml:space="preserve">4170042951                    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31.34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0</v>
      </c>
      <c r="BF1061">
        <v>0</v>
      </c>
      <c r="BG1061">
        <v>0</v>
      </c>
      <c r="BH1061">
        <v>1</v>
      </c>
      <c r="BI1061">
        <v>3</v>
      </c>
      <c r="BJ1061">
        <v>0.6</v>
      </c>
      <c r="BK1061">
        <v>3</v>
      </c>
      <c r="BL1061">
        <v>104.22</v>
      </c>
      <c r="BM1061">
        <v>15.63</v>
      </c>
      <c r="BN1061">
        <v>119.85</v>
      </c>
      <c r="BO1061">
        <v>119.85</v>
      </c>
      <c r="BQ1061" t="s">
        <v>1497</v>
      </c>
      <c r="BR1061" t="s">
        <v>84</v>
      </c>
      <c r="BS1061" s="3">
        <v>45819</v>
      </c>
      <c r="BT1061" s="4">
        <v>0.40486111111111112</v>
      </c>
      <c r="BU1061" t="s">
        <v>1766</v>
      </c>
      <c r="BV1061" t="s">
        <v>90</v>
      </c>
      <c r="BW1061" t="s">
        <v>144</v>
      </c>
      <c r="BX1061" t="s">
        <v>1531</v>
      </c>
      <c r="BY1061">
        <v>3192</v>
      </c>
      <c r="CA1061" t="s">
        <v>473</v>
      </c>
      <c r="CC1061" t="s">
        <v>332</v>
      </c>
      <c r="CD1061">
        <v>4080</v>
      </c>
      <c r="CE1061" t="s">
        <v>292</v>
      </c>
      <c r="CI1061">
        <v>1</v>
      </c>
      <c r="CJ1061">
        <v>2</v>
      </c>
      <c r="CK1061">
        <v>21</v>
      </c>
      <c r="CL1061" t="s">
        <v>90</v>
      </c>
    </row>
    <row r="1062" spans="1:90" x14ac:dyDescent="0.3">
      <c r="A1062" t="s">
        <v>72</v>
      </c>
      <c r="B1062" t="s">
        <v>73</v>
      </c>
      <c r="C1062" t="s">
        <v>74</v>
      </c>
      <c r="E1062" t="str">
        <f>"080065845820"</f>
        <v>080065845820</v>
      </c>
      <c r="F1062" s="3">
        <v>45817</v>
      </c>
      <c r="G1062">
        <v>202603</v>
      </c>
      <c r="H1062" t="s">
        <v>75</v>
      </c>
      <c r="I1062" t="s">
        <v>76</v>
      </c>
      <c r="J1062" t="s">
        <v>77</v>
      </c>
      <c r="K1062" t="s">
        <v>78</v>
      </c>
      <c r="L1062" t="s">
        <v>461</v>
      </c>
      <c r="M1062" t="s">
        <v>462</v>
      </c>
      <c r="N1062" t="s">
        <v>463</v>
      </c>
      <c r="O1062" t="s">
        <v>82</v>
      </c>
      <c r="P1062" t="str">
        <f>"4170042945                    "</f>
        <v xml:space="preserve">4170042945                    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16.32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0</v>
      </c>
      <c r="BF1062">
        <v>0</v>
      </c>
      <c r="BG1062">
        <v>0</v>
      </c>
      <c r="BH1062">
        <v>1</v>
      </c>
      <c r="BI1062">
        <v>1</v>
      </c>
      <c r="BJ1062">
        <v>0.2</v>
      </c>
      <c r="BK1062">
        <v>1</v>
      </c>
      <c r="BL1062">
        <v>54.28</v>
      </c>
      <c r="BM1062">
        <v>8.14</v>
      </c>
      <c r="BN1062">
        <v>62.42</v>
      </c>
      <c r="BO1062">
        <v>62.42</v>
      </c>
      <c r="BQ1062" t="s">
        <v>464</v>
      </c>
      <c r="BR1062" t="s">
        <v>84</v>
      </c>
      <c r="BS1062" s="3">
        <v>45818</v>
      </c>
      <c r="BT1062" s="4">
        <v>0.43958333333333333</v>
      </c>
      <c r="BU1062" t="s">
        <v>1767</v>
      </c>
      <c r="BV1062" t="s">
        <v>90</v>
      </c>
      <c r="BW1062" t="s">
        <v>144</v>
      </c>
      <c r="BX1062" t="s">
        <v>1768</v>
      </c>
      <c r="BY1062">
        <v>1200</v>
      </c>
      <c r="CA1062" t="s">
        <v>1670</v>
      </c>
      <c r="CC1062" t="s">
        <v>462</v>
      </c>
      <c r="CD1062">
        <v>1682</v>
      </c>
      <c r="CE1062" t="s">
        <v>215</v>
      </c>
      <c r="CF1062" s="3">
        <v>45818</v>
      </c>
      <c r="CI1062">
        <v>1</v>
      </c>
      <c r="CJ1062">
        <v>1</v>
      </c>
      <c r="CK1062">
        <v>22</v>
      </c>
      <c r="CL1062" t="s">
        <v>90</v>
      </c>
    </row>
    <row r="1063" spans="1:90" x14ac:dyDescent="0.3">
      <c r="A1063" t="s">
        <v>72</v>
      </c>
      <c r="B1063" t="s">
        <v>73</v>
      </c>
      <c r="C1063" t="s">
        <v>74</v>
      </c>
      <c r="E1063" t="str">
        <f>"080065845848"</f>
        <v>080065845848</v>
      </c>
      <c r="F1063" s="3">
        <v>45817</v>
      </c>
      <c r="G1063">
        <v>202603</v>
      </c>
      <c r="H1063" t="s">
        <v>75</v>
      </c>
      <c r="I1063" t="s">
        <v>76</v>
      </c>
      <c r="J1063" t="s">
        <v>77</v>
      </c>
      <c r="K1063" t="s">
        <v>78</v>
      </c>
      <c r="L1063" t="s">
        <v>100</v>
      </c>
      <c r="M1063" t="s">
        <v>101</v>
      </c>
      <c r="N1063" t="s">
        <v>102</v>
      </c>
      <c r="O1063" t="s">
        <v>82</v>
      </c>
      <c r="P1063" t="str">
        <f>"4170042954                    "</f>
        <v xml:space="preserve">4170042954                    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104.42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0</v>
      </c>
      <c r="BF1063">
        <v>0</v>
      </c>
      <c r="BG1063">
        <v>0</v>
      </c>
      <c r="BH1063">
        <v>1</v>
      </c>
      <c r="BI1063">
        <v>5</v>
      </c>
      <c r="BJ1063">
        <v>9.6999999999999993</v>
      </c>
      <c r="BK1063">
        <v>10</v>
      </c>
      <c r="BL1063">
        <v>347.26</v>
      </c>
      <c r="BM1063">
        <v>52.09</v>
      </c>
      <c r="BN1063">
        <v>399.35</v>
      </c>
      <c r="BO1063">
        <v>399.35</v>
      </c>
      <c r="BQ1063" t="s">
        <v>103</v>
      </c>
      <c r="BR1063" t="s">
        <v>84</v>
      </c>
      <c r="BS1063" s="3">
        <v>45818</v>
      </c>
      <c r="BT1063" s="4">
        <v>0.43541666666666667</v>
      </c>
      <c r="BU1063" t="s">
        <v>709</v>
      </c>
      <c r="BV1063" t="s">
        <v>86</v>
      </c>
      <c r="BY1063">
        <v>48720</v>
      </c>
      <c r="CA1063" t="s">
        <v>235</v>
      </c>
      <c r="CC1063" t="s">
        <v>101</v>
      </c>
      <c r="CD1063">
        <v>6056</v>
      </c>
      <c r="CE1063" t="s">
        <v>687</v>
      </c>
      <c r="CF1063" s="3">
        <v>45818</v>
      </c>
      <c r="CI1063">
        <v>1</v>
      </c>
      <c r="CJ1063">
        <v>1</v>
      </c>
      <c r="CK1063">
        <v>21</v>
      </c>
      <c r="CL1063" t="s">
        <v>90</v>
      </c>
    </row>
    <row r="1064" spans="1:90" x14ac:dyDescent="0.3">
      <c r="A1064" t="s">
        <v>72</v>
      </c>
      <c r="B1064" t="s">
        <v>73</v>
      </c>
      <c r="C1064" t="s">
        <v>74</v>
      </c>
      <c r="E1064" t="str">
        <f>"080065845883"</f>
        <v>080065845883</v>
      </c>
      <c r="F1064" s="3">
        <v>45817</v>
      </c>
      <c r="G1064">
        <v>202603</v>
      </c>
      <c r="H1064" t="s">
        <v>75</v>
      </c>
      <c r="I1064" t="s">
        <v>76</v>
      </c>
      <c r="J1064" t="s">
        <v>77</v>
      </c>
      <c r="K1064" t="s">
        <v>78</v>
      </c>
      <c r="L1064" t="s">
        <v>159</v>
      </c>
      <c r="M1064" t="s">
        <v>160</v>
      </c>
      <c r="N1064" t="s">
        <v>1769</v>
      </c>
      <c r="O1064" t="s">
        <v>82</v>
      </c>
      <c r="P1064" t="str">
        <f>"4170042992                    "</f>
        <v xml:space="preserve">4170042992                    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16.32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0</v>
      </c>
      <c r="BF1064">
        <v>0</v>
      </c>
      <c r="BG1064">
        <v>0</v>
      </c>
      <c r="BH1064">
        <v>1</v>
      </c>
      <c r="BI1064">
        <v>1</v>
      </c>
      <c r="BJ1064">
        <v>0.2</v>
      </c>
      <c r="BK1064">
        <v>1</v>
      </c>
      <c r="BL1064">
        <v>54.28</v>
      </c>
      <c r="BM1064">
        <v>8.14</v>
      </c>
      <c r="BN1064">
        <v>62.42</v>
      </c>
      <c r="BO1064">
        <v>62.42</v>
      </c>
      <c r="BQ1064" t="s">
        <v>1770</v>
      </c>
      <c r="BR1064" t="s">
        <v>84</v>
      </c>
      <c r="BS1064" s="3">
        <v>45818</v>
      </c>
      <c r="BT1064" s="4">
        <v>0.37152777777777779</v>
      </c>
      <c r="BU1064" t="s">
        <v>1771</v>
      </c>
      <c r="BV1064" t="s">
        <v>86</v>
      </c>
      <c r="BY1064">
        <v>1200</v>
      </c>
      <c r="CA1064" t="s">
        <v>173</v>
      </c>
      <c r="CC1064" t="s">
        <v>160</v>
      </c>
      <c r="CD1064">
        <v>2001</v>
      </c>
      <c r="CE1064" t="s">
        <v>215</v>
      </c>
      <c r="CF1064" s="3">
        <v>45818</v>
      </c>
      <c r="CI1064">
        <v>1</v>
      </c>
      <c r="CJ1064">
        <v>1</v>
      </c>
      <c r="CK1064">
        <v>22</v>
      </c>
      <c r="CL1064" t="s">
        <v>90</v>
      </c>
    </row>
    <row r="1065" spans="1:90" x14ac:dyDescent="0.3">
      <c r="A1065" t="s">
        <v>72</v>
      </c>
      <c r="B1065" t="s">
        <v>73</v>
      </c>
      <c r="C1065" t="s">
        <v>74</v>
      </c>
      <c r="E1065" t="str">
        <f>"080065845890"</f>
        <v>080065845890</v>
      </c>
      <c r="F1065" s="3">
        <v>45817</v>
      </c>
      <c r="G1065">
        <v>202603</v>
      </c>
      <c r="H1065" t="s">
        <v>75</v>
      </c>
      <c r="I1065" t="s">
        <v>76</v>
      </c>
      <c r="J1065" t="s">
        <v>77</v>
      </c>
      <c r="K1065" t="s">
        <v>78</v>
      </c>
      <c r="L1065" t="s">
        <v>75</v>
      </c>
      <c r="M1065" t="s">
        <v>76</v>
      </c>
      <c r="N1065" t="s">
        <v>1103</v>
      </c>
      <c r="O1065" t="s">
        <v>276</v>
      </c>
      <c r="P1065" t="str">
        <f>"4170042823                    "</f>
        <v xml:space="preserve">4170042823                    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30.98</v>
      </c>
      <c r="AR1065">
        <v>0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0</v>
      </c>
      <c r="BF1065">
        <v>0</v>
      </c>
      <c r="BG1065">
        <v>0</v>
      </c>
      <c r="BH1065">
        <v>1</v>
      </c>
      <c r="BI1065">
        <v>16</v>
      </c>
      <c r="BJ1065">
        <v>3.8</v>
      </c>
      <c r="BK1065">
        <v>16</v>
      </c>
      <c r="BL1065">
        <v>103.03</v>
      </c>
      <c r="BM1065">
        <v>15.45</v>
      </c>
      <c r="BN1065">
        <v>118.48</v>
      </c>
      <c r="BO1065">
        <v>118.48</v>
      </c>
      <c r="BQ1065" t="s">
        <v>1104</v>
      </c>
      <c r="BR1065" t="s">
        <v>84</v>
      </c>
      <c r="BS1065" s="3">
        <v>45818</v>
      </c>
      <c r="BT1065" s="4">
        <v>0.42569444444444443</v>
      </c>
      <c r="BU1065" t="s">
        <v>1665</v>
      </c>
      <c r="BV1065" t="s">
        <v>86</v>
      </c>
      <c r="BY1065">
        <v>19227</v>
      </c>
      <c r="CA1065" t="s">
        <v>193</v>
      </c>
      <c r="CC1065" t="s">
        <v>76</v>
      </c>
      <c r="CD1065">
        <v>1619</v>
      </c>
      <c r="CE1065" t="s">
        <v>687</v>
      </c>
      <c r="CF1065" s="3">
        <v>45818</v>
      </c>
      <c r="CI1065">
        <v>1</v>
      </c>
      <c r="CJ1065">
        <v>1</v>
      </c>
      <c r="CK1065">
        <v>32</v>
      </c>
      <c r="CL1065" t="s">
        <v>90</v>
      </c>
    </row>
    <row r="1066" spans="1:90" x14ac:dyDescent="0.3">
      <c r="A1066" t="s">
        <v>72</v>
      </c>
      <c r="B1066" t="s">
        <v>73</v>
      </c>
      <c r="C1066" t="s">
        <v>74</v>
      </c>
      <c r="E1066" t="str">
        <f>"080065845907"</f>
        <v>080065845907</v>
      </c>
      <c r="F1066" s="3">
        <v>45817</v>
      </c>
      <c r="G1066">
        <v>202603</v>
      </c>
      <c r="H1066" t="s">
        <v>75</v>
      </c>
      <c r="I1066" t="s">
        <v>76</v>
      </c>
      <c r="J1066" t="s">
        <v>77</v>
      </c>
      <c r="K1066" t="s">
        <v>78</v>
      </c>
      <c r="L1066" t="s">
        <v>100</v>
      </c>
      <c r="M1066" t="s">
        <v>101</v>
      </c>
      <c r="N1066" t="s">
        <v>102</v>
      </c>
      <c r="O1066" t="s">
        <v>82</v>
      </c>
      <c r="P1066" t="str">
        <f>"4170042884                    "</f>
        <v xml:space="preserve">4170042884                    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20.9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0</v>
      </c>
      <c r="BF1066">
        <v>0</v>
      </c>
      <c r="BG1066">
        <v>0</v>
      </c>
      <c r="BH1066">
        <v>1</v>
      </c>
      <c r="BI1066">
        <v>1</v>
      </c>
      <c r="BJ1066">
        <v>0.2</v>
      </c>
      <c r="BK1066">
        <v>1</v>
      </c>
      <c r="BL1066">
        <v>69.5</v>
      </c>
      <c r="BM1066">
        <v>10.43</v>
      </c>
      <c r="BN1066">
        <v>79.930000000000007</v>
      </c>
      <c r="BO1066">
        <v>79.930000000000007</v>
      </c>
      <c r="BQ1066" t="s">
        <v>103</v>
      </c>
      <c r="BR1066" t="s">
        <v>84</v>
      </c>
      <c r="BS1066" s="3">
        <v>45818</v>
      </c>
      <c r="BT1066" s="4">
        <v>0.43541666666666667</v>
      </c>
      <c r="BU1066" t="s">
        <v>709</v>
      </c>
      <c r="BV1066" t="s">
        <v>86</v>
      </c>
      <c r="BY1066">
        <v>1200</v>
      </c>
      <c r="CA1066" t="s">
        <v>235</v>
      </c>
      <c r="CC1066" t="s">
        <v>101</v>
      </c>
      <c r="CD1066">
        <v>6056</v>
      </c>
      <c r="CE1066" t="s">
        <v>215</v>
      </c>
      <c r="CF1066" s="3">
        <v>45818</v>
      </c>
      <c r="CI1066">
        <v>1</v>
      </c>
      <c r="CJ1066">
        <v>1</v>
      </c>
      <c r="CK1066">
        <v>21</v>
      </c>
      <c r="CL1066" t="s">
        <v>90</v>
      </c>
    </row>
    <row r="1067" spans="1:90" x14ac:dyDescent="0.3">
      <c r="A1067" t="s">
        <v>72</v>
      </c>
      <c r="B1067" t="s">
        <v>73</v>
      </c>
      <c r="C1067" t="s">
        <v>74</v>
      </c>
      <c r="E1067" t="str">
        <f>"080065845929"</f>
        <v>080065845929</v>
      </c>
      <c r="F1067" s="3">
        <v>45817</v>
      </c>
      <c r="G1067">
        <v>202603</v>
      </c>
      <c r="H1067" t="s">
        <v>75</v>
      </c>
      <c r="I1067" t="s">
        <v>76</v>
      </c>
      <c r="J1067" t="s">
        <v>77</v>
      </c>
      <c r="K1067" t="s">
        <v>78</v>
      </c>
      <c r="L1067" t="s">
        <v>159</v>
      </c>
      <c r="M1067" t="s">
        <v>160</v>
      </c>
      <c r="N1067" t="s">
        <v>1772</v>
      </c>
      <c r="O1067" t="s">
        <v>82</v>
      </c>
      <c r="P1067" t="str">
        <f>"4170042947                    "</f>
        <v xml:space="preserve">4170042947                    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16.32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0</v>
      </c>
      <c r="BF1067">
        <v>0</v>
      </c>
      <c r="BG1067">
        <v>0</v>
      </c>
      <c r="BH1067">
        <v>1</v>
      </c>
      <c r="BI1067">
        <v>2</v>
      </c>
      <c r="BJ1067">
        <v>3.8</v>
      </c>
      <c r="BK1067">
        <v>4</v>
      </c>
      <c r="BL1067">
        <v>54.28</v>
      </c>
      <c r="BM1067">
        <v>8.14</v>
      </c>
      <c r="BN1067">
        <v>62.42</v>
      </c>
      <c r="BO1067">
        <v>62.42</v>
      </c>
      <c r="BQ1067" t="s">
        <v>1773</v>
      </c>
      <c r="BR1067" t="s">
        <v>84</v>
      </c>
      <c r="BS1067" s="3">
        <v>45818</v>
      </c>
      <c r="BT1067" s="4">
        <v>0.41319444444444442</v>
      </c>
      <c r="BU1067" t="s">
        <v>1774</v>
      </c>
      <c r="BV1067" t="s">
        <v>86</v>
      </c>
      <c r="BY1067">
        <v>19227</v>
      </c>
      <c r="CA1067" t="s">
        <v>233</v>
      </c>
      <c r="CC1067" t="s">
        <v>160</v>
      </c>
      <c r="CD1067">
        <v>2094</v>
      </c>
      <c r="CE1067" t="s">
        <v>687</v>
      </c>
      <c r="CF1067" s="3">
        <v>45818</v>
      </c>
      <c r="CI1067">
        <v>1</v>
      </c>
      <c r="CJ1067">
        <v>1</v>
      </c>
      <c r="CK1067">
        <v>22</v>
      </c>
      <c r="CL1067" t="s">
        <v>90</v>
      </c>
    </row>
    <row r="1068" spans="1:90" x14ac:dyDescent="0.3">
      <c r="A1068" t="s">
        <v>72</v>
      </c>
      <c r="B1068" t="s">
        <v>73</v>
      </c>
      <c r="C1068" t="s">
        <v>74</v>
      </c>
      <c r="E1068" t="str">
        <f>"080065845956"</f>
        <v>080065845956</v>
      </c>
      <c r="F1068" s="3">
        <v>45817</v>
      </c>
      <c r="G1068">
        <v>202603</v>
      </c>
      <c r="H1068" t="s">
        <v>75</v>
      </c>
      <c r="I1068" t="s">
        <v>76</v>
      </c>
      <c r="J1068" t="s">
        <v>77</v>
      </c>
      <c r="K1068" t="s">
        <v>78</v>
      </c>
      <c r="L1068" t="s">
        <v>284</v>
      </c>
      <c r="M1068" t="s">
        <v>285</v>
      </c>
      <c r="N1068" t="s">
        <v>286</v>
      </c>
      <c r="O1068" t="s">
        <v>82</v>
      </c>
      <c r="P1068" t="str">
        <f>"4170042980                    "</f>
        <v xml:space="preserve">4170042980                    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16.32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0</v>
      </c>
      <c r="BF1068">
        <v>0</v>
      </c>
      <c r="BG1068">
        <v>0</v>
      </c>
      <c r="BH1068">
        <v>1</v>
      </c>
      <c r="BI1068">
        <v>1</v>
      </c>
      <c r="BJ1068">
        <v>0.2</v>
      </c>
      <c r="BK1068">
        <v>1</v>
      </c>
      <c r="BL1068">
        <v>54.28</v>
      </c>
      <c r="BM1068">
        <v>8.14</v>
      </c>
      <c r="BN1068">
        <v>62.42</v>
      </c>
      <c r="BO1068">
        <v>62.42</v>
      </c>
      <c r="BQ1068" t="s">
        <v>287</v>
      </c>
      <c r="BR1068" t="s">
        <v>84</v>
      </c>
      <c r="BS1068" s="3">
        <v>45818</v>
      </c>
      <c r="BT1068" s="4">
        <v>0.52083333333333337</v>
      </c>
      <c r="BU1068" t="s">
        <v>1775</v>
      </c>
      <c r="BV1068" t="s">
        <v>86</v>
      </c>
      <c r="BY1068">
        <v>1200</v>
      </c>
      <c r="CA1068" t="s">
        <v>971</v>
      </c>
      <c r="CC1068" t="s">
        <v>285</v>
      </c>
      <c r="CD1068">
        <v>1559</v>
      </c>
      <c r="CE1068" t="s">
        <v>215</v>
      </c>
      <c r="CF1068" s="3">
        <v>45819</v>
      </c>
      <c r="CI1068">
        <v>1</v>
      </c>
      <c r="CJ1068">
        <v>1</v>
      </c>
      <c r="CK1068">
        <v>22</v>
      </c>
      <c r="CL1068" t="s">
        <v>90</v>
      </c>
    </row>
    <row r="1069" spans="1:90" x14ac:dyDescent="0.3">
      <c r="A1069" t="s">
        <v>72</v>
      </c>
      <c r="B1069" t="s">
        <v>73</v>
      </c>
      <c r="C1069" t="s">
        <v>74</v>
      </c>
      <c r="E1069" t="str">
        <f>"080065845972"</f>
        <v>080065845972</v>
      </c>
      <c r="F1069" s="3">
        <v>45817</v>
      </c>
      <c r="G1069">
        <v>202603</v>
      </c>
      <c r="H1069" t="s">
        <v>75</v>
      </c>
      <c r="I1069" t="s">
        <v>76</v>
      </c>
      <c r="J1069" t="s">
        <v>77</v>
      </c>
      <c r="K1069" t="s">
        <v>78</v>
      </c>
      <c r="L1069" t="s">
        <v>100</v>
      </c>
      <c r="M1069" t="s">
        <v>101</v>
      </c>
      <c r="N1069" t="s">
        <v>102</v>
      </c>
      <c r="O1069" t="s">
        <v>82</v>
      </c>
      <c r="P1069" t="str">
        <f>"4170042953                    "</f>
        <v xml:space="preserve">4170042953                    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47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0</v>
      </c>
      <c r="BF1069">
        <v>0</v>
      </c>
      <c r="BG1069">
        <v>0</v>
      </c>
      <c r="BH1069">
        <v>1</v>
      </c>
      <c r="BI1069">
        <v>3</v>
      </c>
      <c r="BJ1069">
        <v>4.3</v>
      </c>
      <c r="BK1069">
        <v>4.5</v>
      </c>
      <c r="BL1069">
        <v>156.30000000000001</v>
      </c>
      <c r="BM1069">
        <v>23.45</v>
      </c>
      <c r="BN1069">
        <v>179.75</v>
      </c>
      <c r="BO1069">
        <v>179.75</v>
      </c>
      <c r="BQ1069" t="s">
        <v>103</v>
      </c>
      <c r="BR1069" t="s">
        <v>84</v>
      </c>
      <c r="BS1069" s="3">
        <v>45818</v>
      </c>
      <c r="BT1069" s="4">
        <v>0.43541666666666667</v>
      </c>
      <c r="BU1069" t="s">
        <v>709</v>
      </c>
      <c r="BV1069" t="s">
        <v>86</v>
      </c>
      <c r="BY1069">
        <v>21489</v>
      </c>
      <c r="CA1069" t="s">
        <v>235</v>
      </c>
      <c r="CC1069" t="s">
        <v>101</v>
      </c>
      <c r="CD1069">
        <v>6056</v>
      </c>
      <c r="CE1069" t="s">
        <v>687</v>
      </c>
      <c r="CF1069" s="3">
        <v>45818</v>
      </c>
      <c r="CI1069">
        <v>1</v>
      </c>
      <c r="CJ1069">
        <v>1</v>
      </c>
      <c r="CK1069">
        <v>21</v>
      </c>
      <c r="CL1069" t="s">
        <v>90</v>
      </c>
    </row>
    <row r="1070" spans="1:90" x14ac:dyDescent="0.3">
      <c r="A1070" t="s">
        <v>72</v>
      </c>
      <c r="B1070" t="s">
        <v>73</v>
      </c>
      <c r="C1070" t="s">
        <v>74</v>
      </c>
      <c r="E1070" t="str">
        <f>"080065845980"</f>
        <v>080065845980</v>
      </c>
      <c r="F1070" s="3">
        <v>45817</v>
      </c>
      <c r="G1070">
        <v>202603</v>
      </c>
      <c r="H1070" t="s">
        <v>75</v>
      </c>
      <c r="I1070" t="s">
        <v>76</v>
      </c>
      <c r="J1070" t="s">
        <v>77</v>
      </c>
      <c r="K1070" t="s">
        <v>78</v>
      </c>
      <c r="L1070" t="s">
        <v>91</v>
      </c>
      <c r="M1070" t="s">
        <v>92</v>
      </c>
      <c r="N1070" t="s">
        <v>93</v>
      </c>
      <c r="O1070" t="s">
        <v>82</v>
      </c>
      <c r="P1070" t="str">
        <f>"4170042880                    "</f>
        <v xml:space="preserve">4170042880                    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20.9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0</v>
      </c>
      <c r="BF1070">
        <v>0</v>
      </c>
      <c r="BG1070">
        <v>0</v>
      </c>
      <c r="BH1070">
        <v>1</v>
      </c>
      <c r="BI1070">
        <v>1</v>
      </c>
      <c r="BJ1070">
        <v>0.2</v>
      </c>
      <c r="BK1070">
        <v>1</v>
      </c>
      <c r="BL1070">
        <v>69.5</v>
      </c>
      <c r="BM1070">
        <v>10.43</v>
      </c>
      <c r="BN1070">
        <v>79.930000000000007</v>
      </c>
      <c r="BO1070">
        <v>79.930000000000007</v>
      </c>
      <c r="BQ1070" t="s">
        <v>95</v>
      </c>
      <c r="BR1070" t="s">
        <v>84</v>
      </c>
      <c r="BS1070" s="3">
        <v>45818</v>
      </c>
      <c r="BT1070" s="4">
        <v>0.37152777777777779</v>
      </c>
      <c r="BU1070" t="s">
        <v>580</v>
      </c>
      <c r="BV1070" t="s">
        <v>86</v>
      </c>
      <c r="BY1070">
        <v>1200</v>
      </c>
      <c r="CA1070" t="s">
        <v>543</v>
      </c>
      <c r="CC1070" t="s">
        <v>92</v>
      </c>
      <c r="CD1070">
        <v>7441</v>
      </c>
      <c r="CE1070" t="s">
        <v>215</v>
      </c>
      <c r="CF1070" s="3">
        <v>45819</v>
      </c>
      <c r="CI1070">
        <v>1</v>
      </c>
      <c r="CJ1070">
        <v>1</v>
      </c>
      <c r="CK1070">
        <v>21</v>
      </c>
      <c r="CL1070" t="s">
        <v>90</v>
      </c>
    </row>
    <row r="1071" spans="1:90" x14ac:dyDescent="0.3">
      <c r="A1071" t="s">
        <v>72</v>
      </c>
      <c r="B1071" t="s">
        <v>73</v>
      </c>
      <c r="C1071" t="s">
        <v>74</v>
      </c>
      <c r="E1071" t="str">
        <f>"080065845998"</f>
        <v>080065845998</v>
      </c>
      <c r="F1071" s="3">
        <v>45817</v>
      </c>
      <c r="G1071">
        <v>202603</v>
      </c>
      <c r="H1071" t="s">
        <v>75</v>
      </c>
      <c r="I1071" t="s">
        <v>76</v>
      </c>
      <c r="J1071" t="s">
        <v>77</v>
      </c>
      <c r="K1071" t="s">
        <v>78</v>
      </c>
      <c r="L1071" t="s">
        <v>266</v>
      </c>
      <c r="M1071" t="s">
        <v>267</v>
      </c>
      <c r="N1071" t="s">
        <v>268</v>
      </c>
      <c r="O1071" t="s">
        <v>82</v>
      </c>
      <c r="P1071" t="str">
        <f>"4170042966                    "</f>
        <v xml:space="preserve">4170042966                    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20.9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0</v>
      </c>
      <c r="BF1071">
        <v>0</v>
      </c>
      <c r="BG1071">
        <v>0</v>
      </c>
      <c r="BH1071">
        <v>1</v>
      </c>
      <c r="BI1071">
        <v>1</v>
      </c>
      <c r="BJ1071">
        <v>1.1000000000000001</v>
      </c>
      <c r="BK1071">
        <v>1.5</v>
      </c>
      <c r="BL1071">
        <v>69.5</v>
      </c>
      <c r="BM1071">
        <v>10.43</v>
      </c>
      <c r="BN1071">
        <v>79.930000000000007</v>
      </c>
      <c r="BO1071">
        <v>79.930000000000007</v>
      </c>
      <c r="BQ1071" t="s">
        <v>269</v>
      </c>
      <c r="BR1071" t="s">
        <v>84</v>
      </c>
      <c r="BS1071" s="3">
        <v>45818</v>
      </c>
      <c r="BT1071" s="4">
        <v>0.35625000000000001</v>
      </c>
      <c r="BU1071" t="s">
        <v>1555</v>
      </c>
      <c r="BV1071" t="s">
        <v>86</v>
      </c>
      <c r="BY1071">
        <v>5320</v>
      </c>
      <c r="CA1071" t="s">
        <v>271</v>
      </c>
      <c r="CC1071" t="s">
        <v>267</v>
      </c>
      <c r="CD1071">
        <v>6229</v>
      </c>
      <c r="CE1071" t="s">
        <v>292</v>
      </c>
      <c r="CF1071" s="3">
        <v>45818</v>
      </c>
      <c r="CI1071">
        <v>1</v>
      </c>
      <c r="CJ1071">
        <v>1</v>
      </c>
      <c r="CK1071">
        <v>21</v>
      </c>
      <c r="CL1071" t="s">
        <v>90</v>
      </c>
    </row>
    <row r="1072" spans="1:90" x14ac:dyDescent="0.3">
      <c r="A1072" t="s">
        <v>72</v>
      </c>
      <c r="B1072" t="s">
        <v>73</v>
      </c>
      <c r="C1072" t="s">
        <v>74</v>
      </c>
      <c r="E1072" t="str">
        <f>"080065846002"</f>
        <v>080065846002</v>
      </c>
      <c r="F1072" s="3">
        <v>45817</v>
      </c>
      <c r="G1072">
        <v>202603</v>
      </c>
      <c r="H1072" t="s">
        <v>75</v>
      </c>
      <c r="I1072" t="s">
        <v>76</v>
      </c>
      <c r="J1072" t="s">
        <v>77</v>
      </c>
      <c r="K1072" t="s">
        <v>78</v>
      </c>
      <c r="L1072" t="s">
        <v>79</v>
      </c>
      <c r="M1072" t="s">
        <v>80</v>
      </c>
      <c r="N1072" t="s">
        <v>81</v>
      </c>
      <c r="O1072" t="s">
        <v>82</v>
      </c>
      <c r="P1072" t="str">
        <f>"4170042902                    "</f>
        <v xml:space="preserve">4170042902                    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29.39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0</v>
      </c>
      <c r="BF1072">
        <v>0</v>
      </c>
      <c r="BG1072">
        <v>0</v>
      </c>
      <c r="BH1072">
        <v>1</v>
      </c>
      <c r="BI1072">
        <v>1</v>
      </c>
      <c r="BJ1072">
        <v>0.2</v>
      </c>
      <c r="BK1072">
        <v>1</v>
      </c>
      <c r="BL1072">
        <v>97.74</v>
      </c>
      <c r="BM1072">
        <v>14.66</v>
      </c>
      <c r="BN1072">
        <v>112.4</v>
      </c>
      <c r="BO1072">
        <v>112.4</v>
      </c>
      <c r="BQ1072" t="s">
        <v>83</v>
      </c>
      <c r="BR1072" t="s">
        <v>84</v>
      </c>
      <c r="BS1072" s="3">
        <v>45818</v>
      </c>
      <c r="BT1072" s="4">
        <v>0.40833333333333333</v>
      </c>
      <c r="BU1072" t="s">
        <v>85</v>
      </c>
      <c r="BV1072" t="s">
        <v>86</v>
      </c>
      <c r="BY1072">
        <v>1200</v>
      </c>
      <c r="CA1072" t="s">
        <v>88</v>
      </c>
      <c r="CC1072" t="s">
        <v>80</v>
      </c>
      <c r="CD1072">
        <v>1739</v>
      </c>
      <c r="CE1072" t="s">
        <v>215</v>
      </c>
      <c r="CF1072" s="3">
        <v>45818</v>
      </c>
      <c r="CI1072">
        <v>1</v>
      </c>
      <c r="CJ1072">
        <v>1</v>
      </c>
      <c r="CK1072">
        <v>24</v>
      </c>
      <c r="CL1072" t="s">
        <v>90</v>
      </c>
    </row>
    <row r="1073" spans="1:90" x14ac:dyDescent="0.3">
      <c r="A1073" t="s">
        <v>72</v>
      </c>
      <c r="B1073" t="s">
        <v>73</v>
      </c>
      <c r="C1073" t="s">
        <v>74</v>
      </c>
      <c r="E1073" t="str">
        <f>"080065846034"</f>
        <v>080065846034</v>
      </c>
      <c r="F1073" s="3">
        <v>45817</v>
      </c>
      <c r="G1073">
        <v>202603</v>
      </c>
      <c r="H1073" t="s">
        <v>75</v>
      </c>
      <c r="I1073" t="s">
        <v>76</v>
      </c>
      <c r="J1073" t="s">
        <v>77</v>
      </c>
      <c r="K1073" t="s">
        <v>78</v>
      </c>
      <c r="L1073" t="s">
        <v>159</v>
      </c>
      <c r="M1073" t="s">
        <v>160</v>
      </c>
      <c r="N1073" t="s">
        <v>230</v>
      </c>
      <c r="O1073" t="s">
        <v>82</v>
      </c>
      <c r="P1073" t="str">
        <f>"4170042936                    "</f>
        <v xml:space="preserve">4170042936                    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16.32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0</v>
      </c>
      <c r="BF1073">
        <v>0</v>
      </c>
      <c r="BG1073">
        <v>0</v>
      </c>
      <c r="BH1073">
        <v>1</v>
      </c>
      <c r="BI1073">
        <v>1</v>
      </c>
      <c r="BJ1073">
        <v>0.2</v>
      </c>
      <c r="BK1073">
        <v>1</v>
      </c>
      <c r="BL1073">
        <v>54.28</v>
      </c>
      <c r="BM1073">
        <v>8.14</v>
      </c>
      <c r="BN1073">
        <v>62.42</v>
      </c>
      <c r="BO1073">
        <v>62.42</v>
      </c>
      <c r="BQ1073" t="s">
        <v>231</v>
      </c>
      <c r="BR1073" t="s">
        <v>84</v>
      </c>
      <c r="BS1073" s="3">
        <v>45818</v>
      </c>
      <c r="BT1073" s="4">
        <v>0.41666666666666669</v>
      </c>
      <c r="BU1073" t="s">
        <v>1776</v>
      </c>
      <c r="BV1073" t="s">
        <v>86</v>
      </c>
      <c r="BY1073">
        <v>1200</v>
      </c>
      <c r="CA1073" t="s">
        <v>233</v>
      </c>
      <c r="CC1073" t="s">
        <v>160</v>
      </c>
      <c r="CD1073">
        <v>2094</v>
      </c>
      <c r="CE1073" t="s">
        <v>215</v>
      </c>
      <c r="CF1073" s="3">
        <v>45818</v>
      </c>
      <c r="CI1073">
        <v>1</v>
      </c>
      <c r="CJ1073">
        <v>1</v>
      </c>
      <c r="CK1073">
        <v>22</v>
      </c>
      <c r="CL1073" t="s">
        <v>90</v>
      </c>
    </row>
    <row r="1074" spans="1:90" x14ac:dyDescent="0.3">
      <c r="A1074" t="s">
        <v>72</v>
      </c>
      <c r="B1074" t="s">
        <v>73</v>
      </c>
      <c r="C1074" t="s">
        <v>74</v>
      </c>
      <c r="E1074" t="str">
        <f>"080065846043"</f>
        <v>080065846043</v>
      </c>
      <c r="F1074" s="3">
        <v>45817</v>
      </c>
      <c r="G1074">
        <v>202603</v>
      </c>
      <c r="H1074" t="s">
        <v>75</v>
      </c>
      <c r="I1074" t="s">
        <v>76</v>
      </c>
      <c r="J1074" t="s">
        <v>77</v>
      </c>
      <c r="K1074" t="s">
        <v>78</v>
      </c>
      <c r="L1074" t="s">
        <v>130</v>
      </c>
      <c r="M1074" t="s">
        <v>131</v>
      </c>
      <c r="N1074" t="s">
        <v>1777</v>
      </c>
      <c r="O1074" t="s">
        <v>82</v>
      </c>
      <c r="P1074" t="str">
        <f>"4170042888                    "</f>
        <v xml:space="preserve">4170042888                    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16.32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1</v>
      </c>
      <c r="BI1074">
        <v>1</v>
      </c>
      <c r="BJ1074">
        <v>1.1000000000000001</v>
      </c>
      <c r="BK1074">
        <v>2</v>
      </c>
      <c r="BL1074">
        <v>54.28</v>
      </c>
      <c r="BM1074">
        <v>8.14</v>
      </c>
      <c r="BN1074">
        <v>62.42</v>
      </c>
      <c r="BO1074">
        <v>62.42</v>
      </c>
      <c r="BQ1074" t="s">
        <v>1778</v>
      </c>
      <c r="BR1074" t="s">
        <v>84</v>
      </c>
      <c r="BS1074" s="3">
        <v>45818</v>
      </c>
      <c r="BT1074" s="4">
        <v>0.40625</v>
      </c>
      <c r="BU1074" t="s">
        <v>1779</v>
      </c>
      <c r="BV1074" t="s">
        <v>86</v>
      </c>
      <c r="BY1074">
        <v>5320</v>
      </c>
      <c r="CA1074" t="s">
        <v>454</v>
      </c>
      <c r="CC1074" t="s">
        <v>131</v>
      </c>
      <c r="CD1074">
        <v>1459</v>
      </c>
      <c r="CE1074" t="s">
        <v>292</v>
      </c>
      <c r="CF1074" s="3">
        <v>45819</v>
      </c>
      <c r="CI1074">
        <v>1</v>
      </c>
      <c r="CJ1074">
        <v>1</v>
      </c>
      <c r="CK1074">
        <v>22</v>
      </c>
      <c r="CL1074" t="s">
        <v>90</v>
      </c>
    </row>
    <row r="1075" spans="1:90" x14ac:dyDescent="0.3">
      <c r="A1075" t="s">
        <v>72</v>
      </c>
      <c r="B1075" t="s">
        <v>73</v>
      </c>
      <c r="C1075" t="s">
        <v>74</v>
      </c>
      <c r="E1075" t="str">
        <f>"080065846090"</f>
        <v>080065846090</v>
      </c>
      <c r="F1075" s="3">
        <v>45817</v>
      </c>
      <c r="G1075">
        <v>202603</v>
      </c>
      <c r="H1075" t="s">
        <v>75</v>
      </c>
      <c r="I1075" t="s">
        <v>76</v>
      </c>
      <c r="J1075" t="s">
        <v>77</v>
      </c>
      <c r="K1075" t="s">
        <v>78</v>
      </c>
      <c r="L1075" t="s">
        <v>75</v>
      </c>
      <c r="M1075" t="s">
        <v>76</v>
      </c>
      <c r="N1075" t="s">
        <v>112</v>
      </c>
      <c r="O1075" t="s">
        <v>82</v>
      </c>
      <c r="P1075" t="str">
        <f>"4170042872                    "</f>
        <v xml:space="preserve">4170042872                    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16.32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1</v>
      </c>
      <c r="BI1075">
        <v>1</v>
      </c>
      <c r="BJ1075">
        <v>1.1000000000000001</v>
      </c>
      <c r="BK1075">
        <v>2</v>
      </c>
      <c r="BL1075">
        <v>54.28</v>
      </c>
      <c r="BM1075">
        <v>8.14</v>
      </c>
      <c r="BN1075">
        <v>62.42</v>
      </c>
      <c r="BO1075">
        <v>62.42</v>
      </c>
      <c r="BQ1075" t="s">
        <v>113</v>
      </c>
      <c r="BR1075" t="s">
        <v>84</v>
      </c>
      <c r="BS1075" s="3">
        <v>45818</v>
      </c>
      <c r="BT1075" s="4">
        <v>0.35486111111111113</v>
      </c>
      <c r="BU1075" t="s">
        <v>1696</v>
      </c>
      <c r="BV1075" t="s">
        <v>86</v>
      </c>
      <c r="BY1075">
        <v>5320</v>
      </c>
      <c r="CA1075" t="s">
        <v>115</v>
      </c>
      <c r="CC1075" t="s">
        <v>76</v>
      </c>
      <c r="CD1075">
        <v>1600</v>
      </c>
      <c r="CE1075" t="s">
        <v>292</v>
      </c>
      <c r="CF1075" s="3">
        <v>45818</v>
      </c>
      <c r="CI1075">
        <v>1</v>
      </c>
      <c r="CJ1075">
        <v>1</v>
      </c>
      <c r="CK1075">
        <v>22</v>
      </c>
      <c r="CL1075" t="s">
        <v>90</v>
      </c>
    </row>
    <row r="1076" spans="1:90" x14ac:dyDescent="0.3">
      <c r="A1076" t="s">
        <v>72</v>
      </c>
      <c r="B1076" t="s">
        <v>73</v>
      </c>
      <c r="C1076" t="s">
        <v>74</v>
      </c>
      <c r="E1076" t="str">
        <f>"080065846113"</f>
        <v>080065846113</v>
      </c>
      <c r="F1076" s="3">
        <v>45817</v>
      </c>
      <c r="G1076">
        <v>202603</v>
      </c>
      <c r="H1076" t="s">
        <v>75</v>
      </c>
      <c r="I1076" t="s">
        <v>76</v>
      </c>
      <c r="J1076" t="s">
        <v>77</v>
      </c>
      <c r="K1076" t="s">
        <v>78</v>
      </c>
      <c r="L1076" t="s">
        <v>159</v>
      </c>
      <c r="M1076" t="s">
        <v>160</v>
      </c>
      <c r="N1076" t="s">
        <v>409</v>
      </c>
      <c r="O1076" t="s">
        <v>82</v>
      </c>
      <c r="P1076" t="str">
        <f>"4170042919                    "</f>
        <v xml:space="preserve">4170042919                    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16.32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1</v>
      </c>
      <c r="BI1076">
        <v>1</v>
      </c>
      <c r="BJ1076">
        <v>0.2</v>
      </c>
      <c r="BK1076">
        <v>1</v>
      </c>
      <c r="BL1076">
        <v>54.28</v>
      </c>
      <c r="BM1076">
        <v>8.14</v>
      </c>
      <c r="BN1076">
        <v>62.42</v>
      </c>
      <c r="BO1076">
        <v>62.42</v>
      </c>
      <c r="BQ1076" t="s">
        <v>410</v>
      </c>
      <c r="BR1076" t="s">
        <v>84</v>
      </c>
      <c r="BS1076" s="3">
        <v>45818</v>
      </c>
      <c r="BT1076" s="4">
        <v>0.36458333333333331</v>
      </c>
      <c r="BU1076" t="s">
        <v>967</v>
      </c>
      <c r="BV1076" t="s">
        <v>86</v>
      </c>
      <c r="BY1076">
        <v>1200</v>
      </c>
      <c r="CA1076" t="s">
        <v>444</v>
      </c>
      <c r="CC1076" t="s">
        <v>160</v>
      </c>
      <c r="CD1076">
        <v>2091</v>
      </c>
      <c r="CE1076" t="s">
        <v>215</v>
      </c>
      <c r="CF1076" s="3">
        <v>45818</v>
      </c>
      <c r="CI1076">
        <v>1</v>
      </c>
      <c r="CJ1076">
        <v>1</v>
      </c>
      <c r="CK1076">
        <v>22</v>
      </c>
      <c r="CL1076" t="s">
        <v>90</v>
      </c>
    </row>
    <row r="1077" spans="1:90" x14ac:dyDescent="0.3">
      <c r="A1077" t="s">
        <v>72</v>
      </c>
      <c r="B1077" t="s">
        <v>73</v>
      </c>
      <c r="C1077" t="s">
        <v>74</v>
      </c>
      <c r="E1077" t="str">
        <f>"080065846139"</f>
        <v>080065846139</v>
      </c>
      <c r="F1077" s="3">
        <v>45817</v>
      </c>
      <c r="G1077">
        <v>202603</v>
      </c>
      <c r="H1077" t="s">
        <v>75</v>
      </c>
      <c r="I1077" t="s">
        <v>76</v>
      </c>
      <c r="J1077" t="s">
        <v>77</v>
      </c>
      <c r="K1077" t="s">
        <v>78</v>
      </c>
      <c r="L1077" t="s">
        <v>100</v>
      </c>
      <c r="M1077" t="s">
        <v>101</v>
      </c>
      <c r="N1077" t="s">
        <v>1754</v>
      </c>
      <c r="O1077" t="s">
        <v>82</v>
      </c>
      <c r="P1077" t="str">
        <f>"4170042885                    "</f>
        <v xml:space="preserve">4170042885                    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20.9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1</v>
      </c>
      <c r="BI1077">
        <v>1</v>
      </c>
      <c r="BJ1077">
        <v>1.1000000000000001</v>
      </c>
      <c r="BK1077">
        <v>1.5</v>
      </c>
      <c r="BL1077">
        <v>69.5</v>
      </c>
      <c r="BM1077">
        <v>10.43</v>
      </c>
      <c r="BN1077">
        <v>79.930000000000007</v>
      </c>
      <c r="BO1077">
        <v>79.930000000000007</v>
      </c>
      <c r="BQ1077" t="s">
        <v>1755</v>
      </c>
      <c r="BR1077" t="s">
        <v>84</v>
      </c>
      <c r="BS1077" s="3">
        <v>45818</v>
      </c>
      <c r="BT1077" s="4">
        <v>0.35</v>
      </c>
      <c r="BU1077" t="s">
        <v>1756</v>
      </c>
      <c r="BV1077" t="s">
        <v>86</v>
      </c>
      <c r="BY1077">
        <v>5320</v>
      </c>
      <c r="CA1077" t="s">
        <v>283</v>
      </c>
      <c r="CC1077" t="s">
        <v>101</v>
      </c>
      <c r="CD1077">
        <v>6001</v>
      </c>
      <c r="CE1077" t="s">
        <v>292</v>
      </c>
      <c r="CF1077" s="3">
        <v>45818</v>
      </c>
      <c r="CI1077">
        <v>1</v>
      </c>
      <c r="CJ1077">
        <v>1</v>
      </c>
      <c r="CK1077">
        <v>21</v>
      </c>
      <c r="CL1077" t="s">
        <v>90</v>
      </c>
    </row>
    <row r="1078" spans="1:90" x14ac:dyDescent="0.3">
      <c r="A1078" t="s">
        <v>72</v>
      </c>
      <c r="B1078" t="s">
        <v>73</v>
      </c>
      <c r="C1078" t="s">
        <v>74</v>
      </c>
      <c r="E1078" t="str">
        <f>"080065846169"</f>
        <v>080065846169</v>
      </c>
      <c r="F1078" s="3">
        <v>45817</v>
      </c>
      <c r="G1078">
        <v>202603</v>
      </c>
      <c r="H1078" t="s">
        <v>75</v>
      </c>
      <c r="I1078" t="s">
        <v>76</v>
      </c>
      <c r="J1078" t="s">
        <v>77</v>
      </c>
      <c r="K1078" t="s">
        <v>78</v>
      </c>
      <c r="L1078" t="s">
        <v>100</v>
      </c>
      <c r="M1078" t="s">
        <v>101</v>
      </c>
      <c r="N1078" t="s">
        <v>1780</v>
      </c>
      <c r="O1078" t="s">
        <v>82</v>
      </c>
      <c r="P1078" t="str">
        <f>"4170042854                    "</f>
        <v xml:space="preserve">4170042854                    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20.9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0</v>
      </c>
      <c r="BF1078">
        <v>0</v>
      </c>
      <c r="BG1078">
        <v>0</v>
      </c>
      <c r="BH1078">
        <v>1</v>
      </c>
      <c r="BI1078">
        <v>1</v>
      </c>
      <c r="BJ1078">
        <v>0.2</v>
      </c>
      <c r="BK1078">
        <v>1</v>
      </c>
      <c r="BL1078">
        <v>69.5</v>
      </c>
      <c r="BM1078">
        <v>10.43</v>
      </c>
      <c r="BN1078">
        <v>79.930000000000007</v>
      </c>
      <c r="BO1078">
        <v>79.930000000000007</v>
      </c>
      <c r="BQ1078" t="s">
        <v>1781</v>
      </c>
      <c r="BR1078" t="s">
        <v>84</v>
      </c>
      <c r="BS1078" s="3">
        <v>45818</v>
      </c>
      <c r="BT1078" s="4">
        <v>0.4375</v>
      </c>
      <c r="BU1078" t="s">
        <v>1782</v>
      </c>
      <c r="BV1078" t="s">
        <v>86</v>
      </c>
      <c r="BY1078">
        <v>1200</v>
      </c>
      <c r="CA1078" t="s">
        <v>394</v>
      </c>
      <c r="CC1078" t="s">
        <v>101</v>
      </c>
      <c r="CD1078">
        <v>6000</v>
      </c>
      <c r="CE1078" t="s">
        <v>215</v>
      </c>
      <c r="CF1078" s="3">
        <v>45818</v>
      </c>
      <c r="CI1078">
        <v>1</v>
      </c>
      <c r="CJ1078">
        <v>1</v>
      </c>
      <c r="CK1078">
        <v>21</v>
      </c>
      <c r="CL1078" t="s">
        <v>90</v>
      </c>
    </row>
    <row r="1079" spans="1:90" x14ac:dyDescent="0.3">
      <c r="A1079" t="s">
        <v>72</v>
      </c>
      <c r="B1079" t="s">
        <v>73</v>
      </c>
      <c r="C1079" t="s">
        <v>74</v>
      </c>
      <c r="E1079" t="str">
        <f>"080065846201"</f>
        <v>080065846201</v>
      </c>
      <c r="F1079" s="3">
        <v>45817</v>
      </c>
      <c r="G1079">
        <v>202603</v>
      </c>
      <c r="H1079" t="s">
        <v>75</v>
      </c>
      <c r="I1079" t="s">
        <v>76</v>
      </c>
      <c r="J1079" t="s">
        <v>77</v>
      </c>
      <c r="K1079" t="s">
        <v>78</v>
      </c>
      <c r="L1079" t="s">
        <v>100</v>
      </c>
      <c r="M1079" t="s">
        <v>101</v>
      </c>
      <c r="N1079" t="s">
        <v>123</v>
      </c>
      <c r="O1079" t="s">
        <v>82</v>
      </c>
      <c r="P1079" t="str">
        <f>"4170042897                    "</f>
        <v xml:space="preserve">4170042897                    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20.9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0</v>
      </c>
      <c r="BF1079">
        <v>0</v>
      </c>
      <c r="BG1079">
        <v>0</v>
      </c>
      <c r="BH1079">
        <v>1</v>
      </c>
      <c r="BI1079">
        <v>1</v>
      </c>
      <c r="BJ1079">
        <v>0.2</v>
      </c>
      <c r="BK1079">
        <v>1</v>
      </c>
      <c r="BL1079">
        <v>69.5</v>
      </c>
      <c r="BM1079">
        <v>10.43</v>
      </c>
      <c r="BN1079">
        <v>79.930000000000007</v>
      </c>
      <c r="BO1079">
        <v>79.930000000000007</v>
      </c>
      <c r="BQ1079" t="s">
        <v>124</v>
      </c>
      <c r="BR1079" t="s">
        <v>84</v>
      </c>
      <c r="BS1079" s="3">
        <v>45818</v>
      </c>
      <c r="BT1079" s="4">
        <v>0.39861111111111114</v>
      </c>
      <c r="BU1079" t="s">
        <v>1015</v>
      </c>
      <c r="BV1079" t="s">
        <v>86</v>
      </c>
      <c r="BY1079">
        <v>1200</v>
      </c>
      <c r="CA1079" t="s">
        <v>235</v>
      </c>
      <c r="CC1079" t="s">
        <v>101</v>
      </c>
      <c r="CD1079">
        <v>6001</v>
      </c>
      <c r="CE1079" t="s">
        <v>215</v>
      </c>
      <c r="CF1079" s="3">
        <v>45818</v>
      </c>
      <c r="CI1079">
        <v>1</v>
      </c>
      <c r="CJ1079">
        <v>1</v>
      </c>
      <c r="CK1079">
        <v>21</v>
      </c>
      <c r="CL1079" t="s">
        <v>90</v>
      </c>
    </row>
    <row r="1080" spans="1:90" x14ac:dyDescent="0.3">
      <c r="A1080" t="s">
        <v>72</v>
      </c>
      <c r="B1080" t="s">
        <v>73</v>
      </c>
      <c r="C1080" t="s">
        <v>74</v>
      </c>
      <c r="E1080" t="str">
        <f>"080065846238"</f>
        <v>080065846238</v>
      </c>
      <c r="F1080" s="3">
        <v>45817</v>
      </c>
      <c r="G1080">
        <v>202603</v>
      </c>
      <c r="H1080" t="s">
        <v>75</v>
      </c>
      <c r="I1080" t="s">
        <v>76</v>
      </c>
      <c r="J1080" t="s">
        <v>77</v>
      </c>
      <c r="K1080" t="s">
        <v>78</v>
      </c>
      <c r="L1080" t="s">
        <v>159</v>
      </c>
      <c r="M1080" t="s">
        <v>160</v>
      </c>
      <c r="N1080" t="s">
        <v>1783</v>
      </c>
      <c r="O1080" t="s">
        <v>82</v>
      </c>
      <c r="P1080" t="str">
        <f>"4170042941                    "</f>
        <v xml:space="preserve">4170042941                    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16.32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1</v>
      </c>
      <c r="BI1080">
        <v>1</v>
      </c>
      <c r="BJ1080">
        <v>0.2</v>
      </c>
      <c r="BK1080">
        <v>1</v>
      </c>
      <c r="BL1080">
        <v>54.28</v>
      </c>
      <c r="BM1080">
        <v>8.14</v>
      </c>
      <c r="BN1080">
        <v>62.42</v>
      </c>
      <c r="BO1080">
        <v>62.42</v>
      </c>
      <c r="BQ1080" t="s">
        <v>1784</v>
      </c>
      <c r="BR1080" t="s">
        <v>84</v>
      </c>
      <c r="BS1080" s="3">
        <v>45818</v>
      </c>
      <c r="BT1080" s="4">
        <v>0.42777777777777776</v>
      </c>
      <c r="BU1080" t="s">
        <v>1785</v>
      </c>
      <c r="BV1080" t="s">
        <v>86</v>
      </c>
      <c r="BY1080">
        <v>1200</v>
      </c>
      <c r="CA1080" t="s">
        <v>1022</v>
      </c>
      <c r="CC1080" t="s">
        <v>160</v>
      </c>
      <c r="CD1080">
        <v>2065</v>
      </c>
      <c r="CE1080" t="s">
        <v>215</v>
      </c>
      <c r="CF1080" s="3">
        <v>45818</v>
      </c>
      <c r="CI1080">
        <v>1</v>
      </c>
      <c r="CJ1080">
        <v>1</v>
      </c>
      <c r="CK1080">
        <v>22</v>
      </c>
      <c r="CL1080" t="s">
        <v>90</v>
      </c>
    </row>
    <row r="1081" spans="1:90" x14ac:dyDescent="0.3">
      <c r="A1081" t="s">
        <v>72</v>
      </c>
      <c r="B1081" t="s">
        <v>73</v>
      </c>
      <c r="C1081" t="s">
        <v>74</v>
      </c>
      <c r="E1081" t="str">
        <f>"080065846263"</f>
        <v>080065846263</v>
      </c>
      <c r="F1081" s="3">
        <v>45817</v>
      </c>
      <c r="G1081">
        <v>202603</v>
      </c>
      <c r="H1081" t="s">
        <v>75</v>
      </c>
      <c r="I1081" t="s">
        <v>76</v>
      </c>
      <c r="J1081" t="s">
        <v>77</v>
      </c>
      <c r="K1081" t="s">
        <v>78</v>
      </c>
      <c r="L1081" t="s">
        <v>75</v>
      </c>
      <c r="M1081" t="s">
        <v>76</v>
      </c>
      <c r="N1081" t="s">
        <v>112</v>
      </c>
      <c r="O1081" t="s">
        <v>82</v>
      </c>
      <c r="P1081" t="str">
        <f>"4170042917                    "</f>
        <v xml:space="preserve">4170042917                    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16.32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0</v>
      </c>
      <c r="BF1081">
        <v>0</v>
      </c>
      <c r="BG1081">
        <v>0</v>
      </c>
      <c r="BH1081">
        <v>1</v>
      </c>
      <c r="BI1081">
        <v>1</v>
      </c>
      <c r="BJ1081">
        <v>0.2</v>
      </c>
      <c r="BK1081">
        <v>1</v>
      </c>
      <c r="BL1081">
        <v>54.28</v>
      </c>
      <c r="BM1081">
        <v>8.14</v>
      </c>
      <c r="BN1081">
        <v>62.42</v>
      </c>
      <c r="BO1081">
        <v>62.42</v>
      </c>
      <c r="BQ1081" t="s">
        <v>113</v>
      </c>
      <c r="BR1081" t="s">
        <v>84</v>
      </c>
      <c r="BS1081" s="3">
        <v>45818</v>
      </c>
      <c r="BT1081" s="4">
        <v>0.35486111111111113</v>
      </c>
      <c r="BU1081" t="s">
        <v>1696</v>
      </c>
      <c r="BV1081" t="s">
        <v>86</v>
      </c>
      <c r="BY1081">
        <v>1200</v>
      </c>
      <c r="CA1081" t="s">
        <v>115</v>
      </c>
      <c r="CC1081" t="s">
        <v>76</v>
      </c>
      <c r="CD1081">
        <v>1600</v>
      </c>
      <c r="CE1081" t="s">
        <v>215</v>
      </c>
      <c r="CF1081" s="3">
        <v>45818</v>
      </c>
      <c r="CI1081">
        <v>1</v>
      </c>
      <c r="CJ1081">
        <v>1</v>
      </c>
      <c r="CK1081">
        <v>22</v>
      </c>
      <c r="CL1081" t="s">
        <v>90</v>
      </c>
    </row>
    <row r="1082" spans="1:90" x14ac:dyDescent="0.3">
      <c r="A1082" t="s">
        <v>72</v>
      </c>
      <c r="B1082" t="s">
        <v>73</v>
      </c>
      <c r="C1082" t="s">
        <v>74</v>
      </c>
      <c r="E1082" t="str">
        <f>"080065846282"</f>
        <v>080065846282</v>
      </c>
      <c r="F1082" s="3">
        <v>45817</v>
      </c>
      <c r="G1082">
        <v>202603</v>
      </c>
      <c r="H1082" t="s">
        <v>75</v>
      </c>
      <c r="I1082" t="s">
        <v>76</v>
      </c>
      <c r="J1082" t="s">
        <v>77</v>
      </c>
      <c r="K1082" t="s">
        <v>78</v>
      </c>
      <c r="L1082" t="s">
        <v>224</v>
      </c>
      <c r="M1082" t="s">
        <v>225</v>
      </c>
      <c r="N1082" t="s">
        <v>1442</v>
      </c>
      <c r="O1082" t="s">
        <v>82</v>
      </c>
      <c r="P1082" t="str">
        <f>"4170042843                    "</f>
        <v xml:space="preserve">4170042843                    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40.49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0</v>
      </c>
      <c r="BF1082">
        <v>0</v>
      </c>
      <c r="BG1082">
        <v>0</v>
      </c>
      <c r="BH1082">
        <v>1</v>
      </c>
      <c r="BI1082">
        <v>1</v>
      </c>
      <c r="BJ1082">
        <v>0.2</v>
      </c>
      <c r="BK1082">
        <v>1</v>
      </c>
      <c r="BL1082">
        <v>134.65</v>
      </c>
      <c r="BM1082">
        <v>20.2</v>
      </c>
      <c r="BN1082">
        <v>154.85</v>
      </c>
      <c r="BO1082">
        <v>154.85</v>
      </c>
      <c r="BQ1082" t="s">
        <v>1443</v>
      </c>
      <c r="BR1082" t="s">
        <v>84</v>
      </c>
      <c r="BS1082" s="3">
        <v>45818</v>
      </c>
      <c r="BT1082" s="4">
        <v>0.3840277777777778</v>
      </c>
      <c r="BU1082" t="s">
        <v>1660</v>
      </c>
      <c r="BV1082" t="s">
        <v>86</v>
      </c>
      <c r="BY1082">
        <v>1200</v>
      </c>
      <c r="CA1082" t="s">
        <v>229</v>
      </c>
      <c r="CC1082" t="s">
        <v>225</v>
      </c>
      <c r="CD1082">
        <v>6300</v>
      </c>
      <c r="CE1082" t="s">
        <v>215</v>
      </c>
      <c r="CF1082" s="3">
        <v>45818</v>
      </c>
      <c r="CI1082">
        <v>2</v>
      </c>
      <c r="CJ1082">
        <v>1</v>
      </c>
      <c r="CK1082">
        <v>23</v>
      </c>
      <c r="CL1082" t="s">
        <v>90</v>
      </c>
    </row>
    <row r="1083" spans="1:90" x14ac:dyDescent="0.3">
      <c r="A1083" t="s">
        <v>72</v>
      </c>
      <c r="B1083" t="s">
        <v>73</v>
      </c>
      <c r="C1083" t="s">
        <v>74</v>
      </c>
      <c r="E1083" t="str">
        <f>"080065846314"</f>
        <v>080065846314</v>
      </c>
      <c r="F1083" s="3">
        <v>45817</v>
      </c>
      <c r="G1083">
        <v>202603</v>
      </c>
      <c r="H1083" t="s">
        <v>75</v>
      </c>
      <c r="I1083" t="s">
        <v>76</v>
      </c>
      <c r="J1083" t="s">
        <v>77</v>
      </c>
      <c r="K1083" t="s">
        <v>78</v>
      </c>
      <c r="L1083" t="s">
        <v>159</v>
      </c>
      <c r="M1083" t="s">
        <v>160</v>
      </c>
      <c r="N1083" t="s">
        <v>1786</v>
      </c>
      <c r="O1083" t="s">
        <v>82</v>
      </c>
      <c r="P1083" t="str">
        <f>"4170042974                    "</f>
        <v xml:space="preserve">4170042974                    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16.32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0</v>
      </c>
      <c r="BF1083">
        <v>0</v>
      </c>
      <c r="BG1083">
        <v>0</v>
      </c>
      <c r="BH1083">
        <v>1</v>
      </c>
      <c r="BI1083">
        <v>1</v>
      </c>
      <c r="BJ1083">
        <v>0.2</v>
      </c>
      <c r="BK1083">
        <v>1</v>
      </c>
      <c r="BL1083">
        <v>54.28</v>
      </c>
      <c r="BM1083">
        <v>8.14</v>
      </c>
      <c r="BN1083">
        <v>62.42</v>
      </c>
      <c r="BO1083">
        <v>62.42</v>
      </c>
      <c r="BQ1083" t="s">
        <v>1787</v>
      </c>
      <c r="BR1083" t="s">
        <v>84</v>
      </c>
      <c r="BS1083" s="3">
        <v>45818</v>
      </c>
      <c r="BT1083" s="4">
        <v>0.38680555555555557</v>
      </c>
      <c r="BU1083" t="s">
        <v>1744</v>
      </c>
      <c r="BV1083" t="s">
        <v>86</v>
      </c>
      <c r="BY1083">
        <v>1200</v>
      </c>
      <c r="CA1083" t="s">
        <v>1022</v>
      </c>
      <c r="CC1083" t="s">
        <v>160</v>
      </c>
      <c r="CD1083">
        <v>2065</v>
      </c>
      <c r="CE1083" t="s">
        <v>215</v>
      </c>
      <c r="CF1083" s="3">
        <v>45818</v>
      </c>
      <c r="CI1083">
        <v>1</v>
      </c>
      <c r="CJ1083">
        <v>1</v>
      </c>
      <c r="CK1083">
        <v>22</v>
      </c>
      <c r="CL1083" t="s">
        <v>90</v>
      </c>
    </row>
    <row r="1084" spans="1:90" x14ac:dyDescent="0.3">
      <c r="A1084" t="s">
        <v>72</v>
      </c>
      <c r="B1084" t="s">
        <v>73</v>
      </c>
      <c r="C1084" t="s">
        <v>74</v>
      </c>
      <c r="E1084" t="str">
        <f>"080065846550"</f>
        <v>080065846550</v>
      </c>
      <c r="F1084" s="3">
        <v>45817</v>
      </c>
      <c r="G1084">
        <v>202603</v>
      </c>
      <c r="H1084" t="s">
        <v>75</v>
      </c>
      <c r="I1084" t="s">
        <v>76</v>
      </c>
      <c r="J1084" t="s">
        <v>77</v>
      </c>
      <c r="K1084" t="s">
        <v>78</v>
      </c>
      <c r="L1084" t="s">
        <v>159</v>
      </c>
      <c r="M1084" t="s">
        <v>160</v>
      </c>
      <c r="N1084" t="s">
        <v>230</v>
      </c>
      <c r="O1084" t="s">
        <v>82</v>
      </c>
      <c r="P1084" t="str">
        <f>"4170042939                    "</f>
        <v xml:space="preserve">4170042939                    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16.32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0</v>
      </c>
      <c r="BF1084">
        <v>0</v>
      </c>
      <c r="BG1084">
        <v>0</v>
      </c>
      <c r="BH1084">
        <v>1</v>
      </c>
      <c r="BI1084">
        <v>1</v>
      </c>
      <c r="BJ1084">
        <v>0.2</v>
      </c>
      <c r="BK1084">
        <v>1</v>
      </c>
      <c r="BL1084">
        <v>54.28</v>
      </c>
      <c r="BM1084">
        <v>8.14</v>
      </c>
      <c r="BN1084">
        <v>62.42</v>
      </c>
      <c r="BO1084">
        <v>62.42</v>
      </c>
      <c r="BQ1084" t="s">
        <v>231</v>
      </c>
      <c r="BR1084" t="s">
        <v>84</v>
      </c>
      <c r="BS1084" s="3">
        <v>45818</v>
      </c>
      <c r="BT1084" s="4">
        <v>0.41666666666666669</v>
      </c>
      <c r="BU1084" t="s">
        <v>1776</v>
      </c>
      <c r="BV1084" t="s">
        <v>86</v>
      </c>
      <c r="BY1084">
        <v>1200</v>
      </c>
      <c r="CA1084" t="s">
        <v>233</v>
      </c>
      <c r="CC1084" t="s">
        <v>160</v>
      </c>
      <c r="CD1084">
        <v>2094</v>
      </c>
      <c r="CE1084" t="s">
        <v>215</v>
      </c>
      <c r="CF1084" s="3">
        <v>45818</v>
      </c>
      <c r="CI1084">
        <v>1</v>
      </c>
      <c r="CJ1084">
        <v>1</v>
      </c>
      <c r="CK1084">
        <v>22</v>
      </c>
      <c r="CL1084" t="s">
        <v>90</v>
      </c>
    </row>
    <row r="1085" spans="1:90" x14ac:dyDescent="0.3">
      <c r="A1085" t="s">
        <v>72</v>
      </c>
      <c r="B1085" t="s">
        <v>73</v>
      </c>
      <c r="C1085" t="s">
        <v>74</v>
      </c>
      <c r="E1085" t="str">
        <f>"080065846591"</f>
        <v>080065846591</v>
      </c>
      <c r="F1085" s="3">
        <v>45817</v>
      </c>
      <c r="G1085">
        <v>202603</v>
      </c>
      <c r="H1085" t="s">
        <v>75</v>
      </c>
      <c r="I1085" t="s">
        <v>76</v>
      </c>
      <c r="J1085" t="s">
        <v>77</v>
      </c>
      <c r="K1085" t="s">
        <v>78</v>
      </c>
      <c r="L1085" t="s">
        <v>331</v>
      </c>
      <c r="M1085" t="s">
        <v>332</v>
      </c>
      <c r="N1085" t="s">
        <v>484</v>
      </c>
      <c r="O1085" t="s">
        <v>82</v>
      </c>
      <c r="P1085" t="str">
        <f>"4170042891                    "</f>
        <v xml:space="preserve">4170042891                    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20.9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0</v>
      </c>
      <c r="BF1085">
        <v>0</v>
      </c>
      <c r="BG1085">
        <v>0</v>
      </c>
      <c r="BH1085">
        <v>1</v>
      </c>
      <c r="BI1085">
        <v>1</v>
      </c>
      <c r="BJ1085">
        <v>0.2</v>
      </c>
      <c r="BK1085">
        <v>1</v>
      </c>
      <c r="BL1085">
        <v>69.5</v>
      </c>
      <c r="BM1085">
        <v>10.43</v>
      </c>
      <c r="BN1085">
        <v>79.930000000000007</v>
      </c>
      <c r="BO1085">
        <v>79.930000000000007</v>
      </c>
      <c r="BQ1085" t="s">
        <v>485</v>
      </c>
      <c r="BR1085" t="s">
        <v>84</v>
      </c>
      <c r="BS1085" s="3">
        <v>45818</v>
      </c>
      <c r="BT1085" s="4">
        <v>0.39097222222222222</v>
      </c>
      <c r="BU1085" t="s">
        <v>1324</v>
      </c>
      <c r="BV1085" t="s">
        <v>86</v>
      </c>
      <c r="BY1085">
        <v>1200</v>
      </c>
      <c r="CA1085" t="s">
        <v>418</v>
      </c>
      <c r="CC1085" t="s">
        <v>332</v>
      </c>
      <c r="CD1085">
        <v>4052</v>
      </c>
      <c r="CE1085" t="s">
        <v>215</v>
      </c>
      <c r="CF1085" s="3">
        <v>45818</v>
      </c>
      <c r="CI1085">
        <v>1</v>
      </c>
      <c r="CJ1085">
        <v>1</v>
      </c>
      <c r="CK1085">
        <v>21</v>
      </c>
      <c r="CL1085" t="s">
        <v>90</v>
      </c>
    </row>
    <row r="1086" spans="1:90" x14ac:dyDescent="0.3">
      <c r="A1086" t="s">
        <v>72</v>
      </c>
      <c r="B1086" t="s">
        <v>73</v>
      </c>
      <c r="C1086" t="s">
        <v>74</v>
      </c>
      <c r="E1086" t="str">
        <f>"080065846616"</f>
        <v>080065846616</v>
      </c>
      <c r="F1086" s="3">
        <v>45817</v>
      </c>
      <c r="G1086">
        <v>202603</v>
      </c>
      <c r="H1086" t="s">
        <v>75</v>
      </c>
      <c r="I1086" t="s">
        <v>76</v>
      </c>
      <c r="J1086" t="s">
        <v>77</v>
      </c>
      <c r="K1086" t="s">
        <v>78</v>
      </c>
      <c r="L1086" t="s">
        <v>75</v>
      </c>
      <c r="M1086" t="s">
        <v>76</v>
      </c>
      <c r="N1086" t="s">
        <v>275</v>
      </c>
      <c r="O1086" t="s">
        <v>82</v>
      </c>
      <c r="P1086" t="str">
        <f>"4170042937                    "</f>
        <v xml:space="preserve">4170042937                    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16.32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0</v>
      </c>
      <c r="BF1086">
        <v>0</v>
      </c>
      <c r="BG1086">
        <v>0</v>
      </c>
      <c r="BH1086">
        <v>1</v>
      </c>
      <c r="BI1086">
        <v>1</v>
      </c>
      <c r="BJ1086">
        <v>0.2</v>
      </c>
      <c r="BK1086">
        <v>1</v>
      </c>
      <c r="BL1086">
        <v>54.28</v>
      </c>
      <c r="BM1086">
        <v>8.14</v>
      </c>
      <c r="BN1086">
        <v>62.42</v>
      </c>
      <c r="BO1086">
        <v>62.42</v>
      </c>
      <c r="BQ1086" t="s">
        <v>277</v>
      </c>
      <c r="BR1086" t="s">
        <v>84</v>
      </c>
      <c r="BS1086" s="3">
        <v>45818</v>
      </c>
      <c r="BT1086" s="4">
        <v>0.38611111111111113</v>
      </c>
      <c r="BU1086" t="s">
        <v>1666</v>
      </c>
      <c r="BV1086" t="s">
        <v>86</v>
      </c>
      <c r="BY1086">
        <v>1200</v>
      </c>
      <c r="CA1086" t="s">
        <v>279</v>
      </c>
      <c r="CC1086" t="s">
        <v>76</v>
      </c>
      <c r="CD1086">
        <v>1614</v>
      </c>
      <c r="CE1086" t="s">
        <v>215</v>
      </c>
      <c r="CF1086" s="3">
        <v>45819</v>
      </c>
      <c r="CI1086">
        <v>1</v>
      </c>
      <c r="CJ1086">
        <v>1</v>
      </c>
      <c r="CK1086">
        <v>22</v>
      </c>
      <c r="CL1086" t="s">
        <v>90</v>
      </c>
    </row>
    <row r="1087" spans="1:90" x14ac:dyDescent="0.3">
      <c r="A1087" t="s">
        <v>72</v>
      </c>
      <c r="B1087" t="s">
        <v>73</v>
      </c>
      <c r="C1087" t="s">
        <v>74</v>
      </c>
      <c r="E1087" t="str">
        <f>"080065846639"</f>
        <v>080065846639</v>
      </c>
      <c r="F1087" s="3">
        <v>45817</v>
      </c>
      <c r="G1087">
        <v>202603</v>
      </c>
      <c r="H1087" t="s">
        <v>75</v>
      </c>
      <c r="I1087" t="s">
        <v>76</v>
      </c>
      <c r="J1087" t="s">
        <v>77</v>
      </c>
      <c r="K1087" t="s">
        <v>78</v>
      </c>
      <c r="L1087" t="s">
        <v>369</v>
      </c>
      <c r="M1087" t="s">
        <v>370</v>
      </c>
      <c r="N1087" t="s">
        <v>371</v>
      </c>
      <c r="O1087" t="s">
        <v>82</v>
      </c>
      <c r="P1087" t="str">
        <f>"4170042923                    "</f>
        <v xml:space="preserve">4170042923                    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40.49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0</v>
      </c>
      <c r="BF1087">
        <v>0</v>
      </c>
      <c r="BG1087">
        <v>0</v>
      </c>
      <c r="BH1087">
        <v>1</v>
      </c>
      <c r="BI1087">
        <v>1</v>
      </c>
      <c r="BJ1087">
        <v>0.2</v>
      </c>
      <c r="BK1087">
        <v>1</v>
      </c>
      <c r="BL1087">
        <v>134.65</v>
      </c>
      <c r="BM1087">
        <v>20.2</v>
      </c>
      <c r="BN1087">
        <v>154.85</v>
      </c>
      <c r="BO1087">
        <v>154.85</v>
      </c>
      <c r="BQ1087" t="s">
        <v>372</v>
      </c>
      <c r="BR1087" t="s">
        <v>84</v>
      </c>
      <c r="BS1087" s="3">
        <v>45818</v>
      </c>
      <c r="BT1087" s="4">
        <v>0.40416666666666667</v>
      </c>
      <c r="BU1087" t="s">
        <v>1675</v>
      </c>
      <c r="BV1087" t="s">
        <v>86</v>
      </c>
      <c r="BY1087">
        <v>1200</v>
      </c>
      <c r="CC1087" t="s">
        <v>370</v>
      </c>
      <c r="CD1087">
        <v>7130</v>
      </c>
      <c r="CE1087" t="s">
        <v>215</v>
      </c>
      <c r="CF1087" s="3">
        <v>45819</v>
      </c>
      <c r="CI1087">
        <v>1</v>
      </c>
      <c r="CJ1087">
        <v>1</v>
      </c>
      <c r="CK1087">
        <v>23</v>
      </c>
      <c r="CL1087" t="s">
        <v>90</v>
      </c>
    </row>
    <row r="1088" spans="1:90" x14ac:dyDescent="0.3">
      <c r="A1088" t="s">
        <v>72</v>
      </c>
      <c r="B1088" t="s">
        <v>73</v>
      </c>
      <c r="C1088" t="s">
        <v>74</v>
      </c>
      <c r="E1088" t="str">
        <f>"080065847017"</f>
        <v>080065847017</v>
      </c>
      <c r="F1088" s="3">
        <v>45817</v>
      </c>
      <c r="G1088">
        <v>202603</v>
      </c>
      <c r="H1088" t="s">
        <v>75</v>
      </c>
      <c r="I1088" t="s">
        <v>76</v>
      </c>
      <c r="J1088" t="s">
        <v>77</v>
      </c>
      <c r="K1088" t="s">
        <v>78</v>
      </c>
      <c r="L1088" t="s">
        <v>350</v>
      </c>
      <c r="M1088" t="s">
        <v>351</v>
      </c>
      <c r="N1088" t="s">
        <v>1788</v>
      </c>
      <c r="O1088" t="s">
        <v>82</v>
      </c>
      <c r="P1088" t="str">
        <f>"4170042948                    "</f>
        <v xml:space="preserve">4170042948                    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52.22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0</v>
      </c>
      <c r="BF1088">
        <v>0</v>
      </c>
      <c r="BG1088">
        <v>0</v>
      </c>
      <c r="BH1088">
        <v>1</v>
      </c>
      <c r="BI1088">
        <v>5</v>
      </c>
      <c r="BJ1088">
        <v>1.9</v>
      </c>
      <c r="BK1088">
        <v>5</v>
      </c>
      <c r="BL1088">
        <v>173.66</v>
      </c>
      <c r="BM1088">
        <v>26.05</v>
      </c>
      <c r="BN1088">
        <v>199.71</v>
      </c>
      <c r="BO1088">
        <v>199.71</v>
      </c>
      <c r="BQ1088" t="s">
        <v>1789</v>
      </c>
      <c r="BR1088" t="s">
        <v>84</v>
      </c>
      <c r="BS1088" s="3">
        <v>45818</v>
      </c>
      <c r="BT1088" s="4">
        <v>0.35069444444444442</v>
      </c>
      <c r="BU1088" t="s">
        <v>1790</v>
      </c>
      <c r="BV1088" t="s">
        <v>86</v>
      </c>
      <c r="BY1088">
        <v>9728</v>
      </c>
      <c r="CA1088" t="s">
        <v>1791</v>
      </c>
      <c r="CC1088" t="s">
        <v>351</v>
      </c>
      <c r="CD1088">
        <v>157</v>
      </c>
      <c r="CE1088" t="s">
        <v>166</v>
      </c>
      <c r="CF1088" s="3">
        <v>45818</v>
      </c>
      <c r="CI1088">
        <v>1</v>
      </c>
      <c r="CJ1088">
        <v>1</v>
      </c>
      <c r="CK1088">
        <v>21</v>
      </c>
      <c r="CL1088" t="s">
        <v>90</v>
      </c>
    </row>
    <row r="1089" spans="1:91" x14ac:dyDescent="0.3">
      <c r="A1089" t="s">
        <v>72</v>
      </c>
      <c r="B1089" t="s">
        <v>73</v>
      </c>
      <c r="C1089" t="s">
        <v>74</v>
      </c>
      <c r="E1089" t="str">
        <f>"080065847077"</f>
        <v>080065847077</v>
      </c>
      <c r="F1089" s="3">
        <v>45817</v>
      </c>
      <c r="G1089">
        <v>202603</v>
      </c>
      <c r="H1089" t="s">
        <v>75</v>
      </c>
      <c r="I1089" t="s">
        <v>76</v>
      </c>
      <c r="J1089" t="s">
        <v>77</v>
      </c>
      <c r="K1089" t="s">
        <v>78</v>
      </c>
      <c r="L1089" t="s">
        <v>159</v>
      </c>
      <c r="M1089" t="s">
        <v>160</v>
      </c>
      <c r="N1089" t="s">
        <v>230</v>
      </c>
      <c r="O1089" t="s">
        <v>82</v>
      </c>
      <c r="P1089" t="str">
        <f>"4170042942                    "</f>
        <v xml:space="preserve">4170042942                    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16.32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0</v>
      </c>
      <c r="BF1089">
        <v>0</v>
      </c>
      <c r="BG1089">
        <v>0</v>
      </c>
      <c r="BH1089">
        <v>1</v>
      </c>
      <c r="BI1089">
        <v>5</v>
      </c>
      <c r="BJ1089">
        <v>7</v>
      </c>
      <c r="BK1089">
        <v>7</v>
      </c>
      <c r="BL1089">
        <v>54.28</v>
      </c>
      <c r="BM1089">
        <v>8.14</v>
      </c>
      <c r="BN1089">
        <v>62.42</v>
      </c>
      <c r="BO1089">
        <v>62.42</v>
      </c>
      <c r="BQ1089" t="s">
        <v>231</v>
      </c>
      <c r="BR1089" t="s">
        <v>84</v>
      </c>
      <c r="BS1089" s="3">
        <v>45818</v>
      </c>
      <c r="BT1089" s="4">
        <v>0.41666666666666669</v>
      </c>
      <c r="BU1089" t="s">
        <v>1776</v>
      </c>
      <c r="BV1089" t="s">
        <v>86</v>
      </c>
      <c r="BY1089">
        <v>34944</v>
      </c>
      <c r="CA1089" t="s">
        <v>233</v>
      </c>
      <c r="CC1089" t="s">
        <v>160</v>
      </c>
      <c r="CD1089">
        <v>2094</v>
      </c>
      <c r="CE1089" t="s">
        <v>166</v>
      </c>
      <c r="CF1089" s="3">
        <v>45818</v>
      </c>
      <c r="CI1089">
        <v>1</v>
      </c>
      <c r="CJ1089">
        <v>1</v>
      </c>
      <c r="CK1089">
        <v>22</v>
      </c>
      <c r="CL1089" t="s">
        <v>90</v>
      </c>
    </row>
    <row r="1090" spans="1:91" x14ac:dyDescent="0.3">
      <c r="A1090" t="s">
        <v>72</v>
      </c>
      <c r="B1090" t="s">
        <v>73</v>
      </c>
      <c r="C1090" t="s">
        <v>74</v>
      </c>
      <c r="E1090" t="str">
        <f>"080065847167"</f>
        <v>080065847167</v>
      </c>
      <c r="F1090" s="3">
        <v>45817</v>
      </c>
      <c r="G1090">
        <v>202603</v>
      </c>
      <c r="H1090" t="s">
        <v>75</v>
      </c>
      <c r="I1090" t="s">
        <v>76</v>
      </c>
      <c r="J1090" t="s">
        <v>77</v>
      </c>
      <c r="K1090" t="s">
        <v>78</v>
      </c>
      <c r="L1090" t="s">
        <v>331</v>
      </c>
      <c r="M1090" t="s">
        <v>332</v>
      </c>
      <c r="N1090" t="s">
        <v>1499</v>
      </c>
      <c r="O1090" t="s">
        <v>82</v>
      </c>
      <c r="P1090" t="str">
        <f>"4170042851                    "</f>
        <v xml:space="preserve">4170042851                    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31.34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0</v>
      </c>
      <c r="BF1090">
        <v>0</v>
      </c>
      <c r="BG1090">
        <v>0</v>
      </c>
      <c r="BH1090">
        <v>1</v>
      </c>
      <c r="BI1090">
        <v>3</v>
      </c>
      <c r="BJ1090">
        <v>2.2000000000000002</v>
      </c>
      <c r="BK1090">
        <v>3</v>
      </c>
      <c r="BL1090">
        <v>104.22</v>
      </c>
      <c r="BM1090">
        <v>15.63</v>
      </c>
      <c r="BN1090">
        <v>119.85</v>
      </c>
      <c r="BO1090">
        <v>119.85</v>
      </c>
      <c r="BQ1090" t="s">
        <v>1500</v>
      </c>
      <c r="BR1090" t="s">
        <v>84</v>
      </c>
      <c r="BS1090" s="3">
        <v>45818</v>
      </c>
      <c r="BT1090" s="4">
        <v>0.33819444444444446</v>
      </c>
      <c r="BU1090" t="s">
        <v>1695</v>
      </c>
      <c r="BV1090" t="s">
        <v>86</v>
      </c>
      <c r="BY1090">
        <v>11172</v>
      </c>
      <c r="CA1090" t="s">
        <v>336</v>
      </c>
      <c r="CC1090" t="s">
        <v>332</v>
      </c>
      <c r="CD1090">
        <v>4051</v>
      </c>
      <c r="CE1090" t="s">
        <v>166</v>
      </c>
      <c r="CF1090" s="3">
        <v>45818</v>
      </c>
      <c r="CI1090">
        <v>1</v>
      </c>
      <c r="CJ1090">
        <v>1</v>
      </c>
      <c r="CK1090">
        <v>21</v>
      </c>
      <c r="CL1090" t="s">
        <v>90</v>
      </c>
    </row>
    <row r="1091" spans="1:91" x14ac:dyDescent="0.3">
      <c r="A1091" t="s">
        <v>72</v>
      </c>
      <c r="B1091" t="s">
        <v>73</v>
      </c>
      <c r="C1091" t="s">
        <v>74</v>
      </c>
      <c r="E1091" t="str">
        <f>"080065847216"</f>
        <v>080065847216</v>
      </c>
      <c r="F1091" s="3">
        <v>45817</v>
      </c>
      <c r="G1091">
        <v>202603</v>
      </c>
      <c r="H1091" t="s">
        <v>75</v>
      </c>
      <c r="I1091" t="s">
        <v>76</v>
      </c>
      <c r="J1091" t="s">
        <v>77</v>
      </c>
      <c r="K1091" t="s">
        <v>78</v>
      </c>
      <c r="L1091" t="s">
        <v>174</v>
      </c>
      <c r="M1091" t="s">
        <v>175</v>
      </c>
      <c r="N1091" t="s">
        <v>926</v>
      </c>
      <c r="O1091" t="s">
        <v>82</v>
      </c>
      <c r="P1091" t="str">
        <f>"4170042878                    "</f>
        <v xml:space="preserve">4170042878                    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114.86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0</v>
      </c>
      <c r="BF1091">
        <v>0</v>
      </c>
      <c r="BG1091">
        <v>0</v>
      </c>
      <c r="BH1091">
        <v>1</v>
      </c>
      <c r="BI1091">
        <v>11</v>
      </c>
      <c r="BJ1091">
        <v>9.4</v>
      </c>
      <c r="BK1091">
        <v>11</v>
      </c>
      <c r="BL1091">
        <v>381.98</v>
      </c>
      <c r="BM1091">
        <v>57.3</v>
      </c>
      <c r="BN1091">
        <v>439.28</v>
      </c>
      <c r="BO1091">
        <v>439.28</v>
      </c>
      <c r="BQ1091" t="s">
        <v>927</v>
      </c>
      <c r="BR1091" t="s">
        <v>84</v>
      </c>
      <c r="BS1091" s="3">
        <v>45818</v>
      </c>
      <c r="BT1091" s="4">
        <v>0.63888888888888884</v>
      </c>
      <c r="BU1091" t="s">
        <v>1171</v>
      </c>
      <c r="BV1091" t="s">
        <v>90</v>
      </c>
      <c r="BW1091" t="s">
        <v>212</v>
      </c>
      <c r="BX1091" t="s">
        <v>213</v>
      </c>
      <c r="BY1091">
        <v>47040</v>
      </c>
      <c r="CA1091" t="s">
        <v>596</v>
      </c>
      <c r="CC1091" t="s">
        <v>175</v>
      </c>
      <c r="CD1091">
        <v>3610</v>
      </c>
      <c r="CE1091" t="s">
        <v>687</v>
      </c>
      <c r="CF1091" s="3">
        <v>45819</v>
      </c>
      <c r="CI1091">
        <v>1</v>
      </c>
      <c r="CJ1091">
        <v>1</v>
      </c>
      <c r="CK1091">
        <v>21</v>
      </c>
      <c r="CL1091" t="s">
        <v>90</v>
      </c>
    </row>
    <row r="1092" spans="1:91" x14ac:dyDescent="0.3">
      <c r="A1092" t="s">
        <v>72</v>
      </c>
      <c r="B1092" t="s">
        <v>73</v>
      </c>
      <c r="C1092" t="s">
        <v>74</v>
      </c>
      <c r="E1092" t="str">
        <f>"080065847274"</f>
        <v>080065847274</v>
      </c>
      <c r="F1092" s="3">
        <v>45817</v>
      </c>
      <c r="G1092">
        <v>202603</v>
      </c>
      <c r="H1092" t="s">
        <v>75</v>
      </c>
      <c r="I1092" t="s">
        <v>76</v>
      </c>
      <c r="J1092" t="s">
        <v>77</v>
      </c>
      <c r="K1092" t="s">
        <v>78</v>
      </c>
      <c r="L1092" t="s">
        <v>174</v>
      </c>
      <c r="M1092" t="s">
        <v>175</v>
      </c>
      <c r="N1092" t="s">
        <v>926</v>
      </c>
      <c r="O1092" t="s">
        <v>82</v>
      </c>
      <c r="P1092" t="str">
        <f>"4170042863                    "</f>
        <v xml:space="preserve">4170042863                    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31.34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0</v>
      </c>
      <c r="BF1092">
        <v>0</v>
      </c>
      <c r="BG1092">
        <v>0</v>
      </c>
      <c r="BH1092">
        <v>1</v>
      </c>
      <c r="BI1092">
        <v>3</v>
      </c>
      <c r="BJ1092">
        <v>1.7</v>
      </c>
      <c r="BK1092">
        <v>3</v>
      </c>
      <c r="BL1092">
        <v>104.22</v>
      </c>
      <c r="BM1092">
        <v>15.63</v>
      </c>
      <c r="BN1092">
        <v>119.85</v>
      </c>
      <c r="BO1092">
        <v>119.85</v>
      </c>
      <c r="BQ1092" t="s">
        <v>927</v>
      </c>
      <c r="BR1092" t="s">
        <v>84</v>
      </c>
      <c r="BS1092" s="3">
        <v>45818</v>
      </c>
      <c r="BT1092" s="4">
        <v>0.38611111111111113</v>
      </c>
      <c r="BU1092" t="s">
        <v>1171</v>
      </c>
      <c r="BV1092" t="s">
        <v>86</v>
      </c>
      <c r="BY1092">
        <v>8512</v>
      </c>
      <c r="CA1092" t="s">
        <v>596</v>
      </c>
      <c r="CC1092" t="s">
        <v>175</v>
      </c>
      <c r="CD1092">
        <v>3610</v>
      </c>
      <c r="CE1092" t="s">
        <v>292</v>
      </c>
      <c r="CF1092" s="3">
        <v>45819</v>
      </c>
      <c r="CI1092">
        <v>1</v>
      </c>
      <c r="CJ1092">
        <v>1</v>
      </c>
      <c r="CK1092">
        <v>21</v>
      </c>
      <c r="CL1092" t="s">
        <v>90</v>
      </c>
    </row>
    <row r="1093" spans="1:91" x14ac:dyDescent="0.3">
      <c r="A1093" t="s">
        <v>72</v>
      </c>
      <c r="B1093" t="s">
        <v>73</v>
      </c>
      <c r="C1093" t="s">
        <v>74</v>
      </c>
      <c r="E1093" t="str">
        <f>"080065847323"</f>
        <v>080065847323</v>
      </c>
      <c r="F1093" s="3">
        <v>45817</v>
      </c>
      <c r="G1093">
        <v>202603</v>
      </c>
      <c r="H1093" t="s">
        <v>75</v>
      </c>
      <c r="I1093" t="s">
        <v>76</v>
      </c>
      <c r="J1093" t="s">
        <v>77</v>
      </c>
      <c r="K1093" t="s">
        <v>78</v>
      </c>
      <c r="L1093" t="s">
        <v>75</v>
      </c>
      <c r="M1093" t="s">
        <v>76</v>
      </c>
      <c r="N1093" t="s">
        <v>656</v>
      </c>
      <c r="O1093" t="s">
        <v>82</v>
      </c>
      <c r="P1093" t="str">
        <f>"4170042876                    "</f>
        <v xml:space="preserve">4170042876                    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16.32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0</v>
      </c>
      <c r="BF1093">
        <v>0</v>
      </c>
      <c r="BG1093">
        <v>0</v>
      </c>
      <c r="BH1093">
        <v>1</v>
      </c>
      <c r="BI1093">
        <v>6</v>
      </c>
      <c r="BJ1093">
        <v>3.8</v>
      </c>
      <c r="BK1093">
        <v>6</v>
      </c>
      <c r="BL1093">
        <v>54.28</v>
      </c>
      <c r="BM1093">
        <v>8.14</v>
      </c>
      <c r="BN1093">
        <v>62.42</v>
      </c>
      <c r="BO1093">
        <v>62.42</v>
      </c>
      <c r="BQ1093" t="s">
        <v>657</v>
      </c>
      <c r="BR1093" t="s">
        <v>84</v>
      </c>
      <c r="BS1093" s="3">
        <v>45818</v>
      </c>
      <c r="BT1093" s="4">
        <v>0.34166666666666667</v>
      </c>
      <c r="BU1093" t="s">
        <v>770</v>
      </c>
      <c r="BV1093" t="s">
        <v>86</v>
      </c>
      <c r="BY1093">
        <v>19227</v>
      </c>
      <c r="CA1093" t="s">
        <v>1087</v>
      </c>
      <c r="CC1093" t="s">
        <v>76</v>
      </c>
      <c r="CD1093">
        <v>1619</v>
      </c>
      <c r="CE1093" t="s">
        <v>687</v>
      </c>
      <c r="CF1093" s="3">
        <v>45818</v>
      </c>
      <c r="CI1093">
        <v>1</v>
      </c>
      <c r="CJ1093">
        <v>1</v>
      </c>
      <c r="CK1093">
        <v>22</v>
      </c>
      <c r="CL1093" t="s">
        <v>90</v>
      </c>
    </row>
    <row r="1094" spans="1:91" x14ac:dyDescent="0.3">
      <c r="A1094" t="s">
        <v>72</v>
      </c>
      <c r="B1094" t="s">
        <v>73</v>
      </c>
      <c r="C1094" t="s">
        <v>74</v>
      </c>
      <c r="E1094" t="str">
        <f>"080065847388"</f>
        <v>080065847388</v>
      </c>
      <c r="F1094" s="3">
        <v>45817</v>
      </c>
      <c r="G1094">
        <v>202603</v>
      </c>
      <c r="H1094" t="s">
        <v>75</v>
      </c>
      <c r="I1094" t="s">
        <v>76</v>
      </c>
      <c r="J1094" t="s">
        <v>77</v>
      </c>
      <c r="K1094" t="s">
        <v>78</v>
      </c>
      <c r="L1094" t="s">
        <v>75</v>
      </c>
      <c r="M1094" t="s">
        <v>76</v>
      </c>
      <c r="N1094" t="s">
        <v>275</v>
      </c>
      <c r="O1094" t="s">
        <v>82</v>
      </c>
      <c r="P1094" t="str">
        <f>"4170042827                    "</f>
        <v xml:space="preserve">4170042827                    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16.32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0</v>
      </c>
      <c r="BF1094">
        <v>0</v>
      </c>
      <c r="BG1094">
        <v>0</v>
      </c>
      <c r="BH1094">
        <v>1</v>
      </c>
      <c r="BI1094">
        <v>1</v>
      </c>
      <c r="BJ1094">
        <v>0.9</v>
      </c>
      <c r="BK1094">
        <v>1</v>
      </c>
      <c r="BL1094">
        <v>54.28</v>
      </c>
      <c r="BM1094">
        <v>8.14</v>
      </c>
      <c r="BN1094">
        <v>62.42</v>
      </c>
      <c r="BO1094">
        <v>62.42</v>
      </c>
      <c r="BQ1094" t="s">
        <v>277</v>
      </c>
      <c r="BR1094" t="s">
        <v>84</v>
      </c>
      <c r="BS1094" s="3">
        <v>45818</v>
      </c>
      <c r="BT1094" s="4">
        <v>0.40277777777777779</v>
      </c>
      <c r="BU1094" t="s">
        <v>1666</v>
      </c>
      <c r="BV1094" t="s">
        <v>86</v>
      </c>
      <c r="BY1094">
        <v>4275</v>
      </c>
      <c r="CA1094" t="s">
        <v>279</v>
      </c>
      <c r="CC1094" t="s">
        <v>76</v>
      </c>
      <c r="CD1094">
        <v>1614</v>
      </c>
      <c r="CE1094" t="s">
        <v>292</v>
      </c>
      <c r="CF1094" s="3">
        <v>45819</v>
      </c>
      <c r="CI1094">
        <v>1</v>
      </c>
      <c r="CJ1094">
        <v>1</v>
      </c>
      <c r="CK1094">
        <v>22</v>
      </c>
      <c r="CL1094" t="s">
        <v>90</v>
      </c>
    </row>
    <row r="1095" spans="1:91" x14ac:dyDescent="0.3">
      <c r="A1095" t="s">
        <v>72</v>
      </c>
      <c r="B1095" t="s">
        <v>73</v>
      </c>
      <c r="C1095" t="s">
        <v>74</v>
      </c>
      <c r="E1095" t="str">
        <f>"080065847429"</f>
        <v>080065847429</v>
      </c>
      <c r="F1095" s="3">
        <v>45817</v>
      </c>
      <c r="G1095">
        <v>202603</v>
      </c>
      <c r="H1095" t="s">
        <v>75</v>
      </c>
      <c r="I1095" t="s">
        <v>76</v>
      </c>
      <c r="J1095" t="s">
        <v>77</v>
      </c>
      <c r="K1095" t="s">
        <v>78</v>
      </c>
      <c r="L1095" t="s">
        <v>331</v>
      </c>
      <c r="M1095" t="s">
        <v>332</v>
      </c>
      <c r="N1095" t="s">
        <v>484</v>
      </c>
      <c r="O1095" t="s">
        <v>82</v>
      </c>
      <c r="P1095" t="str">
        <f>"4170042933                    "</f>
        <v xml:space="preserve">4170042933                    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20.9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0</v>
      </c>
      <c r="BF1095">
        <v>0</v>
      </c>
      <c r="BG1095">
        <v>0</v>
      </c>
      <c r="BH1095">
        <v>1</v>
      </c>
      <c r="BI1095">
        <v>1</v>
      </c>
      <c r="BJ1095">
        <v>1.1000000000000001</v>
      </c>
      <c r="BK1095">
        <v>1.5</v>
      </c>
      <c r="BL1095">
        <v>69.5</v>
      </c>
      <c r="BM1095">
        <v>10.43</v>
      </c>
      <c r="BN1095">
        <v>79.930000000000007</v>
      </c>
      <c r="BO1095">
        <v>79.930000000000007</v>
      </c>
      <c r="BQ1095" t="s">
        <v>485</v>
      </c>
      <c r="BR1095" t="s">
        <v>84</v>
      </c>
      <c r="BS1095" s="3">
        <v>45818</v>
      </c>
      <c r="BT1095" s="4">
        <v>0.39097222222222222</v>
      </c>
      <c r="BU1095" t="s">
        <v>1324</v>
      </c>
      <c r="BV1095" t="s">
        <v>86</v>
      </c>
      <c r="BY1095">
        <v>5320</v>
      </c>
      <c r="CA1095" t="s">
        <v>418</v>
      </c>
      <c r="CC1095" t="s">
        <v>332</v>
      </c>
      <c r="CD1095">
        <v>4052</v>
      </c>
      <c r="CE1095" t="s">
        <v>292</v>
      </c>
      <c r="CF1095" s="3">
        <v>45818</v>
      </c>
      <c r="CI1095">
        <v>1</v>
      </c>
      <c r="CJ1095">
        <v>1</v>
      </c>
      <c r="CK1095">
        <v>21</v>
      </c>
      <c r="CL1095" t="s">
        <v>90</v>
      </c>
    </row>
    <row r="1096" spans="1:91" x14ac:dyDescent="0.3">
      <c r="A1096" t="s">
        <v>72</v>
      </c>
      <c r="B1096" t="s">
        <v>73</v>
      </c>
      <c r="C1096" t="s">
        <v>74</v>
      </c>
      <c r="E1096" t="str">
        <f>"080065847478"</f>
        <v>080065847478</v>
      </c>
      <c r="F1096" s="3">
        <v>45817</v>
      </c>
      <c r="G1096">
        <v>202603</v>
      </c>
      <c r="H1096" t="s">
        <v>75</v>
      </c>
      <c r="I1096" t="s">
        <v>76</v>
      </c>
      <c r="J1096" t="s">
        <v>77</v>
      </c>
      <c r="K1096" t="s">
        <v>78</v>
      </c>
      <c r="L1096" t="s">
        <v>100</v>
      </c>
      <c r="M1096" t="s">
        <v>101</v>
      </c>
      <c r="N1096" t="s">
        <v>1013</v>
      </c>
      <c r="O1096" t="s">
        <v>82</v>
      </c>
      <c r="P1096" t="str">
        <f>"4170043090                    "</f>
        <v xml:space="preserve">4170043090                    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190.46</v>
      </c>
      <c r="AN1096">
        <v>0</v>
      </c>
      <c r="AO1096">
        <v>0</v>
      </c>
      <c r="AP1096">
        <v>0</v>
      </c>
      <c r="AQ1096">
        <v>20.9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0</v>
      </c>
      <c r="BF1096">
        <v>0</v>
      </c>
      <c r="BG1096">
        <v>0</v>
      </c>
      <c r="BH1096">
        <v>1</v>
      </c>
      <c r="BI1096">
        <v>1</v>
      </c>
      <c r="BJ1096">
        <v>1.7</v>
      </c>
      <c r="BK1096">
        <v>2</v>
      </c>
      <c r="BL1096">
        <v>259.95999999999998</v>
      </c>
      <c r="BM1096">
        <v>38.99</v>
      </c>
      <c r="BN1096">
        <v>298.95</v>
      </c>
      <c r="BO1096">
        <v>298.95</v>
      </c>
      <c r="BQ1096" t="s">
        <v>1014</v>
      </c>
      <c r="BR1096" t="s">
        <v>84</v>
      </c>
      <c r="BS1096" s="3">
        <v>45818</v>
      </c>
      <c r="BT1096" s="4">
        <v>0.36249999999999999</v>
      </c>
      <c r="BU1096" t="s">
        <v>1792</v>
      </c>
      <c r="BV1096" t="s">
        <v>90</v>
      </c>
      <c r="BY1096">
        <v>8512</v>
      </c>
      <c r="BZ1096" t="s">
        <v>25</v>
      </c>
      <c r="CA1096" t="s">
        <v>235</v>
      </c>
      <c r="CC1096" t="s">
        <v>101</v>
      </c>
      <c r="CD1096">
        <v>6001</v>
      </c>
      <c r="CE1096" t="s">
        <v>292</v>
      </c>
      <c r="CF1096" s="3">
        <v>45818</v>
      </c>
      <c r="CI1096">
        <v>1</v>
      </c>
      <c r="CJ1096">
        <v>1</v>
      </c>
      <c r="CK1096">
        <v>21</v>
      </c>
      <c r="CL1096" t="s">
        <v>86</v>
      </c>
      <c r="CM1096" s="4">
        <v>0.36249999999999999</v>
      </c>
    </row>
    <row r="1097" spans="1:91" x14ac:dyDescent="0.3">
      <c r="A1097" t="s">
        <v>72</v>
      </c>
      <c r="B1097" t="s">
        <v>73</v>
      </c>
      <c r="C1097" t="s">
        <v>74</v>
      </c>
      <c r="E1097" t="str">
        <f>"080065847837"</f>
        <v>080065847837</v>
      </c>
      <c r="F1097" s="3">
        <v>45817</v>
      </c>
      <c r="G1097">
        <v>202603</v>
      </c>
      <c r="H1097" t="s">
        <v>75</v>
      </c>
      <c r="I1097" t="s">
        <v>76</v>
      </c>
      <c r="J1097" t="s">
        <v>77</v>
      </c>
      <c r="K1097" t="s">
        <v>78</v>
      </c>
      <c r="L1097" t="s">
        <v>91</v>
      </c>
      <c r="M1097" t="s">
        <v>92</v>
      </c>
      <c r="N1097" t="s">
        <v>93</v>
      </c>
      <c r="O1097" t="s">
        <v>82</v>
      </c>
      <c r="P1097" t="str">
        <f>"4170042392                    "</f>
        <v xml:space="preserve">4170042392                    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20.9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0</v>
      </c>
      <c r="BF1097">
        <v>0</v>
      </c>
      <c r="BG1097">
        <v>0</v>
      </c>
      <c r="BH1097">
        <v>1</v>
      </c>
      <c r="BI1097">
        <v>1</v>
      </c>
      <c r="BJ1097">
        <v>0.2</v>
      </c>
      <c r="BK1097">
        <v>1</v>
      </c>
      <c r="BL1097">
        <v>69.5</v>
      </c>
      <c r="BM1097">
        <v>10.43</v>
      </c>
      <c r="BN1097">
        <v>79.930000000000007</v>
      </c>
      <c r="BO1097">
        <v>79.930000000000007</v>
      </c>
      <c r="BQ1097" t="s">
        <v>95</v>
      </c>
      <c r="BR1097" t="s">
        <v>84</v>
      </c>
      <c r="BS1097" s="3">
        <v>45818</v>
      </c>
      <c r="BT1097" s="4">
        <v>0.37152777777777779</v>
      </c>
      <c r="BU1097" t="s">
        <v>580</v>
      </c>
      <c r="BV1097" t="s">
        <v>86</v>
      </c>
      <c r="BY1097">
        <v>1200</v>
      </c>
      <c r="CA1097" t="s">
        <v>543</v>
      </c>
      <c r="CC1097" t="s">
        <v>92</v>
      </c>
      <c r="CD1097">
        <v>7441</v>
      </c>
      <c r="CE1097" t="s">
        <v>215</v>
      </c>
      <c r="CF1097" s="3">
        <v>45819</v>
      </c>
      <c r="CI1097">
        <v>1</v>
      </c>
      <c r="CJ1097">
        <v>1</v>
      </c>
      <c r="CK1097">
        <v>21</v>
      </c>
      <c r="CL1097" t="s">
        <v>90</v>
      </c>
    </row>
    <row r="1098" spans="1:91" x14ac:dyDescent="0.3">
      <c r="A1098" t="s">
        <v>72</v>
      </c>
      <c r="B1098" t="s">
        <v>73</v>
      </c>
      <c r="C1098" t="s">
        <v>74</v>
      </c>
      <c r="E1098" t="str">
        <f>"080065847995"</f>
        <v>080065847995</v>
      </c>
      <c r="F1098" s="3">
        <v>45817</v>
      </c>
      <c r="G1098">
        <v>202603</v>
      </c>
      <c r="H1098" t="s">
        <v>75</v>
      </c>
      <c r="I1098" t="s">
        <v>76</v>
      </c>
      <c r="J1098" t="s">
        <v>77</v>
      </c>
      <c r="K1098" t="s">
        <v>78</v>
      </c>
      <c r="L1098" t="s">
        <v>100</v>
      </c>
      <c r="M1098" t="s">
        <v>101</v>
      </c>
      <c r="N1098" t="s">
        <v>1013</v>
      </c>
      <c r="O1098" t="s">
        <v>82</v>
      </c>
      <c r="P1098" t="str">
        <f>"4170043067                    "</f>
        <v xml:space="preserve">4170043067                    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20.9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0</v>
      </c>
      <c r="BF1098">
        <v>0</v>
      </c>
      <c r="BG1098">
        <v>0</v>
      </c>
      <c r="BH1098">
        <v>1</v>
      </c>
      <c r="BI1098">
        <v>1</v>
      </c>
      <c r="BJ1098">
        <v>0.2</v>
      </c>
      <c r="BK1098">
        <v>1</v>
      </c>
      <c r="BL1098">
        <v>69.5</v>
      </c>
      <c r="BM1098">
        <v>10.43</v>
      </c>
      <c r="BN1098">
        <v>79.930000000000007</v>
      </c>
      <c r="BO1098">
        <v>79.930000000000007</v>
      </c>
      <c r="BQ1098" t="s">
        <v>1014</v>
      </c>
      <c r="BR1098" t="s">
        <v>84</v>
      </c>
      <c r="BS1098" s="3">
        <v>45818</v>
      </c>
      <c r="BT1098" s="4">
        <v>0.36249999999999999</v>
      </c>
      <c r="BU1098" t="s">
        <v>1792</v>
      </c>
      <c r="BV1098" t="s">
        <v>86</v>
      </c>
      <c r="BY1098">
        <v>1200</v>
      </c>
      <c r="CA1098" t="s">
        <v>235</v>
      </c>
      <c r="CC1098" t="s">
        <v>101</v>
      </c>
      <c r="CD1098">
        <v>6001</v>
      </c>
      <c r="CE1098" t="s">
        <v>215</v>
      </c>
      <c r="CF1098" s="3">
        <v>45818</v>
      </c>
      <c r="CI1098">
        <v>1</v>
      </c>
      <c r="CJ1098">
        <v>1</v>
      </c>
      <c r="CK1098">
        <v>21</v>
      </c>
      <c r="CL1098" t="s">
        <v>90</v>
      </c>
    </row>
    <row r="1099" spans="1:91" x14ac:dyDescent="0.3">
      <c r="A1099" t="s">
        <v>72</v>
      </c>
      <c r="B1099" t="s">
        <v>73</v>
      </c>
      <c r="C1099" t="s">
        <v>74</v>
      </c>
      <c r="E1099" t="str">
        <f>"080065848005"</f>
        <v>080065848005</v>
      </c>
      <c r="F1099" s="3">
        <v>45817</v>
      </c>
      <c r="G1099">
        <v>202603</v>
      </c>
      <c r="H1099" t="s">
        <v>75</v>
      </c>
      <c r="I1099" t="s">
        <v>76</v>
      </c>
      <c r="J1099" t="s">
        <v>77</v>
      </c>
      <c r="K1099" t="s">
        <v>78</v>
      </c>
      <c r="L1099" t="s">
        <v>130</v>
      </c>
      <c r="M1099" t="s">
        <v>131</v>
      </c>
      <c r="N1099" t="s">
        <v>1152</v>
      </c>
      <c r="O1099" t="s">
        <v>82</v>
      </c>
      <c r="P1099" t="str">
        <f>"4170042963                    "</f>
        <v xml:space="preserve">4170042963                    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16.32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0</v>
      </c>
      <c r="BF1099">
        <v>0</v>
      </c>
      <c r="BG1099">
        <v>0</v>
      </c>
      <c r="BH1099">
        <v>1</v>
      </c>
      <c r="BI1099">
        <v>1</v>
      </c>
      <c r="BJ1099">
        <v>0.2</v>
      </c>
      <c r="BK1099">
        <v>1</v>
      </c>
      <c r="BL1099">
        <v>54.28</v>
      </c>
      <c r="BM1099">
        <v>8.14</v>
      </c>
      <c r="BN1099">
        <v>62.42</v>
      </c>
      <c r="BO1099">
        <v>62.42</v>
      </c>
      <c r="BQ1099" t="s">
        <v>1153</v>
      </c>
      <c r="BR1099" t="s">
        <v>84</v>
      </c>
      <c r="BS1099" s="3">
        <v>45818</v>
      </c>
      <c r="BT1099" s="4">
        <v>0.30555555555555558</v>
      </c>
      <c r="BU1099" t="s">
        <v>1793</v>
      </c>
      <c r="BV1099" t="s">
        <v>86</v>
      </c>
      <c r="BY1099">
        <v>1200</v>
      </c>
      <c r="CA1099" t="s">
        <v>425</v>
      </c>
      <c r="CC1099" t="s">
        <v>131</v>
      </c>
      <c r="CD1099">
        <v>1459</v>
      </c>
      <c r="CE1099" t="s">
        <v>215</v>
      </c>
      <c r="CF1099" s="3">
        <v>45818</v>
      </c>
      <c r="CI1099">
        <v>1</v>
      </c>
      <c r="CJ1099">
        <v>1</v>
      </c>
      <c r="CK1099">
        <v>22</v>
      </c>
      <c r="CL1099" t="s">
        <v>90</v>
      </c>
    </row>
    <row r="1100" spans="1:91" x14ac:dyDescent="0.3">
      <c r="A1100" t="s">
        <v>72</v>
      </c>
      <c r="B1100" t="s">
        <v>73</v>
      </c>
      <c r="C1100" t="s">
        <v>74</v>
      </c>
      <c r="E1100" t="str">
        <f>"080065848024"</f>
        <v>080065848024</v>
      </c>
      <c r="F1100" s="3">
        <v>45817</v>
      </c>
      <c r="G1100">
        <v>202603</v>
      </c>
      <c r="H1100" t="s">
        <v>75</v>
      </c>
      <c r="I1100" t="s">
        <v>76</v>
      </c>
      <c r="J1100" t="s">
        <v>77</v>
      </c>
      <c r="K1100" t="s">
        <v>78</v>
      </c>
      <c r="L1100" t="s">
        <v>239</v>
      </c>
      <c r="M1100" t="s">
        <v>240</v>
      </c>
      <c r="N1100" t="s">
        <v>241</v>
      </c>
      <c r="O1100" t="s">
        <v>82</v>
      </c>
      <c r="P1100" t="str">
        <f>"4170042893                    "</f>
        <v xml:space="preserve">4170042893                    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40.49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0</v>
      </c>
      <c r="BF1100">
        <v>0</v>
      </c>
      <c r="BG1100">
        <v>0</v>
      </c>
      <c r="BH1100">
        <v>1</v>
      </c>
      <c r="BI1100">
        <v>1</v>
      </c>
      <c r="BJ1100">
        <v>0.2</v>
      </c>
      <c r="BK1100">
        <v>1</v>
      </c>
      <c r="BL1100">
        <v>134.65</v>
      </c>
      <c r="BM1100">
        <v>20.2</v>
      </c>
      <c r="BN1100">
        <v>154.85</v>
      </c>
      <c r="BO1100">
        <v>154.85</v>
      </c>
      <c r="BQ1100" t="s">
        <v>242</v>
      </c>
      <c r="BR1100" t="s">
        <v>84</v>
      </c>
      <c r="BS1100" s="3">
        <v>45818</v>
      </c>
      <c r="BT1100" s="4">
        <v>0.51111111111111107</v>
      </c>
      <c r="BU1100" t="s">
        <v>584</v>
      </c>
      <c r="BV1100" t="s">
        <v>86</v>
      </c>
      <c r="BY1100">
        <v>1200</v>
      </c>
      <c r="CA1100" t="s">
        <v>244</v>
      </c>
      <c r="CC1100" t="s">
        <v>240</v>
      </c>
      <c r="CD1100">
        <v>2531</v>
      </c>
      <c r="CE1100" t="s">
        <v>215</v>
      </c>
      <c r="CF1100" s="3">
        <v>45819</v>
      </c>
      <c r="CI1100">
        <v>1</v>
      </c>
      <c r="CJ1100">
        <v>1</v>
      </c>
      <c r="CK1100">
        <v>23</v>
      </c>
      <c r="CL1100" t="s">
        <v>90</v>
      </c>
    </row>
    <row r="1101" spans="1:91" x14ac:dyDescent="0.3">
      <c r="A1101" t="s">
        <v>72</v>
      </c>
      <c r="B1101" t="s">
        <v>73</v>
      </c>
      <c r="C1101" t="s">
        <v>74</v>
      </c>
      <c r="E1101" t="str">
        <f>"080065848035"</f>
        <v>080065848035</v>
      </c>
      <c r="F1101" s="3">
        <v>45817</v>
      </c>
      <c r="G1101">
        <v>202603</v>
      </c>
      <c r="H1101" t="s">
        <v>75</v>
      </c>
      <c r="I1101" t="s">
        <v>76</v>
      </c>
      <c r="J1101" t="s">
        <v>77</v>
      </c>
      <c r="K1101" t="s">
        <v>78</v>
      </c>
      <c r="L1101" t="s">
        <v>710</v>
      </c>
      <c r="M1101" t="s">
        <v>711</v>
      </c>
      <c r="N1101" t="s">
        <v>712</v>
      </c>
      <c r="O1101" t="s">
        <v>82</v>
      </c>
      <c r="P1101" t="str">
        <f>"4170042959                    "</f>
        <v xml:space="preserve">4170042959                    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20.9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0</v>
      </c>
      <c r="BF1101">
        <v>0</v>
      </c>
      <c r="BG1101">
        <v>0</v>
      </c>
      <c r="BH1101">
        <v>1</v>
      </c>
      <c r="BI1101">
        <v>1</v>
      </c>
      <c r="BJ1101">
        <v>0.2</v>
      </c>
      <c r="BK1101">
        <v>1</v>
      </c>
      <c r="BL1101">
        <v>69.5</v>
      </c>
      <c r="BM1101">
        <v>10.43</v>
      </c>
      <c r="BN1101">
        <v>79.930000000000007</v>
      </c>
      <c r="BO1101">
        <v>79.930000000000007</v>
      </c>
      <c r="BQ1101" t="s">
        <v>713</v>
      </c>
      <c r="BR1101" t="s">
        <v>84</v>
      </c>
      <c r="BS1101" s="3">
        <v>45818</v>
      </c>
      <c r="BT1101" s="4">
        <v>0.36388888888888887</v>
      </c>
      <c r="BU1101" t="s">
        <v>1794</v>
      </c>
      <c r="BV1101" t="s">
        <v>86</v>
      </c>
      <c r="BY1101">
        <v>1200</v>
      </c>
      <c r="CA1101" t="s">
        <v>715</v>
      </c>
      <c r="CC1101" t="s">
        <v>711</v>
      </c>
      <c r="CD1101">
        <v>7600</v>
      </c>
      <c r="CE1101" t="s">
        <v>215</v>
      </c>
      <c r="CF1101" s="3">
        <v>45819</v>
      </c>
      <c r="CI1101">
        <v>1</v>
      </c>
      <c r="CJ1101">
        <v>1</v>
      </c>
      <c r="CK1101">
        <v>21</v>
      </c>
      <c r="CL1101" t="s">
        <v>90</v>
      </c>
    </row>
    <row r="1102" spans="1:91" x14ac:dyDescent="0.3">
      <c r="A1102" t="s">
        <v>72</v>
      </c>
      <c r="B1102" t="s">
        <v>73</v>
      </c>
      <c r="C1102" t="s">
        <v>74</v>
      </c>
      <c r="E1102" t="str">
        <f>"080065848063"</f>
        <v>080065848063</v>
      </c>
      <c r="F1102" s="3">
        <v>45817</v>
      </c>
      <c r="G1102">
        <v>202603</v>
      </c>
      <c r="H1102" t="s">
        <v>75</v>
      </c>
      <c r="I1102" t="s">
        <v>76</v>
      </c>
      <c r="J1102" t="s">
        <v>77</v>
      </c>
      <c r="K1102" t="s">
        <v>78</v>
      </c>
      <c r="L1102" t="s">
        <v>79</v>
      </c>
      <c r="M1102" t="s">
        <v>80</v>
      </c>
      <c r="N1102" t="s">
        <v>717</v>
      </c>
      <c r="O1102" t="s">
        <v>82</v>
      </c>
      <c r="P1102" t="str">
        <f>"4170042950                    "</f>
        <v xml:space="preserve">4170042950                    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29.39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0</v>
      </c>
      <c r="BF1102">
        <v>0</v>
      </c>
      <c r="BG1102">
        <v>0</v>
      </c>
      <c r="BH1102">
        <v>1</v>
      </c>
      <c r="BI1102">
        <v>1</v>
      </c>
      <c r="BJ1102">
        <v>0.2</v>
      </c>
      <c r="BK1102">
        <v>1</v>
      </c>
      <c r="BL1102">
        <v>97.74</v>
      </c>
      <c r="BM1102">
        <v>14.66</v>
      </c>
      <c r="BN1102">
        <v>112.4</v>
      </c>
      <c r="BO1102">
        <v>112.4</v>
      </c>
      <c r="BQ1102" t="s">
        <v>718</v>
      </c>
      <c r="BR1102" t="s">
        <v>84</v>
      </c>
      <c r="BS1102" s="3">
        <v>45818</v>
      </c>
      <c r="BT1102" s="4">
        <v>0.44791666666666669</v>
      </c>
      <c r="BU1102" t="s">
        <v>1795</v>
      </c>
      <c r="BV1102" t="s">
        <v>86</v>
      </c>
      <c r="BY1102">
        <v>1200</v>
      </c>
      <c r="CA1102" t="s">
        <v>720</v>
      </c>
      <c r="CC1102" t="s">
        <v>80</v>
      </c>
      <c r="CD1102">
        <v>1754</v>
      </c>
      <c r="CE1102" t="s">
        <v>215</v>
      </c>
      <c r="CF1102" s="3">
        <v>45818</v>
      </c>
      <c r="CI1102">
        <v>1</v>
      </c>
      <c r="CJ1102">
        <v>1</v>
      </c>
      <c r="CK1102">
        <v>24</v>
      </c>
      <c r="CL1102" t="s">
        <v>90</v>
      </c>
    </row>
    <row r="1103" spans="1:91" x14ac:dyDescent="0.3">
      <c r="A1103" t="s">
        <v>72</v>
      </c>
      <c r="B1103" t="s">
        <v>73</v>
      </c>
      <c r="C1103" t="s">
        <v>74</v>
      </c>
      <c r="E1103" t="str">
        <f>"080065848073"</f>
        <v>080065848073</v>
      </c>
      <c r="F1103" s="3">
        <v>45817</v>
      </c>
      <c r="G1103">
        <v>202603</v>
      </c>
      <c r="H1103" t="s">
        <v>75</v>
      </c>
      <c r="I1103" t="s">
        <v>76</v>
      </c>
      <c r="J1103" t="s">
        <v>77</v>
      </c>
      <c r="K1103" t="s">
        <v>78</v>
      </c>
      <c r="L1103" t="s">
        <v>615</v>
      </c>
      <c r="M1103" t="s">
        <v>616</v>
      </c>
      <c r="N1103" t="s">
        <v>863</v>
      </c>
      <c r="O1103" t="s">
        <v>82</v>
      </c>
      <c r="P1103" t="str">
        <f>"4170042914                    "</f>
        <v xml:space="preserve">4170042914                    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40.49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0</v>
      </c>
      <c r="BF1103">
        <v>0</v>
      </c>
      <c r="BG1103">
        <v>0</v>
      </c>
      <c r="BH1103">
        <v>1</v>
      </c>
      <c r="BI1103">
        <v>1</v>
      </c>
      <c r="BJ1103">
        <v>0.2</v>
      </c>
      <c r="BK1103">
        <v>1</v>
      </c>
      <c r="BL1103">
        <v>134.65</v>
      </c>
      <c r="BM1103">
        <v>20.2</v>
      </c>
      <c r="BN1103">
        <v>154.85</v>
      </c>
      <c r="BO1103">
        <v>154.85</v>
      </c>
      <c r="BQ1103" t="s">
        <v>864</v>
      </c>
      <c r="BR1103" t="s">
        <v>84</v>
      </c>
      <c r="BS1103" s="3">
        <v>45818</v>
      </c>
      <c r="BT1103" s="4">
        <v>0.54027777777777775</v>
      </c>
      <c r="BU1103" t="s">
        <v>1745</v>
      </c>
      <c r="BV1103" t="s">
        <v>86</v>
      </c>
      <c r="BY1103">
        <v>1200</v>
      </c>
      <c r="CA1103" t="s">
        <v>620</v>
      </c>
      <c r="CC1103" t="s">
        <v>616</v>
      </c>
      <c r="CD1103">
        <v>6850</v>
      </c>
      <c r="CE1103" t="s">
        <v>215</v>
      </c>
      <c r="CF1103" s="3">
        <v>45819</v>
      </c>
      <c r="CI1103">
        <v>2</v>
      </c>
      <c r="CJ1103">
        <v>1</v>
      </c>
      <c r="CK1103">
        <v>23</v>
      </c>
      <c r="CL1103" t="s">
        <v>90</v>
      </c>
    </row>
    <row r="1104" spans="1:91" x14ac:dyDescent="0.3">
      <c r="A1104" t="s">
        <v>72</v>
      </c>
      <c r="B1104" t="s">
        <v>73</v>
      </c>
      <c r="C1104" t="s">
        <v>74</v>
      </c>
      <c r="E1104" t="str">
        <f>"080065848089"</f>
        <v>080065848089</v>
      </c>
      <c r="F1104" s="3">
        <v>45817</v>
      </c>
      <c r="G1104">
        <v>202603</v>
      </c>
      <c r="H1104" t="s">
        <v>75</v>
      </c>
      <c r="I1104" t="s">
        <v>76</v>
      </c>
      <c r="J1104" t="s">
        <v>77</v>
      </c>
      <c r="K1104" t="s">
        <v>78</v>
      </c>
      <c r="L1104" t="s">
        <v>100</v>
      </c>
      <c r="M1104" t="s">
        <v>101</v>
      </c>
      <c r="N1104" t="s">
        <v>391</v>
      </c>
      <c r="O1104" t="s">
        <v>82</v>
      </c>
      <c r="P1104" t="str">
        <f>"4170043010                    "</f>
        <v xml:space="preserve">4170043010                    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20.9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0</v>
      </c>
      <c r="BF1104">
        <v>0</v>
      </c>
      <c r="BG1104">
        <v>0</v>
      </c>
      <c r="BH1104">
        <v>1</v>
      </c>
      <c r="BI1104">
        <v>1</v>
      </c>
      <c r="BJ1104">
        <v>0.2</v>
      </c>
      <c r="BK1104">
        <v>1</v>
      </c>
      <c r="BL1104">
        <v>69.5</v>
      </c>
      <c r="BM1104">
        <v>10.43</v>
      </c>
      <c r="BN1104">
        <v>79.930000000000007</v>
      </c>
      <c r="BO1104">
        <v>79.930000000000007</v>
      </c>
      <c r="BQ1104" t="s">
        <v>392</v>
      </c>
      <c r="BR1104" t="s">
        <v>84</v>
      </c>
      <c r="BS1104" s="3">
        <v>45819</v>
      </c>
      <c r="BT1104" s="4">
        <v>0.39583333333333331</v>
      </c>
      <c r="BU1104" t="s">
        <v>1796</v>
      </c>
      <c r="BV1104" t="s">
        <v>90</v>
      </c>
      <c r="BY1104">
        <v>1200</v>
      </c>
      <c r="CA1104" t="s">
        <v>394</v>
      </c>
      <c r="CC1104" t="s">
        <v>101</v>
      </c>
      <c r="CD1104">
        <v>6001</v>
      </c>
      <c r="CE1104" t="s">
        <v>215</v>
      </c>
      <c r="CF1104" s="3">
        <v>45819</v>
      </c>
      <c r="CI1104">
        <v>1</v>
      </c>
      <c r="CJ1104">
        <v>2</v>
      </c>
      <c r="CK1104">
        <v>21</v>
      </c>
      <c r="CL1104" t="s">
        <v>90</v>
      </c>
    </row>
    <row r="1105" spans="1:90" x14ac:dyDescent="0.3">
      <c r="A1105" t="s">
        <v>72</v>
      </c>
      <c r="B1105" t="s">
        <v>73</v>
      </c>
      <c r="C1105" t="s">
        <v>74</v>
      </c>
      <c r="E1105" t="str">
        <f>"080065848099"</f>
        <v>080065848099</v>
      </c>
      <c r="F1105" s="3">
        <v>45817</v>
      </c>
      <c r="G1105">
        <v>202603</v>
      </c>
      <c r="H1105" t="s">
        <v>75</v>
      </c>
      <c r="I1105" t="s">
        <v>76</v>
      </c>
      <c r="J1105" t="s">
        <v>77</v>
      </c>
      <c r="K1105" t="s">
        <v>78</v>
      </c>
      <c r="L1105" t="s">
        <v>331</v>
      </c>
      <c r="M1105" t="s">
        <v>332</v>
      </c>
      <c r="N1105" t="s">
        <v>484</v>
      </c>
      <c r="O1105" t="s">
        <v>82</v>
      </c>
      <c r="P1105" t="str">
        <f>"4170042842                    "</f>
        <v xml:space="preserve">4170042842                    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20.9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0</v>
      </c>
      <c r="BF1105">
        <v>0</v>
      </c>
      <c r="BG1105">
        <v>0</v>
      </c>
      <c r="BH1105">
        <v>1</v>
      </c>
      <c r="BI1105">
        <v>1</v>
      </c>
      <c r="BJ1105">
        <v>0.2</v>
      </c>
      <c r="BK1105">
        <v>1</v>
      </c>
      <c r="BL1105">
        <v>69.5</v>
      </c>
      <c r="BM1105">
        <v>10.43</v>
      </c>
      <c r="BN1105">
        <v>79.930000000000007</v>
      </c>
      <c r="BO1105">
        <v>79.930000000000007</v>
      </c>
      <c r="BQ1105" t="s">
        <v>485</v>
      </c>
      <c r="BR1105" t="s">
        <v>84</v>
      </c>
      <c r="BS1105" s="3">
        <v>45818</v>
      </c>
      <c r="BT1105" s="4">
        <v>0.39097222222222222</v>
      </c>
      <c r="BU1105" t="s">
        <v>1324</v>
      </c>
      <c r="BV1105" t="s">
        <v>86</v>
      </c>
      <c r="BY1105">
        <v>1200</v>
      </c>
      <c r="CA1105" t="s">
        <v>418</v>
      </c>
      <c r="CC1105" t="s">
        <v>332</v>
      </c>
      <c r="CD1105">
        <v>4052</v>
      </c>
      <c r="CE1105" t="s">
        <v>215</v>
      </c>
      <c r="CF1105" s="3">
        <v>45818</v>
      </c>
      <c r="CI1105">
        <v>1</v>
      </c>
      <c r="CJ1105">
        <v>1</v>
      </c>
      <c r="CK1105">
        <v>21</v>
      </c>
      <c r="CL1105" t="s">
        <v>90</v>
      </c>
    </row>
    <row r="1106" spans="1:90" x14ac:dyDescent="0.3">
      <c r="A1106" t="s">
        <v>72</v>
      </c>
      <c r="B1106" t="s">
        <v>73</v>
      </c>
      <c r="C1106" t="s">
        <v>74</v>
      </c>
      <c r="E1106" t="str">
        <f>"080065848136"</f>
        <v>080065848136</v>
      </c>
      <c r="F1106" s="3">
        <v>45817</v>
      </c>
      <c r="G1106">
        <v>202603</v>
      </c>
      <c r="H1106" t="s">
        <v>75</v>
      </c>
      <c r="I1106" t="s">
        <v>76</v>
      </c>
      <c r="J1106" t="s">
        <v>77</v>
      </c>
      <c r="K1106" t="s">
        <v>78</v>
      </c>
      <c r="L1106" t="s">
        <v>100</v>
      </c>
      <c r="M1106" t="s">
        <v>101</v>
      </c>
      <c r="N1106" t="s">
        <v>1078</v>
      </c>
      <c r="O1106" t="s">
        <v>82</v>
      </c>
      <c r="P1106" t="str">
        <f>"4170042841                    "</f>
        <v xml:space="preserve">4170042841                    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20.9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0</v>
      </c>
      <c r="BF1106">
        <v>0</v>
      </c>
      <c r="BG1106">
        <v>0</v>
      </c>
      <c r="BH1106">
        <v>1</v>
      </c>
      <c r="BI1106">
        <v>1</v>
      </c>
      <c r="BJ1106">
        <v>0.2</v>
      </c>
      <c r="BK1106">
        <v>1</v>
      </c>
      <c r="BL1106">
        <v>69.5</v>
      </c>
      <c r="BM1106">
        <v>10.43</v>
      </c>
      <c r="BN1106">
        <v>79.930000000000007</v>
      </c>
      <c r="BO1106">
        <v>79.930000000000007</v>
      </c>
      <c r="BQ1106" t="s">
        <v>1079</v>
      </c>
      <c r="BR1106" t="s">
        <v>84</v>
      </c>
      <c r="BS1106" s="3">
        <v>45818</v>
      </c>
      <c r="BT1106" s="4">
        <v>0.41944444444444445</v>
      </c>
      <c r="BU1106" t="s">
        <v>1797</v>
      </c>
      <c r="BV1106" t="s">
        <v>86</v>
      </c>
      <c r="BY1106">
        <v>1200</v>
      </c>
      <c r="CA1106" t="s">
        <v>271</v>
      </c>
      <c r="CC1106" t="s">
        <v>101</v>
      </c>
      <c r="CD1106">
        <v>6001</v>
      </c>
      <c r="CE1106" t="s">
        <v>215</v>
      </c>
      <c r="CF1106" s="3">
        <v>45818</v>
      </c>
      <c r="CI1106">
        <v>1</v>
      </c>
      <c r="CJ1106">
        <v>1</v>
      </c>
      <c r="CK1106">
        <v>21</v>
      </c>
      <c r="CL1106" t="s">
        <v>90</v>
      </c>
    </row>
    <row r="1107" spans="1:90" x14ac:dyDescent="0.3">
      <c r="A1107" t="s">
        <v>72</v>
      </c>
      <c r="B1107" t="s">
        <v>73</v>
      </c>
      <c r="C1107" t="s">
        <v>74</v>
      </c>
      <c r="E1107" t="str">
        <f>"080065848142"</f>
        <v>080065848142</v>
      </c>
      <c r="F1107" s="3">
        <v>45817</v>
      </c>
      <c r="G1107">
        <v>202603</v>
      </c>
      <c r="H1107" t="s">
        <v>75</v>
      </c>
      <c r="I1107" t="s">
        <v>76</v>
      </c>
      <c r="J1107" t="s">
        <v>77</v>
      </c>
      <c r="K1107" t="s">
        <v>78</v>
      </c>
      <c r="L1107" t="s">
        <v>331</v>
      </c>
      <c r="M1107" t="s">
        <v>332</v>
      </c>
      <c r="N1107" t="s">
        <v>484</v>
      </c>
      <c r="O1107" t="s">
        <v>82</v>
      </c>
      <c r="P1107" t="str">
        <f>"4170042861                    "</f>
        <v xml:space="preserve">4170042861                    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20.9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0</v>
      </c>
      <c r="BF1107">
        <v>0</v>
      </c>
      <c r="BG1107">
        <v>0</v>
      </c>
      <c r="BH1107">
        <v>1</v>
      </c>
      <c r="BI1107">
        <v>1</v>
      </c>
      <c r="BJ1107">
        <v>0.2</v>
      </c>
      <c r="BK1107">
        <v>1</v>
      </c>
      <c r="BL1107">
        <v>69.5</v>
      </c>
      <c r="BM1107">
        <v>10.43</v>
      </c>
      <c r="BN1107">
        <v>79.930000000000007</v>
      </c>
      <c r="BO1107">
        <v>79.930000000000007</v>
      </c>
      <c r="BQ1107" t="s">
        <v>485</v>
      </c>
      <c r="BR1107" t="s">
        <v>84</v>
      </c>
      <c r="BS1107" s="3">
        <v>45818</v>
      </c>
      <c r="BT1107" s="4">
        <v>0.39097222222222222</v>
      </c>
      <c r="BU1107" t="s">
        <v>1324</v>
      </c>
      <c r="BV1107" t="s">
        <v>86</v>
      </c>
      <c r="BY1107">
        <v>1200</v>
      </c>
      <c r="CA1107" t="s">
        <v>418</v>
      </c>
      <c r="CC1107" t="s">
        <v>332</v>
      </c>
      <c r="CD1107">
        <v>4052</v>
      </c>
      <c r="CE1107" t="s">
        <v>215</v>
      </c>
      <c r="CF1107" s="3">
        <v>45818</v>
      </c>
      <c r="CI1107">
        <v>1</v>
      </c>
      <c r="CJ1107">
        <v>1</v>
      </c>
      <c r="CK1107">
        <v>21</v>
      </c>
      <c r="CL1107" t="s">
        <v>90</v>
      </c>
    </row>
    <row r="1108" spans="1:90" x14ac:dyDescent="0.3">
      <c r="A1108" t="s">
        <v>72</v>
      </c>
      <c r="B1108" t="s">
        <v>73</v>
      </c>
      <c r="C1108" t="s">
        <v>74</v>
      </c>
      <c r="E1108" t="str">
        <f>"080065848183"</f>
        <v>080065848183</v>
      </c>
      <c r="F1108" s="3">
        <v>45817</v>
      </c>
      <c r="G1108">
        <v>202603</v>
      </c>
      <c r="H1108" t="s">
        <v>75</v>
      </c>
      <c r="I1108" t="s">
        <v>76</v>
      </c>
      <c r="J1108" t="s">
        <v>77</v>
      </c>
      <c r="K1108" t="s">
        <v>78</v>
      </c>
      <c r="L1108" t="s">
        <v>159</v>
      </c>
      <c r="M1108" t="s">
        <v>160</v>
      </c>
      <c r="N1108" t="s">
        <v>1798</v>
      </c>
      <c r="O1108" t="s">
        <v>82</v>
      </c>
      <c r="P1108" t="str">
        <f>"4170042874                    "</f>
        <v xml:space="preserve">4170042874                    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16.32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0</v>
      </c>
      <c r="BF1108">
        <v>0</v>
      </c>
      <c r="BG1108">
        <v>0</v>
      </c>
      <c r="BH1108">
        <v>1</v>
      </c>
      <c r="BI1108">
        <v>1</v>
      </c>
      <c r="BJ1108">
        <v>0.2</v>
      </c>
      <c r="BK1108">
        <v>1</v>
      </c>
      <c r="BL1108">
        <v>54.28</v>
      </c>
      <c r="BM1108">
        <v>8.14</v>
      </c>
      <c r="BN1108">
        <v>62.42</v>
      </c>
      <c r="BO1108">
        <v>62.42</v>
      </c>
      <c r="BQ1108" t="s">
        <v>1799</v>
      </c>
      <c r="BR1108" t="s">
        <v>84</v>
      </c>
      <c r="BS1108" s="3">
        <v>45818</v>
      </c>
      <c r="BT1108" s="4">
        <v>0.38333333333333336</v>
      </c>
      <c r="BU1108" t="s">
        <v>1800</v>
      </c>
      <c r="BV1108" t="s">
        <v>86</v>
      </c>
      <c r="BY1108">
        <v>1200</v>
      </c>
      <c r="CC1108" t="s">
        <v>160</v>
      </c>
      <c r="CD1108">
        <v>2090</v>
      </c>
      <c r="CE1108" t="s">
        <v>215</v>
      </c>
      <c r="CF1108" s="3">
        <v>45819</v>
      </c>
      <c r="CI1108">
        <v>1</v>
      </c>
      <c r="CJ1108">
        <v>1</v>
      </c>
      <c r="CK1108">
        <v>22</v>
      </c>
      <c r="CL1108" t="s">
        <v>90</v>
      </c>
    </row>
    <row r="1109" spans="1:90" x14ac:dyDescent="0.3">
      <c r="A1109" t="s">
        <v>72</v>
      </c>
      <c r="B1109" t="s">
        <v>73</v>
      </c>
      <c r="C1109" t="s">
        <v>74</v>
      </c>
      <c r="E1109" t="str">
        <f>"080065848188"</f>
        <v>080065848188</v>
      </c>
      <c r="F1109" s="3">
        <v>45817</v>
      </c>
      <c r="G1109">
        <v>202603</v>
      </c>
      <c r="H1109" t="s">
        <v>75</v>
      </c>
      <c r="I1109" t="s">
        <v>76</v>
      </c>
      <c r="J1109" t="s">
        <v>77</v>
      </c>
      <c r="K1109" t="s">
        <v>78</v>
      </c>
      <c r="L1109" t="s">
        <v>75</v>
      </c>
      <c r="M1109" t="s">
        <v>76</v>
      </c>
      <c r="N1109" t="s">
        <v>1801</v>
      </c>
      <c r="O1109" t="s">
        <v>82</v>
      </c>
      <c r="P1109" t="str">
        <f>"4170042866                    "</f>
        <v xml:space="preserve">4170042866                    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16.32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1</v>
      </c>
      <c r="BI1109">
        <v>2</v>
      </c>
      <c r="BJ1109">
        <v>1.9</v>
      </c>
      <c r="BK1109">
        <v>2</v>
      </c>
      <c r="BL1109">
        <v>54.28</v>
      </c>
      <c r="BM1109">
        <v>8.14</v>
      </c>
      <c r="BN1109">
        <v>62.42</v>
      </c>
      <c r="BO1109">
        <v>62.42</v>
      </c>
      <c r="BQ1109" t="s">
        <v>1802</v>
      </c>
      <c r="BR1109" t="s">
        <v>84</v>
      </c>
      <c r="BS1109" s="3">
        <v>45818</v>
      </c>
      <c r="BT1109" s="4">
        <v>0.41875000000000001</v>
      </c>
      <c r="BU1109" t="s">
        <v>1803</v>
      </c>
      <c r="BV1109" t="s">
        <v>86</v>
      </c>
      <c r="BY1109">
        <v>9600</v>
      </c>
      <c r="CC1109" t="s">
        <v>76</v>
      </c>
      <c r="CD1109">
        <v>1685</v>
      </c>
      <c r="CE1109" t="s">
        <v>687</v>
      </c>
      <c r="CF1109" s="3">
        <v>45819</v>
      </c>
      <c r="CI1109">
        <v>1</v>
      </c>
      <c r="CJ1109">
        <v>1</v>
      </c>
      <c r="CK1109">
        <v>22</v>
      </c>
      <c r="CL1109" t="s">
        <v>90</v>
      </c>
    </row>
    <row r="1110" spans="1:90" x14ac:dyDescent="0.3">
      <c r="A1110" t="s">
        <v>72</v>
      </c>
      <c r="B1110" t="s">
        <v>73</v>
      </c>
      <c r="C1110" t="s">
        <v>74</v>
      </c>
      <c r="E1110" t="str">
        <f>"080065848222"</f>
        <v>080065848222</v>
      </c>
      <c r="F1110" s="3">
        <v>45817</v>
      </c>
      <c r="G1110">
        <v>202603</v>
      </c>
      <c r="H1110" t="s">
        <v>75</v>
      </c>
      <c r="I1110" t="s">
        <v>76</v>
      </c>
      <c r="J1110" t="s">
        <v>77</v>
      </c>
      <c r="K1110" t="s">
        <v>78</v>
      </c>
      <c r="L1110" t="s">
        <v>91</v>
      </c>
      <c r="M1110" t="s">
        <v>92</v>
      </c>
      <c r="N1110" t="s">
        <v>93</v>
      </c>
      <c r="O1110" t="s">
        <v>82</v>
      </c>
      <c r="P1110" t="str">
        <f>"4170042981                    "</f>
        <v xml:space="preserve">4170042981                    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20.9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0</v>
      </c>
      <c r="BF1110">
        <v>0</v>
      </c>
      <c r="BG1110">
        <v>0</v>
      </c>
      <c r="BH1110">
        <v>1</v>
      </c>
      <c r="BI1110">
        <v>2</v>
      </c>
      <c r="BJ1110">
        <v>0.9</v>
      </c>
      <c r="BK1110">
        <v>2</v>
      </c>
      <c r="BL1110">
        <v>69.5</v>
      </c>
      <c r="BM1110">
        <v>10.43</v>
      </c>
      <c r="BN1110">
        <v>79.930000000000007</v>
      </c>
      <c r="BO1110">
        <v>79.930000000000007</v>
      </c>
      <c r="BQ1110" t="s">
        <v>95</v>
      </c>
      <c r="BR1110" t="s">
        <v>84</v>
      </c>
      <c r="BS1110" s="3">
        <v>45818</v>
      </c>
      <c r="BT1110" s="4">
        <v>0.37152777777777779</v>
      </c>
      <c r="BU1110" t="s">
        <v>580</v>
      </c>
      <c r="BV1110" t="s">
        <v>86</v>
      </c>
      <c r="BY1110">
        <v>4680</v>
      </c>
      <c r="CA1110" t="s">
        <v>543</v>
      </c>
      <c r="CC1110" t="s">
        <v>92</v>
      </c>
      <c r="CD1110">
        <v>7441</v>
      </c>
      <c r="CE1110" t="s">
        <v>687</v>
      </c>
      <c r="CF1110" s="3">
        <v>45819</v>
      </c>
      <c r="CI1110">
        <v>1</v>
      </c>
      <c r="CJ1110">
        <v>1</v>
      </c>
      <c r="CK1110">
        <v>21</v>
      </c>
      <c r="CL1110" t="s">
        <v>90</v>
      </c>
    </row>
    <row r="1111" spans="1:90" x14ac:dyDescent="0.3">
      <c r="A1111" t="s">
        <v>72</v>
      </c>
      <c r="B1111" t="s">
        <v>73</v>
      </c>
      <c r="C1111" t="s">
        <v>74</v>
      </c>
      <c r="E1111" t="str">
        <f>"080065848232"</f>
        <v>080065848232</v>
      </c>
      <c r="F1111" s="3">
        <v>45817</v>
      </c>
      <c r="G1111">
        <v>202603</v>
      </c>
      <c r="H1111" t="s">
        <v>75</v>
      </c>
      <c r="I1111" t="s">
        <v>76</v>
      </c>
      <c r="J1111" t="s">
        <v>77</v>
      </c>
      <c r="K1111" t="s">
        <v>78</v>
      </c>
      <c r="L1111" t="s">
        <v>628</v>
      </c>
      <c r="M1111" t="s">
        <v>629</v>
      </c>
      <c r="N1111" t="s">
        <v>236</v>
      </c>
      <c r="O1111" t="s">
        <v>82</v>
      </c>
      <c r="P1111" t="str">
        <f>"4170042967                    "</f>
        <v xml:space="preserve">4170042967                    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20.9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0</v>
      </c>
      <c r="BF1111">
        <v>0</v>
      </c>
      <c r="BG1111">
        <v>0</v>
      </c>
      <c r="BH1111">
        <v>1</v>
      </c>
      <c r="BI1111">
        <v>1</v>
      </c>
      <c r="BJ1111">
        <v>1.1000000000000001</v>
      </c>
      <c r="BK1111">
        <v>1.5</v>
      </c>
      <c r="BL1111">
        <v>69.5</v>
      </c>
      <c r="BM1111">
        <v>10.43</v>
      </c>
      <c r="BN1111">
        <v>79.930000000000007</v>
      </c>
      <c r="BO1111">
        <v>79.930000000000007</v>
      </c>
      <c r="BQ1111" t="s">
        <v>1804</v>
      </c>
      <c r="BR1111" t="s">
        <v>84</v>
      </c>
      <c r="BS1111" s="3">
        <v>45818</v>
      </c>
      <c r="BT1111" s="4">
        <v>0.43055555555555558</v>
      </c>
      <c r="BU1111" t="s">
        <v>1805</v>
      </c>
      <c r="BV1111" t="s">
        <v>86</v>
      </c>
      <c r="BY1111">
        <v>5320</v>
      </c>
      <c r="CA1111" t="s">
        <v>223</v>
      </c>
      <c r="CC1111" t="s">
        <v>629</v>
      </c>
      <c r="CD1111">
        <v>6220</v>
      </c>
      <c r="CE1111" t="s">
        <v>292</v>
      </c>
      <c r="CF1111" s="3">
        <v>45818</v>
      </c>
      <c r="CI1111">
        <v>1</v>
      </c>
      <c r="CJ1111">
        <v>1</v>
      </c>
      <c r="CK1111">
        <v>21</v>
      </c>
      <c r="CL1111" t="s">
        <v>90</v>
      </c>
    </row>
    <row r="1112" spans="1:90" x14ac:dyDescent="0.3">
      <c r="A1112" t="s">
        <v>72</v>
      </c>
      <c r="B1112" t="s">
        <v>73</v>
      </c>
      <c r="C1112" t="s">
        <v>74</v>
      </c>
      <c r="E1112" t="str">
        <f>"080065848274"</f>
        <v>080065848274</v>
      </c>
      <c r="F1112" s="3">
        <v>45817</v>
      </c>
      <c r="G1112">
        <v>202603</v>
      </c>
      <c r="H1112" t="s">
        <v>75</v>
      </c>
      <c r="I1112" t="s">
        <v>76</v>
      </c>
      <c r="J1112" t="s">
        <v>77</v>
      </c>
      <c r="K1112" t="s">
        <v>78</v>
      </c>
      <c r="L1112" t="s">
        <v>369</v>
      </c>
      <c r="M1112" t="s">
        <v>370</v>
      </c>
      <c r="N1112" t="s">
        <v>1806</v>
      </c>
      <c r="O1112" t="s">
        <v>94</v>
      </c>
      <c r="P1112" t="str">
        <f>"4170043098                    "</f>
        <v xml:space="preserve">4170043098                    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77.37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0</v>
      </c>
      <c r="BF1112">
        <v>0</v>
      </c>
      <c r="BG1112">
        <v>0</v>
      </c>
      <c r="BH1112">
        <v>1</v>
      </c>
      <c r="BI1112">
        <v>22</v>
      </c>
      <c r="BJ1112">
        <v>10</v>
      </c>
      <c r="BK1112">
        <v>22</v>
      </c>
      <c r="BL1112">
        <v>262.88</v>
      </c>
      <c r="BM1112">
        <v>39.43</v>
      </c>
      <c r="BN1112">
        <v>302.31</v>
      </c>
      <c r="BO1112">
        <v>302.31</v>
      </c>
      <c r="BQ1112" t="s">
        <v>1807</v>
      </c>
      <c r="BR1112" t="s">
        <v>84</v>
      </c>
      <c r="BS1112" s="3">
        <v>45819</v>
      </c>
      <c r="BT1112" s="4">
        <v>0.41944444444444445</v>
      </c>
      <c r="BU1112" t="s">
        <v>157</v>
      </c>
      <c r="BV1112" t="s">
        <v>86</v>
      </c>
      <c r="BY1112">
        <v>50112</v>
      </c>
      <c r="CC1112" t="s">
        <v>370</v>
      </c>
      <c r="CD1112">
        <v>7130</v>
      </c>
      <c r="CE1112" t="s">
        <v>687</v>
      </c>
      <c r="CI1112">
        <v>3</v>
      </c>
      <c r="CJ1112">
        <v>2</v>
      </c>
      <c r="CK1112">
        <v>43</v>
      </c>
      <c r="CL1112" t="s">
        <v>90</v>
      </c>
    </row>
    <row r="1113" spans="1:90" x14ac:dyDescent="0.3">
      <c r="A1113" t="s">
        <v>72</v>
      </c>
      <c r="B1113" t="s">
        <v>73</v>
      </c>
      <c r="C1113" t="s">
        <v>74</v>
      </c>
      <c r="E1113" t="str">
        <f>"080065848311"</f>
        <v>080065848311</v>
      </c>
      <c r="F1113" s="3">
        <v>45817</v>
      </c>
      <c r="G1113">
        <v>202603</v>
      </c>
      <c r="H1113" t="s">
        <v>75</v>
      </c>
      <c r="I1113" t="s">
        <v>76</v>
      </c>
      <c r="J1113" t="s">
        <v>77</v>
      </c>
      <c r="K1113" t="s">
        <v>78</v>
      </c>
      <c r="L1113" t="s">
        <v>100</v>
      </c>
      <c r="M1113" t="s">
        <v>101</v>
      </c>
      <c r="N1113" t="s">
        <v>391</v>
      </c>
      <c r="O1113" t="s">
        <v>82</v>
      </c>
      <c r="P1113" t="str">
        <f>"4170042928                    "</f>
        <v xml:space="preserve">4170042928                    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135.74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1</v>
      </c>
      <c r="BI1113">
        <v>6</v>
      </c>
      <c r="BJ1113">
        <v>13</v>
      </c>
      <c r="BK1113">
        <v>13</v>
      </c>
      <c r="BL1113">
        <v>451.42</v>
      </c>
      <c r="BM1113">
        <v>67.709999999999994</v>
      </c>
      <c r="BN1113">
        <v>519.13</v>
      </c>
      <c r="BO1113">
        <v>519.13</v>
      </c>
      <c r="BQ1113" t="s">
        <v>392</v>
      </c>
      <c r="BR1113" t="s">
        <v>84</v>
      </c>
      <c r="BS1113" s="3">
        <v>45818</v>
      </c>
      <c r="BT1113" s="4">
        <v>0.39444444444444443</v>
      </c>
      <c r="BU1113" t="s">
        <v>1808</v>
      </c>
      <c r="BV1113" t="s">
        <v>86</v>
      </c>
      <c r="BY1113">
        <v>65000</v>
      </c>
      <c r="CA1113" t="s">
        <v>394</v>
      </c>
      <c r="CC1113" t="s">
        <v>101</v>
      </c>
      <c r="CD1113">
        <v>6001</v>
      </c>
      <c r="CE1113" t="s">
        <v>166</v>
      </c>
      <c r="CF1113" s="3">
        <v>45818</v>
      </c>
      <c r="CI1113">
        <v>1</v>
      </c>
      <c r="CJ1113">
        <v>1</v>
      </c>
      <c r="CK1113">
        <v>21</v>
      </c>
      <c r="CL1113" t="s">
        <v>90</v>
      </c>
    </row>
    <row r="1114" spans="1:90" x14ac:dyDescent="0.3">
      <c r="A1114" t="s">
        <v>72</v>
      </c>
      <c r="B1114" t="s">
        <v>73</v>
      </c>
      <c r="C1114" t="s">
        <v>74</v>
      </c>
      <c r="E1114" t="str">
        <f>"080065848334"</f>
        <v>080065848334</v>
      </c>
      <c r="F1114" s="3">
        <v>45817</v>
      </c>
      <c r="G1114">
        <v>202603</v>
      </c>
      <c r="H1114" t="s">
        <v>75</v>
      </c>
      <c r="I1114" t="s">
        <v>76</v>
      </c>
      <c r="J1114" t="s">
        <v>77</v>
      </c>
      <c r="K1114" t="s">
        <v>78</v>
      </c>
      <c r="L1114" t="s">
        <v>100</v>
      </c>
      <c r="M1114" t="s">
        <v>101</v>
      </c>
      <c r="N1114" t="s">
        <v>492</v>
      </c>
      <c r="O1114" t="s">
        <v>82</v>
      </c>
      <c r="P1114" t="str">
        <f>"4170042871                    "</f>
        <v xml:space="preserve">4170042871                    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41.78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1</v>
      </c>
      <c r="BI1114">
        <v>4</v>
      </c>
      <c r="BJ1114">
        <v>2.1</v>
      </c>
      <c r="BK1114">
        <v>4</v>
      </c>
      <c r="BL1114">
        <v>138.94</v>
      </c>
      <c r="BM1114">
        <v>20.84</v>
      </c>
      <c r="BN1114">
        <v>159.78</v>
      </c>
      <c r="BO1114">
        <v>159.78</v>
      </c>
      <c r="BQ1114" t="s">
        <v>493</v>
      </c>
      <c r="BR1114" t="s">
        <v>84</v>
      </c>
      <c r="BS1114" s="3">
        <v>45818</v>
      </c>
      <c r="BT1114" s="4">
        <v>0.42569444444444443</v>
      </c>
      <c r="BU1114" t="s">
        <v>981</v>
      </c>
      <c r="BV1114" t="s">
        <v>86</v>
      </c>
      <c r="BY1114">
        <v>10304</v>
      </c>
      <c r="CA1114" t="s">
        <v>394</v>
      </c>
      <c r="CC1114" t="s">
        <v>101</v>
      </c>
      <c r="CD1114">
        <v>6001</v>
      </c>
      <c r="CE1114" t="s">
        <v>166</v>
      </c>
      <c r="CF1114" s="3">
        <v>45818</v>
      </c>
      <c r="CI1114">
        <v>1</v>
      </c>
      <c r="CJ1114">
        <v>1</v>
      </c>
      <c r="CK1114">
        <v>21</v>
      </c>
      <c r="CL1114" t="s">
        <v>90</v>
      </c>
    </row>
    <row r="1115" spans="1:90" x14ac:dyDescent="0.3">
      <c r="A1115" t="s">
        <v>72</v>
      </c>
      <c r="B1115" t="s">
        <v>73</v>
      </c>
      <c r="C1115" t="s">
        <v>74</v>
      </c>
      <c r="E1115" t="str">
        <f>"080065848353"</f>
        <v>080065848353</v>
      </c>
      <c r="F1115" s="3">
        <v>45817</v>
      </c>
      <c r="G1115">
        <v>202603</v>
      </c>
      <c r="H1115" t="s">
        <v>75</v>
      </c>
      <c r="I1115" t="s">
        <v>76</v>
      </c>
      <c r="J1115" t="s">
        <v>77</v>
      </c>
      <c r="K1115" t="s">
        <v>78</v>
      </c>
      <c r="L1115" t="s">
        <v>100</v>
      </c>
      <c r="M1115" t="s">
        <v>101</v>
      </c>
      <c r="N1115" t="s">
        <v>102</v>
      </c>
      <c r="O1115" t="s">
        <v>82</v>
      </c>
      <c r="P1115" t="str">
        <f>"4170043089                    "</f>
        <v xml:space="preserve">4170043089                    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83.54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0</v>
      </c>
      <c r="BF1115">
        <v>0</v>
      </c>
      <c r="BG1115">
        <v>0</v>
      </c>
      <c r="BH1115">
        <v>1</v>
      </c>
      <c r="BI1115">
        <v>8</v>
      </c>
      <c r="BJ1115">
        <v>3.4</v>
      </c>
      <c r="BK1115">
        <v>8</v>
      </c>
      <c r="BL1115">
        <v>277.82</v>
      </c>
      <c r="BM1115">
        <v>41.67</v>
      </c>
      <c r="BN1115">
        <v>319.49</v>
      </c>
      <c r="BO1115">
        <v>319.49</v>
      </c>
      <c r="BQ1115" t="s">
        <v>103</v>
      </c>
      <c r="BR1115" t="s">
        <v>84</v>
      </c>
      <c r="BS1115" s="3">
        <v>45818</v>
      </c>
      <c r="BT1115" s="4">
        <v>0.43541666666666667</v>
      </c>
      <c r="BU1115" t="s">
        <v>709</v>
      </c>
      <c r="BV1115" t="s">
        <v>86</v>
      </c>
      <c r="BY1115">
        <v>16965</v>
      </c>
      <c r="CA1115" t="s">
        <v>235</v>
      </c>
      <c r="CC1115" t="s">
        <v>101</v>
      </c>
      <c r="CD1115">
        <v>6056</v>
      </c>
      <c r="CE1115" t="s">
        <v>687</v>
      </c>
      <c r="CF1115" s="3">
        <v>45818</v>
      </c>
      <c r="CI1115">
        <v>1</v>
      </c>
      <c r="CJ1115">
        <v>1</v>
      </c>
      <c r="CK1115">
        <v>21</v>
      </c>
      <c r="CL1115" t="s">
        <v>90</v>
      </c>
    </row>
    <row r="1116" spans="1:90" x14ac:dyDescent="0.3">
      <c r="A1116" t="s">
        <v>72</v>
      </c>
      <c r="B1116" t="s">
        <v>73</v>
      </c>
      <c r="C1116" t="s">
        <v>74</v>
      </c>
      <c r="E1116" t="str">
        <f>"080065848403"</f>
        <v>080065848403</v>
      </c>
      <c r="F1116" s="3">
        <v>45817</v>
      </c>
      <c r="G1116">
        <v>202603</v>
      </c>
      <c r="H1116" t="s">
        <v>75</v>
      </c>
      <c r="I1116" t="s">
        <v>76</v>
      </c>
      <c r="J1116" t="s">
        <v>77</v>
      </c>
      <c r="K1116" t="s">
        <v>78</v>
      </c>
      <c r="L1116" t="s">
        <v>1416</v>
      </c>
      <c r="M1116" t="s">
        <v>1417</v>
      </c>
      <c r="N1116" t="s">
        <v>1809</v>
      </c>
      <c r="O1116" t="s">
        <v>82</v>
      </c>
      <c r="P1116" t="str">
        <f>"4170042921                    "</f>
        <v xml:space="preserve">4170042921                    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16.32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1</v>
      </c>
      <c r="BI1116">
        <v>4</v>
      </c>
      <c r="BJ1116">
        <v>2</v>
      </c>
      <c r="BK1116">
        <v>4</v>
      </c>
      <c r="BL1116">
        <v>54.28</v>
      </c>
      <c r="BM1116">
        <v>8.14</v>
      </c>
      <c r="BN1116">
        <v>62.42</v>
      </c>
      <c r="BO1116">
        <v>62.42</v>
      </c>
      <c r="BQ1116" t="s">
        <v>1810</v>
      </c>
      <c r="BR1116" t="s">
        <v>84</v>
      </c>
      <c r="BS1116" s="3">
        <v>45818</v>
      </c>
      <c r="BT1116" s="4">
        <v>0.4909722222222222</v>
      </c>
      <c r="BU1116" t="s">
        <v>951</v>
      </c>
      <c r="BV1116" t="s">
        <v>86</v>
      </c>
      <c r="BY1116">
        <v>9918</v>
      </c>
      <c r="CA1116" t="s">
        <v>743</v>
      </c>
      <c r="CC1116" t="s">
        <v>1417</v>
      </c>
      <c r="CD1116">
        <v>1709</v>
      </c>
      <c r="CE1116" t="s">
        <v>687</v>
      </c>
      <c r="CF1116" s="3">
        <v>45818</v>
      </c>
      <c r="CI1116">
        <v>1</v>
      </c>
      <c r="CJ1116">
        <v>1</v>
      </c>
      <c r="CK1116">
        <v>22</v>
      </c>
      <c r="CL1116" t="s">
        <v>90</v>
      </c>
    </row>
    <row r="1117" spans="1:90" x14ac:dyDescent="0.3">
      <c r="A1117" t="s">
        <v>72</v>
      </c>
      <c r="B1117" t="s">
        <v>73</v>
      </c>
      <c r="C1117" t="s">
        <v>74</v>
      </c>
      <c r="E1117" t="str">
        <f>"080065848421"</f>
        <v>080065848421</v>
      </c>
      <c r="F1117" s="3">
        <v>45817</v>
      </c>
      <c r="G1117">
        <v>202603</v>
      </c>
      <c r="H1117" t="s">
        <v>75</v>
      </c>
      <c r="I1117" t="s">
        <v>76</v>
      </c>
      <c r="J1117" t="s">
        <v>77</v>
      </c>
      <c r="K1117" t="s">
        <v>78</v>
      </c>
      <c r="L1117" t="s">
        <v>130</v>
      </c>
      <c r="M1117" t="s">
        <v>131</v>
      </c>
      <c r="N1117" t="s">
        <v>1064</v>
      </c>
      <c r="O1117" t="s">
        <v>82</v>
      </c>
      <c r="P1117" t="str">
        <f>"4170042899                    "</f>
        <v xml:space="preserve">4170042899                    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16.32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0</v>
      </c>
      <c r="BF1117">
        <v>0</v>
      </c>
      <c r="BG1117">
        <v>0</v>
      </c>
      <c r="BH1117">
        <v>1</v>
      </c>
      <c r="BI1117">
        <v>2</v>
      </c>
      <c r="BJ1117">
        <v>1.7</v>
      </c>
      <c r="BK1117">
        <v>2</v>
      </c>
      <c r="BL1117">
        <v>54.28</v>
      </c>
      <c r="BM1117">
        <v>8.14</v>
      </c>
      <c r="BN1117">
        <v>62.42</v>
      </c>
      <c r="BO1117">
        <v>62.42</v>
      </c>
      <c r="BQ1117" t="s">
        <v>1065</v>
      </c>
      <c r="BR1117" t="s">
        <v>84</v>
      </c>
      <c r="BS1117" s="3">
        <v>45818</v>
      </c>
      <c r="BT1117" s="4">
        <v>0.375</v>
      </c>
      <c r="BU1117" t="s">
        <v>1342</v>
      </c>
      <c r="BV1117" t="s">
        <v>86</v>
      </c>
      <c r="BY1117">
        <v>8512</v>
      </c>
      <c r="CA1117" t="s">
        <v>454</v>
      </c>
      <c r="CC1117" t="s">
        <v>131</v>
      </c>
      <c r="CD1117">
        <v>1460</v>
      </c>
      <c r="CE1117" t="s">
        <v>687</v>
      </c>
      <c r="CF1117" s="3">
        <v>45819</v>
      </c>
      <c r="CI1117">
        <v>1</v>
      </c>
      <c r="CJ1117">
        <v>1</v>
      </c>
      <c r="CK1117">
        <v>22</v>
      </c>
      <c r="CL1117" t="s">
        <v>90</v>
      </c>
    </row>
    <row r="1118" spans="1:90" x14ac:dyDescent="0.3">
      <c r="A1118" t="s">
        <v>72</v>
      </c>
      <c r="B1118" t="s">
        <v>73</v>
      </c>
      <c r="C1118" t="s">
        <v>74</v>
      </c>
      <c r="E1118" t="str">
        <f>"080065848445"</f>
        <v>080065848445</v>
      </c>
      <c r="F1118" s="3">
        <v>45817</v>
      </c>
      <c r="G1118">
        <v>202603</v>
      </c>
      <c r="H1118" t="s">
        <v>75</v>
      </c>
      <c r="I1118" t="s">
        <v>76</v>
      </c>
      <c r="J1118" t="s">
        <v>77</v>
      </c>
      <c r="K1118" t="s">
        <v>78</v>
      </c>
      <c r="L1118" t="s">
        <v>302</v>
      </c>
      <c r="M1118" t="s">
        <v>303</v>
      </c>
      <c r="N1118" t="s">
        <v>304</v>
      </c>
      <c r="O1118" t="s">
        <v>82</v>
      </c>
      <c r="P1118" t="str">
        <f>"4170042890                    "</f>
        <v xml:space="preserve">4170042890                    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113.62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0</v>
      </c>
      <c r="BF1118">
        <v>0</v>
      </c>
      <c r="BG1118">
        <v>0</v>
      </c>
      <c r="BH1118">
        <v>1</v>
      </c>
      <c r="BI1118">
        <v>6</v>
      </c>
      <c r="BJ1118">
        <v>2.9</v>
      </c>
      <c r="BK1118">
        <v>6</v>
      </c>
      <c r="BL1118">
        <v>377.86</v>
      </c>
      <c r="BM1118">
        <v>56.68</v>
      </c>
      <c r="BN1118">
        <v>434.54</v>
      </c>
      <c r="BO1118">
        <v>434.54</v>
      </c>
      <c r="BQ1118" t="s">
        <v>305</v>
      </c>
      <c r="BR1118" t="s">
        <v>84</v>
      </c>
      <c r="BS1118" s="3">
        <v>45818</v>
      </c>
      <c r="BT1118" s="4">
        <v>0.38124999999999998</v>
      </c>
      <c r="BU1118" t="s">
        <v>1687</v>
      </c>
      <c r="BV1118" t="s">
        <v>86</v>
      </c>
      <c r="BY1118">
        <v>14364</v>
      </c>
      <c r="CC1118" t="s">
        <v>303</v>
      </c>
      <c r="CD1118">
        <v>299</v>
      </c>
      <c r="CE1118" t="s">
        <v>166</v>
      </c>
      <c r="CF1118" s="3">
        <v>45819</v>
      </c>
      <c r="CI1118">
        <v>1</v>
      </c>
      <c r="CJ1118">
        <v>1</v>
      </c>
      <c r="CK1118">
        <v>23</v>
      </c>
      <c r="CL1118" t="s">
        <v>90</v>
      </c>
    </row>
    <row r="1119" spans="1:90" x14ac:dyDescent="0.3">
      <c r="A1119" t="s">
        <v>72</v>
      </c>
      <c r="B1119" t="s">
        <v>73</v>
      </c>
      <c r="C1119" t="s">
        <v>74</v>
      </c>
      <c r="E1119" t="str">
        <f>"080065848453"</f>
        <v>080065848453</v>
      </c>
      <c r="F1119" s="3">
        <v>45817</v>
      </c>
      <c r="G1119">
        <v>202603</v>
      </c>
      <c r="H1119" t="s">
        <v>75</v>
      </c>
      <c r="I1119" t="s">
        <v>76</v>
      </c>
      <c r="J1119" t="s">
        <v>77</v>
      </c>
      <c r="K1119" t="s">
        <v>78</v>
      </c>
      <c r="L1119" t="s">
        <v>100</v>
      </c>
      <c r="M1119" t="s">
        <v>101</v>
      </c>
      <c r="N1119" t="s">
        <v>726</v>
      </c>
      <c r="O1119" t="s">
        <v>82</v>
      </c>
      <c r="P1119" t="str">
        <f>"4170042852                    "</f>
        <v xml:space="preserve">4170042852                    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52.22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0</v>
      </c>
      <c r="BF1119">
        <v>0</v>
      </c>
      <c r="BG1119">
        <v>0</v>
      </c>
      <c r="BH1119">
        <v>1</v>
      </c>
      <c r="BI1119">
        <v>5</v>
      </c>
      <c r="BJ1119">
        <v>1.7</v>
      </c>
      <c r="BK1119">
        <v>5</v>
      </c>
      <c r="BL1119">
        <v>173.66</v>
      </c>
      <c r="BM1119">
        <v>26.05</v>
      </c>
      <c r="BN1119">
        <v>199.71</v>
      </c>
      <c r="BO1119">
        <v>199.71</v>
      </c>
      <c r="BQ1119" t="s">
        <v>727</v>
      </c>
      <c r="BR1119" t="s">
        <v>84</v>
      </c>
      <c r="BS1119" s="3">
        <v>45818</v>
      </c>
      <c r="BT1119" s="4">
        <v>0.41249999999999998</v>
      </c>
      <c r="BU1119" t="s">
        <v>1811</v>
      </c>
      <c r="BV1119" t="s">
        <v>86</v>
      </c>
      <c r="BY1119">
        <v>8512</v>
      </c>
      <c r="CA1119" t="s">
        <v>394</v>
      </c>
      <c r="CC1119" t="s">
        <v>101</v>
      </c>
      <c r="CD1119">
        <v>6001</v>
      </c>
      <c r="CE1119" t="s">
        <v>687</v>
      </c>
      <c r="CF1119" s="3">
        <v>45818</v>
      </c>
      <c r="CI1119">
        <v>1</v>
      </c>
      <c r="CJ1119">
        <v>1</v>
      </c>
      <c r="CK1119">
        <v>21</v>
      </c>
      <c r="CL1119" t="s">
        <v>90</v>
      </c>
    </row>
    <row r="1120" spans="1:90" x14ac:dyDescent="0.3">
      <c r="A1120" t="s">
        <v>72</v>
      </c>
      <c r="B1120" t="s">
        <v>73</v>
      </c>
      <c r="C1120" t="s">
        <v>74</v>
      </c>
      <c r="E1120" t="str">
        <f>"080065848477"</f>
        <v>080065848477</v>
      </c>
      <c r="F1120" s="3">
        <v>45817</v>
      </c>
      <c r="G1120">
        <v>202603</v>
      </c>
      <c r="H1120" t="s">
        <v>75</v>
      </c>
      <c r="I1120" t="s">
        <v>76</v>
      </c>
      <c r="J1120" t="s">
        <v>77</v>
      </c>
      <c r="K1120" t="s">
        <v>78</v>
      </c>
      <c r="L1120" t="s">
        <v>100</v>
      </c>
      <c r="M1120" t="s">
        <v>101</v>
      </c>
      <c r="N1120" t="s">
        <v>123</v>
      </c>
      <c r="O1120" t="s">
        <v>82</v>
      </c>
      <c r="P1120" t="str">
        <f>"4170042658                    "</f>
        <v xml:space="preserve">4170042658                    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36.56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0</v>
      </c>
      <c r="BF1120">
        <v>0</v>
      </c>
      <c r="BG1120">
        <v>0</v>
      </c>
      <c r="BH1120">
        <v>1</v>
      </c>
      <c r="BI1120">
        <v>1</v>
      </c>
      <c r="BJ1120">
        <v>3.4</v>
      </c>
      <c r="BK1120">
        <v>3.5</v>
      </c>
      <c r="BL1120">
        <v>121.58</v>
      </c>
      <c r="BM1120">
        <v>18.239999999999998</v>
      </c>
      <c r="BN1120">
        <v>139.82</v>
      </c>
      <c r="BO1120">
        <v>139.82</v>
      </c>
      <c r="BQ1120" t="s">
        <v>124</v>
      </c>
      <c r="BR1120" t="s">
        <v>84</v>
      </c>
      <c r="BS1120" s="3">
        <v>45818</v>
      </c>
      <c r="BT1120" s="4">
        <v>0.39861111111111114</v>
      </c>
      <c r="BU1120" t="s">
        <v>1015</v>
      </c>
      <c r="BV1120" t="s">
        <v>86</v>
      </c>
      <c r="BY1120">
        <v>16965</v>
      </c>
      <c r="CA1120" t="s">
        <v>235</v>
      </c>
      <c r="CC1120" t="s">
        <v>101</v>
      </c>
      <c r="CD1120">
        <v>6001</v>
      </c>
      <c r="CE1120" t="s">
        <v>687</v>
      </c>
      <c r="CF1120" s="3">
        <v>45818</v>
      </c>
      <c r="CI1120">
        <v>1</v>
      </c>
      <c r="CJ1120">
        <v>1</v>
      </c>
      <c r="CK1120">
        <v>21</v>
      </c>
      <c r="CL1120" t="s">
        <v>90</v>
      </c>
    </row>
    <row r="1121" spans="1:90" x14ac:dyDescent="0.3">
      <c r="A1121" t="s">
        <v>72</v>
      </c>
      <c r="B1121" t="s">
        <v>73</v>
      </c>
      <c r="C1121" t="s">
        <v>74</v>
      </c>
      <c r="E1121" t="str">
        <f>"080065848500"</f>
        <v>080065848500</v>
      </c>
      <c r="F1121" s="3">
        <v>45817</v>
      </c>
      <c r="G1121">
        <v>202603</v>
      </c>
      <c r="H1121" t="s">
        <v>75</v>
      </c>
      <c r="I1121" t="s">
        <v>76</v>
      </c>
      <c r="J1121" t="s">
        <v>77</v>
      </c>
      <c r="K1121" t="s">
        <v>78</v>
      </c>
      <c r="L1121" t="s">
        <v>91</v>
      </c>
      <c r="M1121" t="s">
        <v>92</v>
      </c>
      <c r="N1121" t="s">
        <v>93</v>
      </c>
      <c r="O1121" t="s">
        <v>82</v>
      </c>
      <c r="P1121" t="str">
        <f>"4170042892                    "</f>
        <v xml:space="preserve">4170042892                    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93.98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0</v>
      </c>
      <c r="BF1121">
        <v>0</v>
      </c>
      <c r="BG1121">
        <v>0</v>
      </c>
      <c r="BH1121">
        <v>1</v>
      </c>
      <c r="BI1121">
        <v>9</v>
      </c>
      <c r="BJ1121">
        <v>4.3</v>
      </c>
      <c r="BK1121">
        <v>9</v>
      </c>
      <c r="BL1121">
        <v>312.54000000000002</v>
      </c>
      <c r="BM1121">
        <v>46.88</v>
      </c>
      <c r="BN1121">
        <v>359.42</v>
      </c>
      <c r="BO1121">
        <v>359.42</v>
      </c>
      <c r="BQ1121" t="s">
        <v>95</v>
      </c>
      <c r="BR1121" t="s">
        <v>84</v>
      </c>
      <c r="BS1121" s="3">
        <v>45818</v>
      </c>
      <c r="BT1121" s="4">
        <v>0.37152777777777779</v>
      </c>
      <c r="BU1121" t="s">
        <v>580</v>
      </c>
      <c r="BV1121" t="s">
        <v>86</v>
      </c>
      <c r="BY1121">
        <v>21489</v>
      </c>
      <c r="CA1121" t="s">
        <v>543</v>
      </c>
      <c r="CC1121" t="s">
        <v>92</v>
      </c>
      <c r="CD1121">
        <v>7441</v>
      </c>
      <c r="CE1121" t="s">
        <v>687</v>
      </c>
      <c r="CF1121" s="3">
        <v>45819</v>
      </c>
      <c r="CI1121">
        <v>1</v>
      </c>
      <c r="CJ1121">
        <v>1</v>
      </c>
      <c r="CK1121">
        <v>21</v>
      </c>
      <c r="CL1121" t="s">
        <v>90</v>
      </c>
    </row>
    <row r="1122" spans="1:90" x14ac:dyDescent="0.3">
      <c r="A1122" t="s">
        <v>72</v>
      </c>
      <c r="B1122" t="s">
        <v>73</v>
      </c>
      <c r="C1122" t="s">
        <v>74</v>
      </c>
      <c r="E1122" t="str">
        <f>"080065848535"</f>
        <v>080065848535</v>
      </c>
      <c r="F1122" s="3">
        <v>45817</v>
      </c>
      <c r="G1122">
        <v>202603</v>
      </c>
      <c r="H1122" t="s">
        <v>75</v>
      </c>
      <c r="I1122" t="s">
        <v>76</v>
      </c>
      <c r="J1122" t="s">
        <v>77</v>
      </c>
      <c r="K1122" t="s">
        <v>78</v>
      </c>
      <c r="L1122" t="s">
        <v>136</v>
      </c>
      <c r="M1122" t="s">
        <v>137</v>
      </c>
      <c r="N1122" t="s">
        <v>317</v>
      </c>
      <c r="O1122" t="s">
        <v>82</v>
      </c>
      <c r="P1122" t="str">
        <f>"4170042990                    "</f>
        <v xml:space="preserve">4170042990                    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52.22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0</v>
      </c>
      <c r="BF1122">
        <v>0</v>
      </c>
      <c r="BG1122">
        <v>0</v>
      </c>
      <c r="BH1122">
        <v>1</v>
      </c>
      <c r="BI1122">
        <v>5</v>
      </c>
      <c r="BJ1122">
        <v>1.9</v>
      </c>
      <c r="BK1122">
        <v>5</v>
      </c>
      <c r="BL1122">
        <v>173.66</v>
      </c>
      <c r="BM1122">
        <v>26.05</v>
      </c>
      <c r="BN1122">
        <v>199.71</v>
      </c>
      <c r="BO1122">
        <v>199.71</v>
      </c>
      <c r="BQ1122" t="s">
        <v>318</v>
      </c>
      <c r="BR1122" t="s">
        <v>84</v>
      </c>
      <c r="BS1122" s="3">
        <v>45818</v>
      </c>
      <c r="BT1122" s="4">
        <v>0.60416666666666663</v>
      </c>
      <c r="BU1122" t="s">
        <v>1812</v>
      </c>
      <c r="BV1122" t="s">
        <v>90</v>
      </c>
      <c r="BY1122">
        <v>9450</v>
      </c>
      <c r="CC1122" t="s">
        <v>137</v>
      </c>
      <c r="CD1122">
        <v>5201</v>
      </c>
      <c r="CE1122" t="s">
        <v>687</v>
      </c>
      <c r="CF1122" s="3">
        <v>45818</v>
      </c>
      <c r="CI1122">
        <v>1</v>
      </c>
      <c r="CJ1122">
        <v>1</v>
      </c>
      <c r="CK1122">
        <v>21</v>
      </c>
      <c r="CL1122" t="s">
        <v>90</v>
      </c>
    </row>
    <row r="1123" spans="1:90" x14ac:dyDescent="0.3">
      <c r="A1123" t="s">
        <v>72</v>
      </c>
      <c r="B1123" t="s">
        <v>73</v>
      </c>
      <c r="C1123" t="s">
        <v>74</v>
      </c>
      <c r="E1123" t="str">
        <f>"080065848570"</f>
        <v>080065848570</v>
      </c>
      <c r="F1123" s="3">
        <v>45817</v>
      </c>
      <c r="G1123">
        <v>202603</v>
      </c>
      <c r="H1123" t="s">
        <v>75</v>
      </c>
      <c r="I1123" t="s">
        <v>76</v>
      </c>
      <c r="J1123" t="s">
        <v>77</v>
      </c>
      <c r="K1123" t="s">
        <v>78</v>
      </c>
      <c r="L1123" t="s">
        <v>331</v>
      </c>
      <c r="M1123" t="s">
        <v>332</v>
      </c>
      <c r="N1123" t="s">
        <v>484</v>
      </c>
      <c r="O1123" t="s">
        <v>82</v>
      </c>
      <c r="P1123" t="str">
        <f>"4170042882                    "</f>
        <v xml:space="preserve">4170042882                    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41.78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1</v>
      </c>
      <c r="BI1123">
        <v>4</v>
      </c>
      <c r="BJ1123">
        <v>3.4</v>
      </c>
      <c r="BK1123">
        <v>4</v>
      </c>
      <c r="BL1123">
        <v>138.94</v>
      </c>
      <c r="BM1123">
        <v>20.84</v>
      </c>
      <c r="BN1123">
        <v>159.78</v>
      </c>
      <c r="BO1123">
        <v>159.78</v>
      </c>
      <c r="BQ1123" t="s">
        <v>485</v>
      </c>
      <c r="BR1123" t="s">
        <v>84</v>
      </c>
      <c r="BS1123" s="3">
        <v>45818</v>
      </c>
      <c r="BT1123" s="4">
        <v>0.39097222222222222</v>
      </c>
      <c r="BU1123" t="s">
        <v>1324</v>
      </c>
      <c r="BV1123" t="s">
        <v>86</v>
      </c>
      <c r="BY1123">
        <v>16965</v>
      </c>
      <c r="CA1123" t="s">
        <v>418</v>
      </c>
      <c r="CC1123" t="s">
        <v>332</v>
      </c>
      <c r="CD1123">
        <v>4052</v>
      </c>
      <c r="CE1123" t="s">
        <v>687</v>
      </c>
      <c r="CF1123" s="3">
        <v>45818</v>
      </c>
      <c r="CI1123">
        <v>1</v>
      </c>
      <c r="CJ1123">
        <v>1</v>
      </c>
      <c r="CK1123">
        <v>21</v>
      </c>
      <c r="CL1123" t="s">
        <v>90</v>
      </c>
    </row>
    <row r="1124" spans="1:90" x14ac:dyDescent="0.3">
      <c r="A1124" t="s">
        <v>72</v>
      </c>
      <c r="B1124" t="s">
        <v>73</v>
      </c>
      <c r="C1124" t="s">
        <v>74</v>
      </c>
      <c r="E1124" t="str">
        <f>"080065848595"</f>
        <v>080065848595</v>
      </c>
      <c r="F1124" s="3">
        <v>45817</v>
      </c>
      <c r="G1124">
        <v>202603</v>
      </c>
      <c r="H1124" t="s">
        <v>75</v>
      </c>
      <c r="I1124" t="s">
        <v>76</v>
      </c>
      <c r="J1124" t="s">
        <v>77</v>
      </c>
      <c r="K1124" t="s">
        <v>78</v>
      </c>
      <c r="L1124" t="s">
        <v>331</v>
      </c>
      <c r="M1124" t="s">
        <v>332</v>
      </c>
      <c r="N1124" t="s">
        <v>1499</v>
      </c>
      <c r="O1124" t="s">
        <v>82</v>
      </c>
      <c r="P1124" t="str">
        <f>"4170042912                    "</f>
        <v xml:space="preserve">4170042912                    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36.56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0</v>
      </c>
      <c r="BF1124">
        <v>0</v>
      </c>
      <c r="BG1124">
        <v>0</v>
      </c>
      <c r="BH1124">
        <v>1</v>
      </c>
      <c r="BI1124">
        <v>3</v>
      </c>
      <c r="BJ1124">
        <v>3.4</v>
      </c>
      <c r="BK1124">
        <v>3.5</v>
      </c>
      <c r="BL1124">
        <v>121.58</v>
      </c>
      <c r="BM1124">
        <v>18.239999999999998</v>
      </c>
      <c r="BN1124">
        <v>139.82</v>
      </c>
      <c r="BO1124">
        <v>139.82</v>
      </c>
      <c r="BQ1124" t="s">
        <v>1500</v>
      </c>
      <c r="BR1124" t="s">
        <v>84</v>
      </c>
      <c r="BS1124" s="3">
        <v>45818</v>
      </c>
      <c r="BT1124" s="4">
        <v>0.33819444444444446</v>
      </c>
      <c r="BU1124" t="s">
        <v>1695</v>
      </c>
      <c r="BV1124" t="s">
        <v>86</v>
      </c>
      <c r="BY1124">
        <v>16965</v>
      </c>
      <c r="CA1124" t="s">
        <v>336</v>
      </c>
      <c r="CC1124" t="s">
        <v>332</v>
      </c>
      <c r="CD1124">
        <v>4051</v>
      </c>
      <c r="CE1124" t="s">
        <v>687</v>
      </c>
      <c r="CF1124" s="3">
        <v>45818</v>
      </c>
      <c r="CI1124">
        <v>1</v>
      </c>
      <c r="CJ1124">
        <v>1</v>
      </c>
      <c r="CK1124">
        <v>21</v>
      </c>
      <c r="CL1124" t="s">
        <v>90</v>
      </c>
    </row>
    <row r="1125" spans="1:90" x14ac:dyDescent="0.3">
      <c r="A1125" t="s">
        <v>72</v>
      </c>
      <c r="B1125" t="s">
        <v>73</v>
      </c>
      <c r="C1125" t="s">
        <v>74</v>
      </c>
      <c r="E1125" t="str">
        <f>"080065848746"</f>
        <v>080065848746</v>
      </c>
      <c r="F1125" s="3">
        <v>45817</v>
      </c>
      <c r="G1125">
        <v>202603</v>
      </c>
      <c r="H1125" t="s">
        <v>75</v>
      </c>
      <c r="I1125" t="s">
        <v>76</v>
      </c>
      <c r="J1125" t="s">
        <v>77</v>
      </c>
      <c r="K1125" t="s">
        <v>78</v>
      </c>
      <c r="L1125" t="s">
        <v>159</v>
      </c>
      <c r="M1125" t="s">
        <v>160</v>
      </c>
      <c r="N1125" t="s">
        <v>470</v>
      </c>
      <c r="O1125" t="s">
        <v>276</v>
      </c>
      <c r="P1125" t="str">
        <f>"4170042840                    "</f>
        <v xml:space="preserve">4170042840                    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313.45999999999998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16.739999999999998</v>
      </c>
      <c r="AX1125">
        <v>0</v>
      </c>
      <c r="AY1125">
        <v>0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0</v>
      </c>
      <c r="BF1125">
        <v>0</v>
      </c>
      <c r="BG1125">
        <v>0</v>
      </c>
      <c r="BH1125">
        <v>1</v>
      </c>
      <c r="BI1125">
        <v>16</v>
      </c>
      <c r="BJ1125">
        <v>7</v>
      </c>
      <c r="BK1125">
        <v>16</v>
      </c>
      <c r="BL1125">
        <v>1059.17</v>
      </c>
      <c r="BM1125">
        <v>158.88</v>
      </c>
      <c r="BN1125">
        <v>1218.05</v>
      </c>
      <c r="BO1125">
        <v>1218.05</v>
      </c>
      <c r="BQ1125" t="s">
        <v>471</v>
      </c>
      <c r="BR1125" t="s">
        <v>84</v>
      </c>
      <c r="BS1125" s="3">
        <v>45818</v>
      </c>
      <c r="BT1125" s="4">
        <v>0.5493055555555556</v>
      </c>
      <c r="BU1125" t="s">
        <v>1701</v>
      </c>
      <c r="BV1125" t="s">
        <v>86</v>
      </c>
      <c r="BY1125">
        <v>35224</v>
      </c>
      <c r="BZ1125" t="s">
        <v>30</v>
      </c>
      <c r="CA1125" t="s">
        <v>1702</v>
      </c>
      <c r="CC1125" t="s">
        <v>160</v>
      </c>
      <c r="CD1125">
        <v>1832</v>
      </c>
      <c r="CE1125" t="s">
        <v>1029</v>
      </c>
      <c r="CF1125" s="3">
        <v>45819</v>
      </c>
      <c r="CI1125">
        <v>0</v>
      </c>
      <c r="CJ1125">
        <v>0</v>
      </c>
      <c r="CK1125">
        <v>31</v>
      </c>
      <c r="CL1125" t="s">
        <v>90</v>
      </c>
    </row>
    <row r="1126" spans="1:90" x14ac:dyDescent="0.3">
      <c r="A1126" t="s">
        <v>72</v>
      </c>
      <c r="B1126" t="s">
        <v>73</v>
      </c>
      <c r="C1126" t="s">
        <v>74</v>
      </c>
      <c r="E1126" t="str">
        <f>"080065848759"</f>
        <v>080065848759</v>
      </c>
      <c r="F1126" s="3">
        <v>45817</v>
      </c>
      <c r="G1126">
        <v>202603</v>
      </c>
      <c r="H1126" t="s">
        <v>75</v>
      </c>
      <c r="I1126" t="s">
        <v>76</v>
      </c>
      <c r="J1126" t="s">
        <v>77</v>
      </c>
      <c r="K1126" t="s">
        <v>78</v>
      </c>
      <c r="L1126" t="s">
        <v>266</v>
      </c>
      <c r="M1126" t="s">
        <v>267</v>
      </c>
      <c r="N1126" t="s">
        <v>1739</v>
      </c>
      <c r="O1126" t="s">
        <v>82</v>
      </c>
      <c r="P1126" t="str">
        <f>"4170042964                    "</f>
        <v xml:space="preserve">4170042964                    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41.78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0</v>
      </c>
      <c r="BF1126">
        <v>0</v>
      </c>
      <c r="BG1126">
        <v>0</v>
      </c>
      <c r="BH1126">
        <v>1</v>
      </c>
      <c r="BI1126">
        <v>3</v>
      </c>
      <c r="BJ1126">
        <v>3.6</v>
      </c>
      <c r="BK1126">
        <v>4</v>
      </c>
      <c r="BL1126">
        <v>138.94</v>
      </c>
      <c r="BM1126">
        <v>20.84</v>
      </c>
      <c r="BN1126">
        <v>159.78</v>
      </c>
      <c r="BO1126">
        <v>159.78</v>
      </c>
      <c r="BQ1126" t="s">
        <v>1740</v>
      </c>
      <c r="BR1126" t="s">
        <v>84</v>
      </c>
      <c r="BS1126" s="3">
        <v>45818</v>
      </c>
      <c r="BT1126" s="4">
        <v>0.34722222222222221</v>
      </c>
      <c r="BU1126" t="s">
        <v>1813</v>
      </c>
      <c r="BV1126" t="s">
        <v>86</v>
      </c>
      <c r="BY1126">
        <v>18144</v>
      </c>
      <c r="CA1126" t="s">
        <v>271</v>
      </c>
      <c r="CC1126" t="s">
        <v>267</v>
      </c>
      <c r="CD1126">
        <v>6229</v>
      </c>
      <c r="CE1126" t="s">
        <v>1029</v>
      </c>
      <c r="CF1126" s="3">
        <v>45818</v>
      </c>
      <c r="CI1126">
        <v>1</v>
      </c>
      <c r="CJ1126">
        <v>1</v>
      </c>
      <c r="CK1126">
        <v>21</v>
      </c>
      <c r="CL1126" t="s">
        <v>90</v>
      </c>
    </row>
    <row r="1127" spans="1:90" x14ac:dyDescent="0.3">
      <c r="A1127" t="s">
        <v>72</v>
      </c>
      <c r="B1127" t="s">
        <v>73</v>
      </c>
      <c r="C1127" t="s">
        <v>74</v>
      </c>
      <c r="E1127" t="str">
        <f>"080065848773"</f>
        <v>080065848773</v>
      </c>
      <c r="F1127" s="3">
        <v>45817</v>
      </c>
      <c r="G1127">
        <v>202603</v>
      </c>
      <c r="H1127" t="s">
        <v>75</v>
      </c>
      <c r="I1127" t="s">
        <v>76</v>
      </c>
      <c r="J1127" t="s">
        <v>77</v>
      </c>
      <c r="K1127" t="s">
        <v>78</v>
      </c>
      <c r="L1127" t="s">
        <v>91</v>
      </c>
      <c r="M1127" t="s">
        <v>92</v>
      </c>
      <c r="N1127" t="s">
        <v>540</v>
      </c>
      <c r="O1127" t="s">
        <v>82</v>
      </c>
      <c r="P1127" t="str">
        <f>"4170042944                    "</f>
        <v xml:space="preserve">4170042944                    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20.9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0</v>
      </c>
      <c r="BF1127">
        <v>0</v>
      </c>
      <c r="BG1127">
        <v>0</v>
      </c>
      <c r="BH1127">
        <v>1</v>
      </c>
      <c r="BI1127">
        <v>1</v>
      </c>
      <c r="BJ1127">
        <v>2</v>
      </c>
      <c r="BK1127">
        <v>2</v>
      </c>
      <c r="BL1127">
        <v>69.5</v>
      </c>
      <c r="BM1127">
        <v>10.43</v>
      </c>
      <c r="BN1127">
        <v>79.930000000000007</v>
      </c>
      <c r="BO1127">
        <v>79.930000000000007</v>
      </c>
      <c r="BQ1127" t="s">
        <v>541</v>
      </c>
      <c r="BR1127" t="s">
        <v>84</v>
      </c>
      <c r="BS1127" s="3">
        <v>45818</v>
      </c>
      <c r="BT1127" s="4">
        <v>0.40625</v>
      </c>
      <c r="BU1127" t="s">
        <v>1725</v>
      </c>
      <c r="BV1127" t="s">
        <v>86</v>
      </c>
      <c r="BY1127">
        <v>9918</v>
      </c>
      <c r="CA1127" t="s">
        <v>291</v>
      </c>
      <c r="CC1127" t="s">
        <v>92</v>
      </c>
      <c r="CD1127">
        <v>7441</v>
      </c>
      <c r="CE1127" t="s">
        <v>1029</v>
      </c>
      <c r="CF1127" s="3">
        <v>45819</v>
      </c>
      <c r="CI1127">
        <v>1</v>
      </c>
      <c r="CJ1127">
        <v>1</v>
      </c>
      <c r="CK1127">
        <v>21</v>
      </c>
      <c r="CL1127" t="s">
        <v>90</v>
      </c>
    </row>
    <row r="1128" spans="1:90" x14ac:dyDescent="0.3">
      <c r="A1128" t="s">
        <v>72</v>
      </c>
      <c r="B1128" t="s">
        <v>73</v>
      </c>
      <c r="C1128" t="s">
        <v>74</v>
      </c>
      <c r="E1128" t="str">
        <f>"080065848791"</f>
        <v>080065848791</v>
      </c>
      <c r="F1128" s="3">
        <v>45817</v>
      </c>
      <c r="G1128">
        <v>202603</v>
      </c>
      <c r="H1128" t="s">
        <v>75</v>
      </c>
      <c r="I1128" t="s">
        <v>76</v>
      </c>
      <c r="J1128" t="s">
        <v>77</v>
      </c>
      <c r="K1128" t="s">
        <v>78</v>
      </c>
      <c r="L1128" t="s">
        <v>100</v>
      </c>
      <c r="M1128" t="s">
        <v>101</v>
      </c>
      <c r="N1128" t="s">
        <v>123</v>
      </c>
      <c r="O1128" t="s">
        <v>82</v>
      </c>
      <c r="P1128" t="str">
        <f>"4170042929                    "</f>
        <v xml:space="preserve">4170042929                    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20.9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1</v>
      </c>
      <c r="BI1128">
        <v>1</v>
      </c>
      <c r="BJ1128">
        <v>2</v>
      </c>
      <c r="BK1128">
        <v>2</v>
      </c>
      <c r="BL1128">
        <v>69.5</v>
      </c>
      <c r="BM1128">
        <v>10.43</v>
      </c>
      <c r="BN1128">
        <v>79.930000000000007</v>
      </c>
      <c r="BO1128">
        <v>79.930000000000007</v>
      </c>
      <c r="BQ1128" t="s">
        <v>124</v>
      </c>
      <c r="BR1128" t="s">
        <v>84</v>
      </c>
      <c r="BS1128" s="3">
        <v>45818</v>
      </c>
      <c r="BT1128" s="4">
        <v>0.39861111111111114</v>
      </c>
      <c r="BU1128" t="s">
        <v>1015</v>
      </c>
      <c r="BV1128" t="s">
        <v>86</v>
      </c>
      <c r="BY1128">
        <v>9900</v>
      </c>
      <c r="CA1128" t="s">
        <v>235</v>
      </c>
      <c r="CC1128" t="s">
        <v>101</v>
      </c>
      <c r="CD1128">
        <v>6001</v>
      </c>
      <c r="CE1128" t="s">
        <v>687</v>
      </c>
      <c r="CF1128" s="3">
        <v>45818</v>
      </c>
      <c r="CI1128">
        <v>1</v>
      </c>
      <c r="CJ1128">
        <v>1</v>
      </c>
      <c r="CK1128">
        <v>21</v>
      </c>
      <c r="CL1128" t="s">
        <v>90</v>
      </c>
    </row>
    <row r="1129" spans="1:90" x14ac:dyDescent="0.3">
      <c r="A1129" t="s">
        <v>72</v>
      </c>
      <c r="B1129" t="s">
        <v>73</v>
      </c>
      <c r="C1129" t="s">
        <v>74</v>
      </c>
      <c r="E1129" t="str">
        <f>"080065848799"</f>
        <v>080065848799</v>
      </c>
      <c r="F1129" s="3">
        <v>45817</v>
      </c>
      <c r="G1129">
        <v>202603</v>
      </c>
      <c r="H1129" t="s">
        <v>75</v>
      </c>
      <c r="I1129" t="s">
        <v>76</v>
      </c>
      <c r="J1129" t="s">
        <v>77</v>
      </c>
      <c r="K1129" t="s">
        <v>78</v>
      </c>
      <c r="L1129" t="s">
        <v>628</v>
      </c>
      <c r="M1129" t="s">
        <v>629</v>
      </c>
      <c r="N1129" t="s">
        <v>1726</v>
      </c>
      <c r="O1129" t="s">
        <v>82</v>
      </c>
      <c r="P1129" t="str">
        <f>"4170042938                    "</f>
        <v xml:space="preserve">4170042938                    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20.9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0</v>
      </c>
      <c r="BF1129">
        <v>0</v>
      </c>
      <c r="BG1129">
        <v>0</v>
      </c>
      <c r="BH1129">
        <v>1</v>
      </c>
      <c r="BI1129">
        <v>1</v>
      </c>
      <c r="BJ1129">
        <v>2</v>
      </c>
      <c r="BK1129">
        <v>2</v>
      </c>
      <c r="BL1129">
        <v>69.5</v>
      </c>
      <c r="BM1129">
        <v>10.43</v>
      </c>
      <c r="BN1129">
        <v>79.930000000000007</v>
      </c>
      <c r="BO1129">
        <v>79.930000000000007</v>
      </c>
      <c r="BQ1129" t="s">
        <v>1727</v>
      </c>
      <c r="BR1129" t="s">
        <v>84</v>
      </c>
      <c r="BS1129" s="3">
        <v>45818</v>
      </c>
      <c r="BT1129" s="4">
        <v>0.41944444444444445</v>
      </c>
      <c r="BU1129" t="s">
        <v>1390</v>
      </c>
      <c r="BV1129" t="s">
        <v>86</v>
      </c>
      <c r="BY1129">
        <v>9900</v>
      </c>
      <c r="CA1129" t="s">
        <v>223</v>
      </c>
      <c r="CC1129" t="s">
        <v>629</v>
      </c>
      <c r="CD1129">
        <v>6220</v>
      </c>
      <c r="CE1129" t="s">
        <v>687</v>
      </c>
      <c r="CF1129" s="3">
        <v>45818</v>
      </c>
      <c r="CI1129">
        <v>1</v>
      </c>
      <c r="CJ1129">
        <v>1</v>
      </c>
      <c r="CK1129">
        <v>21</v>
      </c>
      <c r="CL1129" t="s">
        <v>90</v>
      </c>
    </row>
    <row r="1130" spans="1:90" x14ac:dyDescent="0.3">
      <c r="A1130" t="s">
        <v>72</v>
      </c>
      <c r="B1130" t="s">
        <v>73</v>
      </c>
      <c r="C1130" t="s">
        <v>74</v>
      </c>
      <c r="E1130" t="str">
        <f>"080065848817"</f>
        <v>080065848817</v>
      </c>
      <c r="F1130" s="3">
        <v>45817</v>
      </c>
      <c r="G1130">
        <v>202603</v>
      </c>
      <c r="H1130" t="s">
        <v>75</v>
      </c>
      <c r="I1130" t="s">
        <v>76</v>
      </c>
      <c r="J1130" t="s">
        <v>77</v>
      </c>
      <c r="K1130" t="s">
        <v>78</v>
      </c>
      <c r="L1130" t="s">
        <v>1416</v>
      </c>
      <c r="M1130" t="s">
        <v>1417</v>
      </c>
      <c r="N1130" t="s">
        <v>1814</v>
      </c>
      <c r="O1130" t="s">
        <v>82</v>
      </c>
      <c r="P1130" t="str">
        <f>"4170042957                    "</f>
        <v xml:space="preserve">4170042957                    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16.32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>
        <v>0</v>
      </c>
      <c r="BF1130">
        <v>0</v>
      </c>
      <c r="BG1130">
        <v>0</v>
      </c>
      <c r="BH1130">
        <v>1</v>
      </c>
      <c r="BI1130">
        <v>1</v>
      </c>
      <c r="BJ1130">
        <v>2</v>
      </c>
      <c r="BK1130">
        <v>2</v>
      </c>
      <c r="BL1130">
        <v>54.28</v>
      </c>
      <c r="BM1130">
        <v>8.14</v>
      </c>
      <c r="BN1130">
        <v>62.42</v>
      </c>
      <c r="BO1130">
        <v>62.42</v>
      </c>
      <c r="BQ1130" t="s">
        <v>1815</v>
      </c>
      <c r="BR1130" t="s">
        <v>84</v>
      </c>
      <c r="BS1130" s="3">
        <v>45818</v>
      </c>
      <c r="BT1130" s="4">
        <v>0.4861111111111111</v>
      </c>
      <c r="BU1130" t="s">
        <v>1816</v>
      </c>
      <c r="BV1130" t="s">
        <v>86</v>
      </c>
      <c r="BY1130">
        <v>9900</v>
      </c>
      <c r="CA1130" t="s">
        <v>743</v>
      </c>
      <c r="CC1130" t="s">
        <v>1417</v>
      </c>
      <c r="CD1130">
        <v>1709</v>
      </c>
      <c r="CE1130" t="s">
        <v>687</v>
      </c>
      <c r="CF1130" s="3">
        <v>45818</v>
      </c>
      <c r="CI1130">
        <v>1</v>
      </c>
      <c r="CJ1130">
        <v>1</v>
      </c>
      <c r="CK1130">
        <v>22</v>
      </c>
      <c r="CL1130" t="s">
        <v>90</v>
      </c>
    </row>
    <row r="1131" spans="1:90" x14ac:dyDescent="0.3">
      <c r="A1131" t="s">
        <v>72</v>
      </c>
      <c r="B1131" t="s">
        <v>73</v>
      </c>
      <c r="C1131" t="s">
        <v>74</v>
      </c>
      <c r="E1131" t="str">
        <f>"080065848824"</f>
        <v>080065848824</v>
      </c>
      <c r="F1131" s="3">
        <v>45817</v>
      </c>
      <c r="G1131">
        <v>202603</v>
      </c>
      <c r="H1131" t="s">
        <v>75</v>
      </c>
      <c r="I1131" t="s">
        <v>76</v>
      </c>
      <c r="J1131" t="s">
        <v>77</v>
      </c>
      <c r="K1131" t="s">
        <v>78</v>
      </c>
      <c r="L1131" t="s">
        <v>75</v>
      </c>
      <c r="M1131" t="s">
        <v>76</v>
      </c>
      <c r="N1131" t="s">
        <v>525</v>
      </c>
      <c r="O1131" t="s">
        <v>82</v>
      </c>
      <c r="P1131" t="str">
        <f>"4170042983                    "</f>
        <v xml:space="preserve">4170042983                    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16.32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0</v>
      </c>
      <c r="BF1131">
        <v>0</v>
      </c>
      <c r="BG1131">
        <v>0</v>
      </c>
      <c r="BH1131">
        <v>1</v>
      </c>
      <c r="BI1131">
        <v>4</v>
      </c>
      <c r="BJ1131">
        <v>0.9</v>
      </c>
      <c r="BK1131">
        <v>4</v>
      </c>
      <c r="BL1131">
        <v>54.28</v>
      </c>
      <c r="BM1131">
        <v>8.14</v>
      </c>
      <c r="BN1131">
        <v>62.42</v>
      </c>
      <c r="BO1131">
        <v>62.42</v>
      </c>
      <c r="BQ1131" t="s">
        <v>526</v>
      </c>
      <c r="BR1131" t="s">
        <v>84</v>
      </c>
      <c r="BS1131" s="3">
        <v>45818</v>
      </c>
      <c r="BT1131" s="4">
        <v>0.33333333333333331</v>
      </c>
      <c r="BU1131" t="s">
        <v>1291</v>
      </c>
      <c r="BV1131" t="s">
        <v>86</v>
      </c>
      <c r="BY1131">
        <v>4680</v>
      </c>
      <c r="CA1131" t="s">
        <v>1022</v>
      </c>
      <c r="CC1131" t="s">
        <v>76</v>
      </c>
      <c r="CD1131">
        <v>1645</v>
      </c>
      <c r="CE1131" t="s">
        <v>687</v>
      </c>
      <c r="CF1131" s="3">
        <v>45818</v>
      </c>
      <c r="CI1131">
        <v>1</v>
      </c>
      <c r="CJ1131">
        <v>1</v>
      </c>
      <c r="CK1131">
        <v>22</v>
      </c>
      <c r="CL1131" t="s">
        <v>90</v>
      </c>
    </row>
    <row r="1132" spans="1:90" x14ac:dyDescent="0.3">
      <c r="A1132" t="s">
        <v>72</v>
      </c>
      <c r="B1132" t="s">
        <v>73</v>
      </c>
      <c r="C1132" t="s">
        <v>74</v>
      </c>
      <c r="E1132" t="str">
        <f>"080065848821"</f>
        <v>080065848821</v>
      </c>
      <c r="F1132" s="3">
        <v>45817</v>
      </c>
      <c r="G1132">
        <v>202603</v>
      </c>
      <c r="H1132" t="s">
        <v>75</v>
      </c>
      <c r="I1132" t="s">
        <v>76</v>
      </c>
      <c r="J1132" t="s">
        <v>77</v>
      </c>
      <c r="K1132" t="s">
        <v>78</v>
      </c>
      <c r="L1132" t="s">
        <v>91</v>
      </c>
      <c r="M1132" t="s">
        <v>92</v>
      </c>
      <c r="N1132" t="s">
        <v>1817</v>
      </c>
      <c r="O1132" t="s">
        <v>82</v>
      </c>
      <c r="P1132" t="str">
        <f>"4170042915                    "</f>
        <v xml:space="preserve">4170042915                    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20.9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0</v>
      </c>
      <c r="BF1132">
        <v>0</v>
      </c>
      <c r="BG1132">
        <v>0</v>
      </c>
      <c r="BH1132">
        <v>1</v>
      </c>
      <c r="BI1132">
        <v>1</v>
      </c>
      <c r="BJ1132">
        <v>0.2</v>
      </c>
      <c r="BK1132">
        <v>1</v>
      </c>
      <c r="BL1132">
        <v>69.5</v>
      </c>
      <c r="BM1132">
        <v>10.43</v>
      </c>
      <c r="BN1132">
        <v>79.930000000000007</v>
      </c>
      <c r="BO1132">
        <v>79.930000000000007</v>
      </c>
      <c r="BQ1132" t="s">
        <v>1818</v>
      </c>
      <c r="BR1132" t="s">
        <v>84</v>
      </c>
      <c r="BS1132" s="3">
        <v>45818</v>
      </c>
      <c r="BT1132" s="4">
        <v>0.42430555555555555</v>
      </c>
      <c r="BU1132" t="s">
        <v>843</v>
      </c>
      <c r="BV1132" t="s">
        <v>86</v>
      </c>
      <c r="BY1132">
        <v>1200</v>
      </c>
      <c r="CA1132" t="s">
        <v>1255</v>
      </c>
      <c r="CC1132" t="s">
        <v>92</v>
      </c>
      <c r="CD1132">
        <v>7800</v>
      </c>
      <c r="CE1132" t="s">
        <v>215</v>
      </c>
      <c r="CF1132" s="3">
        <v>45819</v>
      </c>
      <c r="CI1132">
        <v>1</v>
      </c>
      <c r="CJ1132">
        <v>1</v>
      </c>
      <c r="CK1132">
        <v>21</v>
      </c>
      <c r="CL1132" t="s">
        <v>90</v>
      </c>
    </row>
    <row r="1133" spans="1:90" x14ac:dyDescent="0.3">
      <c r="A1133" t="s">
        <v>72</v>
      </c>
      <c r="B1133" t="s">
        <v>73</v>
      </c>
      <c r="C1133" t="s">
        <v>74</v>
      </c>
      <c r="E1133" t="str">
        <f>"080065848850"</f>
        <v>080065848850</v>
      </c>
      <c r="F1133" s="3">
        <v>45817</v>
      </c>
      <c r="G1133">
        <v>202603</v>
      </c>
      <c r="H1133" t="s">
        <v>75</v>
      </c>
      <c r="I1133" t="s">
        <v>76</v>
      </c>
      <c r="J1133" t="s">
        <v>77</v>
      </c>
      <c r="K1133" t="s">
        <v>78</v>
      </c>
      <c r="L1133" t="s">
        <v>224</v>
      </c>
      <c r="M1133" t="s">
        <v>225</v>
      </c>
      <c r="N1133" t="s">
        <v>1442</v>
      </c>
      <c r="O1133" t="s">
        <v>82</v>
      </c>
      <c r="P1133" t="str">
        <f>"4170042934                    "</f>
        <v xml:space="preserve">4170042934                    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40.49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0</v>
      </c>
      <c r="BF1133">
        <v>0</v>
      </c>
      <c r="BG1133">
        <v>0</v>
      </c>
      <c r="BH1133">
        <v>1</v>
      </c>
      <c r="BI1133">
        <v>1</v>
      </c>
      <c r="BJ1133">
        <v>0.2</v>
      </c>
      <c r="BK1133">
        <v>1</v>
      </c>
      <c r="BL1133">
        <v>134.65</v>
      </c>
      <c r="BM1133">
        <v>20.2</v>
      </c>
      <c r="BN1133">
        <v>154.85</v>
      </c>
      <c r="BO1133">
        <v>154.85</v>
      </c>
      <c r="BQ1133" t="s">
        <v>1443</v>
      </c>
      <c r="BR1133" t="s">
        <v>84</v>
      </c>
      <c r="BS1133" s="3">
        <v>45818</v>
      </c>
      <c r="BT1133" s="4">
        <v>0.38333333333333336</v>
      </c>
      <c r="BU1133" t="s">
        <v>1660</v>
      </c>
      <c r="BV1133" t="s">
        <v>86</v>
      </c>
      <c r="BY1133">
        <v>1200</v>
      </c>
      <c r="CA1133" t="s">
        <v>229</v>
      </c>
      <c r="CC1133" t="s">
        <v>225</v>
      </c>
      <c r="CD1133">
        <v>6300</v>
      </c>
      <c r="CE1133" t="s">
        <v>215</v>
      </c>
      <c r="CF1133" s="3">
        <v>45818</v>
      </c>
      <c r="CI1133">
        <v>2</v>
      </c>
      <c r="CJ1133">
        <v>1</v>
      </c>
      <c r="CK1133">
        <v>23</v>
      </c>
      <c r="CL1133" t="s">
        <v>90</v>
      </c>
    </row>
    <row r="1134" spans="1:90" x14ac:dyDescent="0.3">
      <c r="A1134" t="s">
        <v>72</v>
      </c>
      <c r="B1134" t="s">
        <v>73</v>
      </c>
      <c r="C1134" t="s">
        <v>74</v>
      </c>
      <c r="E1134" t="str">
        <f>"080065848857"</f>
        <v>080065848857</v>
      </c>
      <c r="F1134" s="3">
        <v>45817</v>
      </c>
      <c r="G1134">
        <v>202603</v>
      </c>
      <c r="H1134" t="s">
        <v>75</v>
      </c>
      <c r="I1134" t="s">
        <v>76</v>
      </c>
      <c r="J1134" t="s">
        <v>77</v>
      </c>
      <c r="K1134" t="s">
        <v>78</v>
      </c>
      <c r="L1134" t="s">
        <v>91</v>
      </c>
      <c r="M1134" t="s">
        <v>92</v>
      </c>
      <c r="N1134" t="s">
        <v>540</v>
      </c>
      <c r="O1134" t="s">
        <v>82</v>
      </c>
      <c r="P1134" t="str">
        <f>"4170042905                    "</f>
        <v xml:space="preserve">4170042905                    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20.9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0</v>
      </c>
      <c r="BF1134">
        <v>0</v>
      </c>
      <c r="BG1134">
        <v>0</v>
      </c>
      <c r="BH1134">
        <v>1</v>
      </c>
      <c r="BI1134">
        <v>1</v>
      </c>
      <c r="BJ1134">
        <v>0.2</v>
      </c>
      <c r="BK1134">
        <v>1</v>
      </c>
      <c r="BL1134">
        <v>69.5</v>
      </c>
      <c r="BM1134">
        <v>10.43</v>
      </c>
      <c r="BN1134">
        <v>79.930000000000007</v>
      </c>
      <c r="BO1134">
        <v>79.930000000000007</v>
      </c>
      <c r="BQ1134" t="s">
        <v>541</v>
      </c>
      <c r="BR1134" t="s">
        <v>84</v>
      </c>
      <c r="BS1134" s="3">
        <v>45818</v>
      </c>
      <c r="BT1134" s="4">
        <v>0.40625</v>
      </c>
      <c r="BU1134" t="s">
        <v>1725</v>
      </c>
      <c r="BV1134" t="s">
        <v>86</v>
      </c>
      <c r="BY1134">
        <v>1200</v>
      </c>
      <c r="CA1134" t="s">
        <v>291</v>
      </c>
      <c r="CC1134" t="s">
        <v>92</v>
      </c>
      <c r="CD1134">
        <v>7441</v>
      </c>
      <c r="CE1134" t="s">
        <v>215</v>
      </c>
      <c r="CF1134" s="3">
        <v>45819</v>
      </c>
      <c r="CI1134">
        <v>1</v>
      </c>
      <c r="CJ1134">
        <v>1</v>
      </c>
      <c r="CK1134">
        <v>21</v>
      </c>
      <c r="CL1134" t="s">
        <v>90</v>
      </c>
    </row>
    <row r="1135" spans="1:90" x14ac:dyDescent="0.3">
      <c r="A1135" t="s">
        <v>72</v>
      </c>
      <c r="B1135" t="s">
        <v>73</v>
      </c>
      <c r="C1135" t="s">
        <v>74</v>
      </c>
      <c r="E1135" t="str">
        <f>"080065848871"</f>
        <v>080065848871</v>
      </c>
      <c r="F1135" s="3">
        <v>45817</v>
      </c>
      <c r="G1135">
        <v>202603</v>
      </c>
      <c r="H1135" t="s">
        <v>75</v>
      </c>
      <c r="I1135" t="s">
        <v>76</v>
      </c>
      <c r="J1135" t="s">
        <v>77</v>
      </c>
      <c r="K1135" t="s">
        <v>78</v>
      </c>
      <c r="L1135" t="s">
        <v>91</v>
      </c>
      <c r="M1135" t="s">
        <v>92</v>
      </c>
      <c r="N1135" t="s">
        <v>327</v>
      </c>
      <c r="O1135" t="s">
        <v>82</v>
      </c>
      <c r="P1135" t="str">
        <f>"4170042932                    "</f>
        <v xml:space="preserve">4170042932                    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20.9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0</v>
      </c>
      <c r="BF1135">
        <v>0</v>
      </c>
      <c r="BG1135">
        <v>0</v>
      </c>
      <c r="BH1135">
        <v>1</v>
      </c>
      <c r="BI1135">
        <v>1</v>
      </c>
      <c r="BJ1135">
        <v>0.2</v>
      </c>
      <c r="BK1135">
        <v>1</v>
      </c>
      <c r="BL1135">
        <v>69.5</v>
      </c>
      <c r="BM1135">
        <v>10.43</v>
      </c>
      <c r="BN1135">
        <v>79.930000000000007</v>
      </c>
      <c r="BO1135">
        <v>79.930000000000007</v>
      </c>
      <c r="BQ1135" t="s">
        <v>328</v>
      </c>
      <c r="BR1135" t="s">
        <v>84</v>
      </c>
      <c r="BS1135" s="3">
        <v>45818</v>
      </c>
      <c r="BT1135" s="4">
        <v>0.3263888888888889</v>
      </c>
      <c r="BU1135" t="s">
        <v>1035</v>
      </c>
      <c r="BV1135" t="s">
        <v>86</v>
      </c>
      <c r="BY1135">
        <v>1200</v>
      </c>
      <c r="CA1135" t="s">
        <v>330</v>
      </c>
      <c r="CC1135" t="s">
        <v>92</v>
      </c>
      <c r="CD1135">
        <v>7530</v>
      </c>
      <c r="CE1135" t="s">
        <v>215</v>
      </c>
      <c r="CF1135" s="3">
        <v>45819</v>
      </c>
      <c r="CI1135">
        <v>1</v>
      </c>
      <c r="CJ1135">
        <v>1</v>
      </c>
      <c r="CK1135">
        <v>21</v>
      </c>
      <c r="CL1135" t="s">
        <v>90</v>
      </c>
    </row>
    <row r="1136" spans="1:90" x14ac:dyDescent="0.3">
      <c r="A1136" t="s">
        <v>72</v>
      </c>
      <c r="B1136" t="s">
        <v>73</v>
      </c>
      <c r="C1136" t="s">
        <v>74</v>
      </c>
      <c r="E1136" t="str">
        <f>"080065848879"</f>
        <v>080065848879</v>
      </c>
      <c r="F1136" s="3">
        <v>45817</v>
      </c>
      <c r="G1136">
        <v>202603</v>
      </c>
      <c r="H1136" t="s">
        <v>75</v>
      </c>
      <c r="I1136" t="s">
        <v>76</v>
      </c>
      <c r="J1136" t="s">
        <v>77</v>
      </c>
      <c r="K1136" t="s">
        <v>78</v>
      </c>
      <c r="L1136" t="s">
        <v>75</v>
      </c>
      <c r="M1136" t="s">
        <v>76</v>
      </c>
      <c r="N1136" t="s">
        <v>525</v>
      </c>
      <c r="O1136" t="s">
        <v>82</v>
      </c>
      <c r="P1136" t="str">
        <f>"4170042962                    "</f>
        <v xml:space="preserve">4170042962                    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16.32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>
        <v>0</v>
      </c>
      <c r="BF1136">
        <v>0</v>
      </c>
      <c r="BG1136">
        <v>0</v>
      </c>
      <c r="BH1136">
        <v>1</v>
      </c>
      <c r="BI1136">
        <v>4</v>
      </c>
      <c r="BJ1136">
        <v>2</v>
      </c>
      <c r="BK1136">
        <v>4</v>
      </c>
      <c r="BL1136">
        <v>54.28</v>
      </c>
      <c r="BM1136">
        <v>8.14</v>
      </c>
      <c r="BN1136">
        <v>62.42</v>
      </c>
      <c r="BO1136">
        <v>62.42</v>
      </c>
      <c r="BQ1136" t="s">
        <v>526</v>
      </c>
      <c r="BR1136" t="s">
        <v>84</v>
      </c>
      <c r="BS1136" s="3">
        <v>45818</v>
      </c>
      <c r="BT1136" s="4">
        <v>0.33333333333333331</v>
      </c>
      <c r="BU1136" t="s">
        <v>1291</v>
      </c>
      <c r="BV1136" t="s">
        <v>86</v>
      </c>
      <c r="BY1136">
        <v>9900</v>
      </c>
      <c r="CA1136" t="s">
        <v>1022</v>
      </c>
      <c r="CC1136" t="s">
        <v>76</v>
      </c>
      <c r="CD1136">
        <v>1645</v>
      </c>
      <c r="CE1136" t="s">
        <v>687</v>
      </c>
      <c r="CF1136" s="3">
        <v>45818</v>
      </c>
      <c r="CI1136">
        <v>1</v>
      </c>
      <c r="CJ1136">
        <v>1</v>
      </c>
      <c r="CK1136">
        <v>22</v>
      </c>
      <c r="CL1136" t="s">
        <v>90</v>
      </c>
    </row>
    <row r="1137" spans="1:90" x14ac:dyDescent="0.3">
      <c r="A1137" t="s">
        <v>72</v>
      </c>
      <c r="B1137" t="s">
        <v>73</v>
      </c>
      <c r="C1137" t="s">
        <v>74</v>
      </c>
      <c r="E1137" t="str">
        <f>"080065848884"</f>
        <v>080065848884</v>
      </c>
      <c r="F1137" s="3">
        <v>45817</v>
      </c>
      <c r="G1137">
        <v>202603</v>
      </c>
      <c r="H1137" t="s">
        <v>75</v>
      </c>
      <c r="I1137" t="s">
        <v>76</v>
      </c>
      <c r="J1137" t="s">
        <v>77</v>
      </c>
      <c r="K1137" t="s">
        <v>78</v>
      </c>
      <c r="L1137" t="s">
        <v>106</v>
      </c>
      <c r="M1137" t="s">
        <v>107</v>
      </c>
      <c r="N1137" t="s">
        <v>744</v>
      </c>
      <c r="O1137" t="s">
        <v>82</v>
      </c>
      <c r="P1137" t="str">
        <f>"4170042908                    "</f>
        <v xml:space="preserve">4170042908                    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20.9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0</v>
      </c>
      <c r="BF1137">
        <v>0</v>
      </c>
      <c r="BG1137">
        <v>0</v>
      </c>
      <c r="BH1137">
        <v>1</v>
      </c>
      <c r="BI1137">
        <v>1</v>
      </c>
      <c r="BJ1137">
        <v>0.2</v>
      </c>
      <c r="BK1137">
        <v>1</v>
      </c>
      <c r="BL1137">
        <v>69.5</v>
      </c>
      <c r="BM1137">
        <v>10.43</v>
      </c>
      <c r="BN1137">
        <v>79.930000000000007</v>
      </c>
      <c r="BO1137">
        <v>79.930000000000007</v>
      </c>
      <c r="BQ1137" t="s">
        <v>745</v>
      </c>
      <c r="BR1137" t="s">
        <v>84</v>
      </c>
      <c r="BS1137" s="3">
        <v>45818</v>
      </c>
      <c r="BT1137" s="4">
        <v>0.41944444444444445</v>
      </c>
      <c r="BU1137" t="s">
        <v>1819</v>
      </c>
      <c r="BV1137" t="s">
        <v>86</v>
      </c>
      <c r="BY1137">
        <v>1200</v>
      </c>
      <c r="CA1137" t="s">
        <v>747</v>
      </c>
      <c r="CC1137" t="s">
        <v>107</v>
      </c>
      <c r="CD1137">
        <v>117</v>
      </c>
      <c r="CE1137" t="s">
        <v>215</v>
      </c>
      <c r="CF1137" s="3">
        <v>45818</v>
      </c>
      <c r="CI1137">
        <v>1</v>
      </c>
      <c r="CJ1137">
        <v>1</v>
      </c>
      <c r="CK1137">
        <v>21</v>
      </c>
      <c r="CL1137" t="s">
        <v>90</v>
      </c>
    </row>
    <row r="1138" spans="1:90" x14ac:dyDescent="0.3">
      <c r="A1138" t="s">
        <v>72</v>
      </c>
      <c r="B1138" t="s">
        <v>73</v>
      </c>
      <c r="C1138" t="s">
        <v>74</v>
      </c>
      <c r="E1138" t="str">
        <f>"080065848902"</f>
        <v>080065848902</v>
      </c>
      <c r="F1138" s="3">
        <v>45817</v>
      </c>
      <c r="G1138">
        <v>202603</v>
      </c>
      <c r="H1138" t="s">
        <v>75</v>
      </c>
      <c r="I1138" t="s">
        <v>76</v>
      </c>
      <c r="J1138" t="s">
        <v>77</v>
      </c>
      <c r="K1138" t="s">
        <v>78</v>
      </c>
      <c r="L1138" t="s">
        <v>116</v>
      </c>
      <c r="M1138" t="s">
        <v>117</v>
      </c>
      <c r="N1138" t="s">
        <v>936</v>
      </c>
      <c r="O1138" t="s">
        <v>82</v>
      </c>
      <c r="P1138" t="str">
        <f>"4170042991                    "</f>
        <v xml:space="preserve">4170042991                    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20.9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0</v>
      </c>
      <c r="BF1138">
        <v>0</v>
      </c>
      <c r="BG1138">
        <v>0</v>
      </c>
      <c r="BH1138">
        <v>1</v>
      </c>
      <c r="BI1138">
        <v>1</v>
      </c>
      <c r="BJ1138">
        <v>0.2</v>
      </c>
      <c r="BK1138">
        <v>1</v>
      </c>
      <c r="BL1138">
        <v>69.5</v>
      </c>
      <c r="BM1138">
        <v>10.43</v>
      </c>
      <c r="BN1138">
        <v>79.930000000000007</v>
      </c>
      <c r="BO1138">
        <v>79.930000000000007</v>
      </c>
      <c r="BQ1138" t="s">
        <v>937</v>
      </c>
      <c r="BR1138" t="s">
        <v>84</v>
      </c>
      <c r="BS1138" s="3">
        <v>45818</v>
      </c>
      <c r="BT1138" s="4">
        <v>0.39791666666666664</v>
      </c>
      <c r="BU1138" t="s">
        <v>1108</v>
      </c>
      <c r="BV1138" t="s">
        <v>86</v>
      </c>
      <c r="BY1138">
        <v>1200</v>
      </c>
      <c r="CA1138" t="s">
        <v>939</v>
      </c>
      <c r="CC1138" t="s">
        <v>117</v>
      </c>
      <c r="CD1138">
        <v>3201</v>
      </c>
      <c r="CE1138" t="s">
        <v>215</v>
      </c>
      <c r="CF1138" s="3">
        <v>45819</v>
      </c>
      <c r="CI1138">
        <v>1</v>
      </c>
      <c r="CJ1138">
        <v>1</v>
      </c>
      <c r="CK1138">
        <v>21</v>
      </c>
      <c r="CL1138" t="s">
        <v>90</v>
      </c>
    </row>
    <row r="1139" spans="1:90" x14ac:dyDescent="0.3">
      <c r="A1139" t="s">
        <v>72</v>
      </c>
      <c r="B1139" t="s">
        <v>73</v>
      </c>
      <c r="C1139" t="s">
        <v>74</v>
      </c>
      <c r="E1139" t="str">
        <f>"080065848919"</f>
        <v>080065848919</v>
      </c>
      <c r="F1139" s="3">
        <v>45817</v>
      </c>
      <c r="G1139">
        <v>202603</v>
      </c>
      <c r="H1139" t="s">
        <v>75</v>
      </c>
      <c r="I1139" t="s">
        <v>76</v>
      </c>
      <c r="J1139" t="s">
        <v>77</v>
      </c>
      <c r="K1139" t="s">
        <v>78</v>
      </c>
      <c r="L1139" t="s">
        <v>106</v>
      </c>
      <c r="M1139" t="s">
        <v>107</v>
      </c>
      <c r="N1139" t="s">
        <v>972</v>
      </c>
      <c r="O1139" t="s">
        <v>94</v>
      </c>
      <c r="P1139" t="str">
        <f>"4170042911                    "</f>
        <v xml:space="preserve">4170042911                    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40.409999999999997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1</v>
      </c>
      <c r="BI1139">
        <v>9</v>
      </c>
      <c r="BJ1139">
        <v>4.0999999999999996</v>
      </c>
      <c r="BK1139">
        <v>9</v>
      </c>
      <c r="BL1139">
        <v>139.96</v>
      </c>
      <c r="BM1139">
        <v>20.99</v>
      </c>
      <c r="BN1139">
        <v>160.94999999999999</v>
      </c>
      <c r="BO1139">
        <v>160.94999999999999</v>
      </c>
      <c r="BQ1139" t="s">
        <v>973</v>
      </c>
      <c r="BR1139" t="s">
        <v>84</v>
      </c>
      <c r="BS1139" s="3">
        <v>45818</v>
      </c>
      <c r="BT1139" s="4">
        <v>0.35347222222222224</v>
      </c>
      <c r="BU1139" t="s">
        <v>1820</v>
      </c>
      <c r="BV1139" t="s">
        <v>86</v>
      </c>
      <c r="BY1139">
        <v>20358</v>
      </c>
      <c r="CA1139" t="s">
        <v>111</v>
      </c>
      <c r="CC1139" t="s">
        <v>107</v>
      </c>
      <c r="CD1139">
        <v>83</v>
      </c>
      <c r="CE1139" t="s">
        <v>687</v>
      </c>
      <c r="CF1139" s="3">
        <v>45819</v>
      </c>
      <c r="CI1139">
        <v>1</v>
      </c>
      <c r="CJ1139">
        <v>1</v>
      </c>
      <c r="CK1139">
        <v>41</v>
      </c>
      <c r="CL1139" t="s">
        <v>90</v>
      </c>
    </row>
    <row r="1140" spans="1:90" x14ac:dyDescent="0.3">
      <c r="A1140" t="s">
        <v>72</v>
      </c>
      <c r="B1140" t="s">
        <v>73</v>
      </c>
      <c r="C1140" t="s">
        <v>74</v>
      </c>
      <c r="E1140" t="str">
        <f>"080065848937"</f>
        <v>080065848937</v>
      </c>
      <c r="F1140" s="3">
        <v>45817</v>
      </c>
      <c r="G1140">
        <v>202603</v>
      </c>
      <c r="H1140" t="s">
        <v>75</v>
      </c>
      <c r="I1140" t="s">
        <v>76</v>
      </c>
      <c r="J1140" t="s">
        <v>77</v>
      </c>
      <c r="K1140" t="s">
        <v>78</v>
      </c>
      <c r="L1140" t="s">
        <v>75</v>
      </c>
      <c r="M1140" t="s">
        <v>76</v>
      </c>
      <c r="N1140" t="s">
        <v>656</v>
      </c>
      <c r="O1140" t="s">
        <v>82</v>
      </c>
      <c r="P1140" t="str">
        <f>"4170042985                    "</f>
        <v xml:space="preserve">4170042985                    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16.32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0</v>
      </c>
      <c r="BF1140">
        <v>0</v>
      </c>
      <c r="BG1140">
        <v>0</v>
      </c>
      <c r="BH1140">
        <v>1</v>
      </c>
      <c r="BI1140">
        <v>1</v>
      </c>
      <c r="BJ1140">
        <v>0.2</v>
      </c>
      <c r="BK1140">
        <v>1</v>
      </c>
      <c r="BL1140">
        <v>54.28</v>
      </c>
      <c r="BM1140">
        <v>8.14</v>
      </c>
      <c r="BN1140">
        <v>62.42</v>
      </c>
      <c r="BO1140">
        <v>62.42</v>
      </c>
      <c r="BQ1140" t="s">
        <v>657</v>
      </c>
      <c r="BR1140" t="s">
        <v>84</v>
      </c>
      <c r="BS1140" s="3">
        <v>45818</v>
      </c>
      <c r="BT1140" s="4">
        <v>0.34166666666666667</v>
      </c>
      <c r="BU1140" t="s">
        <v>770</v>
      </c>
      <c r="BV1140" t="s">
        <v>86</v>
      </c>
      <c r="BY1140">
        <v>1200</v>
      </c>
      <c r="CA1140" t="s">
        <v>1087</v>
      </c>
      <c r="CC1140" t="s">
        <v>76</v>
      </c>
      <c r="CD1140">
        <v>1619</v>
      </c>
      <c r="CE1140" t="s">
        <v>215</v>
      </c>
      <c r="CF1140" s="3">
        <v>45818</v>
      </c>
      <c r="CI1140">
        <v>1</v>
      </c>
      <c r="CJ1140">
        <v>1</v>
      </c>
      <c r="CK1140">
        <v>22</v>
      </c>
      <c r="CL1140" t="s">
        <v>90</v>
      </c>
    </row>
    <row r="1141" spans="1:90" x14ac:dyDescent="0.3">
      <c r="A1141" t="s">
        <v>72</v>
      </c>
      <c r="B1141" t="s">
        <v>73</v>
      </c>
      <c r="C1141" t="s">
        <v>74</v>
      </c>
      <c r="E1141" t="str">
        <f>"080065848973"</f>
        <v>080065848973</v>
      </c>
      <c r="F1141" s="3">
        <v>45817</v>
      </c>
      <c r="G1141">
        <v>202603</v>
      </c>
      <c r="H1141" t="s">
        <v>75</v>
      </c>
      <c r="I1141" t="s">
        <v>76</v>
      </c>
      <c r="J1141" t="s">
        <v>77</v>
      </c>
      <c r="K1141" t="s">
        <v>78</v>
      </c>
      <c r="L1141" t="s">
        <v>174</v>
      </c>
      <c r="M1141" t="s">
        <v>175</v>
      </c>
      <c r="N1141" t="s">
        <v>337</v>
      </c>
      <c r="O1141" t="s">
        <v>82</v>
      </c>
      <c r="P1141" t="str">
        <f>"4170043018                    "</f>
        <v xml:space="preserve">4170043018                    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20.9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1</v>
      </c>
      <c r="BI1141">
        <v>1</v>
      </c>
      <c r="BJ1141">
        <v>0.2</v>
      </c>
      <c r="BK1141">
        <v>1</v>
      </c>
      <c r="BL1141">
        <v>69.5</v>
      </c>
      <c r="BM1141">
        <v>10.43</v>
      </c>
      <c r="BN1141">
        <v>79.930000000000007</v>
      </c>
      <c r="BO1141">
        <v>79.930000000000007</v>
      </c>
      <c r="BQ1141" t="s">
        <v>338</v>
      </c>
      <c r="BR1141" t="s">
        <v>84</v>
      </c>
      <c r="BS1141" s="3">
        <v>45818</v>
      </c>
      <c r="BT1141" s="4">
        <v>0.36249999999999999</v>
      </c>
      <c r="BU1141" t="s">
        <v>961</v>
      </c>
      <c r="BV1141" t="s">
        <v>86</v>
      </c>
      <c r="BY1141">
        <v>1200</v>
      </c>
      <c r="CA1141" t="s">
        <v>596</v>
      </c>
      <c r="CC1141" t="s">
        <v>175</v>
      </c>
      <c r="CD1141">
        <v>3608</v>
      </c>
      <c r="CE1141" t="s">
        <v>215</v>
      </c>
      <c r="CF1141" s="3">
        <v>45819</v>
      </c>
      <c r="CI1141">
        <v>1</v>
      </c>
      <c r="CJ1141">
        <v>1</v>
      </c>
      <c r="CK1141">
        <v>21</v>
      </c>
      <c r="CL1141" t="s">
        <v>90</v>
      </c>
    </row>
    <row r="1142" spans="1:90" x14ac:dyDescent="0.3">
      <c r="A1142" t="s">
        <v>72</v>
      </c>
      <c r="B1142" t="s">
        <v>73</v>
      </c>
      <c r="C1142" t="s">
        <v>74</v>
      </c>
      <c r="E1142" t="str">
        <f>"080065848970"</f>
        <v>080065848970</v>
      </c>
      <c r="F1142" s="3">
        <v>45817</v>
      </c>
      <c r="G1142">
        <v>202603</v>
      </c>
      <c r="H1142" t="s">
        <v>75</v>
      </c>
      <c r="I1142" t="s">
        <v>76</v>
      </c>
      <c r="J1142" t="s">
        <v>77</v>
      </c>
      <c r="K1142" t="s">
        <v>78</v>
      </c>
      <c r="L1142" t="s">
        <v>159</v>
      </c>
      <c r="M1142" t="s">
        <v>160</v>
      </c>
      <c r="N1142" t="s">
        <v>409</v>
      </c>
      <c r="O1142" t="s">
        <v>82</v>
      </c>
      <c r="P1142" t="str">
        <f>"4170042798                    "</f>
        <v xml:space="preserve">4170042798                    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16.32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1</v>
      </c>
      <c r="BI1142">
        <v>1</v>
      </c>
      <c r="BJ1142">
        <v>1</v>
      </c>
      <c r="BK1142">
        <v>1</v>
      </c>
      <c r="BL1142">
        <v>54.28</v>
      </c>
      <c r="BM1142">
        <v>8.14</v>
      </c>
      <c r="BN1142">
        <v>62.42</v>
      </c>
      <c r="BO1142">
        <v>62.42</v>
      </c>
      <c r="BQ1142" t="s">
        <v>410</v>
      </c>
      <c r="BR1142" t="s">
        <v>84</v>
      </c>
      <c r="BS1142" s="3">
        <v>45818</v>
      </c>
      <c r="BT1142" s="4">
        <v>0.36458333333333331</v>
      </c>
      <c r="BU1142" t="s">
        <v>967</v>
      </c>
      <c r="BV1142" t="s">
        <v>86</v>
      </c>
      <c r="BY1142">
        <v>4900</v>
      </c>
      <c r="CA1142" t="s">
        <v>444</v>
      </c>
      <c r="CC1142" t="s">
        <v>160</v>
      </c>
      <c r="CD1142">
        <v>2091</v>
      </c>
      <c r="CE1142" t="s">
        <v>166</v>
      </c>
      <c r="CF1142" s="3">
        <v>45818</v>
      </c>
      <c r="CI1142">
        <v>1</v>
      </c>
      <c r="CJ1142">
        <v>1</v>
      </c>
      <c r="CK1142">
        <v>22</v>
      </c>
      <c r="CL1142" t="s">
        <v>90</v>
      </c>
    </row>
    <row r="1143" spans="1:90" x14ac:dyDescent="0.3">
      <c r="A1143" t="s">
        <v>72</v>
      </c>
      <c r="B1143" t="s">
        <v>73</v>
      </c>
      <c r="C1143" t="s">
        <v>74</v>
      </c>
      <c r="E1143" t="str">
        <f>"080065849021"</f>
        <v>080065849021</v>
      </c>
      <c r="F1143" s="3">
        <v>45817</v>
      </c>
      <c r="G1143">
        <v>202603</v>
      </c>
      <c r="H1143" t="s">
        <v>75</v>
      </c>
      <c r="I1143" t="s">
        <v>76</v>
      </c>
      <c r="J1143" t="s">
        <v>77</v>
      </c>
      <c r="K1143" t="s">
        <v>78</v>
      </c>
      <c r="L1143" t="s">
        <v>91</v>
      </c>
      <c r="M1143" t="s">
        <v>92</v>
      </c>
      <c r="N1143" t="s">
        <v>1093</v>
      </c>
      <c r="O1143" t="s">
        <v>82</v>
      </c>
      <c r="P1143" t="str">
        <f>"4170043103                    "</f>
        <v xml:space="preserve">4170043103                    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20.9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1</v>
      </c>
      <c r="BI1143">
        <v>1</v>
      </c>
      <c r="BJ1143">
        <v>0.2</v>
      </c>
      <c r="BK1143">
        <v>1</v>
      </c>
      <c r="BL1143">
        <v>69.5</v>
      </c>
      <c r="BM1143">
        <v>10.43</v>
      </c>
      <c r="BN1143">
        <v>79.930000000000007</v>
      </c>
      <c r="BO1143">
        <v>79.930000000000007</v>
      </c>
      <c r="BQ1143" t="s">
        <v>1094</v>
      </c>
      <c r="BR1143" t="s">
        <v>84</v>
      </c>
      <c r="BS1143" s="3">
        <v>45818</v>
      </c>
      <c r="BT1143" s="4">
        <v>0.37777777777777777</v>
      </c>
      <c r="BU1143" t="s">
        <v>1821</v>
      </c>
      <c r="BV1143" t="s">
        <v>86</v>
      </c>
      <c r="BY1143">
        <v>1200</v>
      </c>
      <c r="CA1143" t="s">
        <v>955</v>
      </c>
      <c r="CC1143" t="s">
        <v>92</v>
      </c>
      <c r="CD1143">
        <v>7945</v>
      </c>
      <c r="CE1143" t="s">
        <v>215</v>
      </c>
      <c r="CF1143" s="3">
        <v>45819</v>
      </c>
      <c r="CI1143">
        <v>1</v>
      </c>
      <c r="CJ1143">
        <v>1</v>
      </c>
      <c r="CK1143">
        <v>21</v>
      </c>
      <c r="CL1143" t="s">
        <v>90</v>
      </c>
    </row>
    <row r="1144" spans="1:90" x14ac:dyDescent="0.3">
      <c r="A1144" t="s">
        <v>72</v>
      </c>
      <c r="B1144" t="s">
        <v>73</v>
      </c>
      <c r="C1144" t="s">
        <v>74</v>
      </c>
      <c r="E1144" t="str">
        <f>"080065849024"</f>
        <v>080065849024</v>
      </c>
      <c r="F1144" s="3">
        <v>45817</v>
      </c>
      <c r="G1144">
        <v>202603</v>
      </c>
      <c r="H1144" t="s">
        <v>75</v>
      </c>
      <c r="I1144" t="s">
        <v>76</v>
      </c>
      <c r="J1144" t="s">
        <v>77</v>
      </c>
      <c r="K1144" t="s">
        <v>78</v>
      </c>
      <c r="L1144" t="s">
        <v>91</v>
      </c>
      <c r="M1144" t="s">
        <v>92</v>
      </c>
      <c r="N1144" t="s">
        <v>93</v>
      </c>
      <c r="O1144" t="s">
        <v>82</v>
      </c>
      <c r="P1144" t="str">
        <f>"4170042388                    "</f>
        <v xml:space="preserve">4170042388                    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114.86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0</v>
      </c>
      <c r="BF1144">
        <v>0</v>
      </c>
      <c r="BG1144">
        <v>0</v>
      </c>
      <c r="BH1144">
        <v>1</v>
      </c>
      <c r="BI1144">
        <v>7</v>
      </c>
      <c r="BJ1144">
        <v>10.9</v>
      </c>
      <c r="BK1144">
        <v>11</v>
      </c>
      <c r="BL1144">
        <v>381.98</v>
      </c>
      <c r="BM1144">
        <v>57.3</v>
      </c>
      <c r="BN1144">
        <v>439.28</v>
      </c>
      <c r="BO1144">
        <v>439.28</v>
      </c>
      <c r="BQ1144" t="s">
        <v>95</v>
      </c>
      <c r="BR1144" t="s">
        <v>84</v>
      </c>
      <c r="BS1144" s="3">
        <v>45818</v>
      </c>
      <c r="BT1144" s="4">
        <v>0.37152777777777779</v>
      </c>
      <c r="BU1144" t="s">
        <v>580</v>
      </c>
      <c r="BV1144" t="s">
        <v>86</v>
      </c>
      <c r="BY1144">
        <v>54432</v>
      </c>
      <c r="CA1144" t="s">
        <v>543</v>
      </c>
      <c r="CC1144" t="s">
        <v>92</v>
      </c>
      <c r="CD1144">
        <v>7441</v>
      </c>
      <c r="CE1144" t="s">
        <v>687</v>
      </c>
      <c r="CF1144" s="3">
        <v>45819</v>
      </c>
      <c r="CI1144">
        <v>1</v>
      </c>
      <c r="CJ1144">
        <v>1</v>
      </c>
      <c r="CK1144">
        <v>21</v>
      </c>
      <c r="CL1144" t="s">
        <v>90</v>
      </c>
    </row>
    <row r="1145" spans="1:90" x14ac:dyDescent="0.3">
      <c r="A1145" t="s">
        <v>72</v>
      </c>
      <c r="B1145" t="s">
        <v>73</v>
      </c>
      <c r="C1145" t="s">
        <v>74</v>
      </c>
      <c r="E1145" t="str">
        <f>"080065849064"</f>
        <v>080065849064</v>
      </c>
      <c r="F1145" s="3">
        <v>45817</v>
      </c>
      <c r="G1145">
        <v>202603</v>
      </c>
      <c r="H1145" t="s">
        <v>75</v>
      </c>
      <c r="I1145" t="s">
        <v>76</v>
      </c>
      <c r="J1145" t="s">
        <v>77</v>
      </c>
      <c r="K1145" t="s">
        <v>78</v>
      </c>
      <c r="L1145" t="s">
        <v>1097</v>
      </c>
      <c r="M1145" t="s">
        <v>1098</v>
      </c>
      <c r="N1145" t="s">
        <v>236</v>
      </c>
      <c r="O1145" t="s">
        <v>82</v>
      </c>
      <c r="P1145" t="str">
        <f>"4170043015                    "</f>
        <v xml:space="preserve">4170043015                    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16.32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0</v>
      </c>
      <c r="BF1145">
        <v>0</v>
      </c>
      <c r="BG1145">
        <v>0</v>
      </c>
      <c r="BH1145">
        <v>1</v>
      </c>
      <c r="BI1145">
        <v>1</v>
      </c>
      <c r="BJ1145">
        <v>0.2</v>
      </c>
      <c r="BK1145">
        <v>1</v>
      </c>
      <c r="BL1145">
        <v>54.28</v>
      </c>
      <c r="BM1145">
        <v>8.14</v>
      </c>
      <c r="BN1145">
        <v>62.42</v>
      </c>
      <c r="BO1145">
        <v>62.42</v>
      </c>
      <c r="BQ1145" t="s">
        <v>237</v>
      </c>
      <c r="BR1145" t="s">
        <v>84</v>
      </c>
      <c r="BS1145" s="3">
        <v>45818</v>
      </c>
      <c r="BT1145" s="4">
        <v>0.36944444444444446</v>
      </c>
      <c r="BU1145" t="s">
        <v>1822</v>
      </c>
      <c r="BV1145" t="s">
        <v>86</v>
      </c>
      <c r="BY1145">
        <v>1200</v>
      </c>
      <c r="CA1145" t="s">
        <v>1102</v>
      </c>
      <c r="CC1145" t="s">
        <v>1098</v>
      </c>
      <c r="CD1145">
        <v>1451</v>
      </c>
      <c r="CE1145" t="s">
        <v>1823</v>
      </c>
      <c r="CF1145" s="3">
        <v>45818</v>
      </c>
      <c r="CI1145">
        <v>1</v>
      </c>
      <c r="CJ1145">
        <v>1</v>
      </c>
      <c r="CK1145">
        <v>22</v>
      </c>
      <c r="CL1145" t="s">
        <v>90</v>
      </c>
    </row>
    <row r="1146" spans="1:90" x14ac:dyDescent="0.3">
      <c r="A1146" t="s">
        <v>72</v>
      </c>
      <c r="B1146" t="s">
        <v>73</v>
      </c>
      <c r="C1146" t="s">
        <v>74</v>
      </c>
      <c r="E1146" t="str">
        <f>"080065849067"</f>
        <v>080065849067</v>
      </c>
      <c r="F1146" s="3">
        <v>45817</v>
      </c>
      <c r="G1146">
        <v>202603</v>
      </c>
      <c r="H1146" t="s">
        <v>75</v>
      </c>
      <c r="I1146" t="s">
        <v>76</v>
      </c>
      <c r="J1146" t="s">
        <v>77</v>
      </c>
      <c r="K1146" t="s">
        <v>78</v>
      </c>
      <c r="L1146" t="s">
        <v>628</v>
      </c>
      <c r="M1146" t="s">
        <v>629</v>
      </c>
      <c r="N1146" t="s">
        <v>630</v>
      </c>
      <c r="O1146" t="s">
        <v>82</v>
      </c>
      <c r="P1146" t="str">
        <f>"4170042993                    "</f>
        <v xml:space="preserve">4170042993                    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52.22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0</v>
      </c>
      <c r="BF1146">
        <v>0</v>
      </c>
      <c r="BG1146">
        <v>0</v>
      </c>
      <c r="BH1146">
        <v>1</v>
      </c>
      <c r="BI1146">
        <v>5</v>
      </c>
      <c r="BJ1146">
        <v>4.0999999999999996</v>
      </c>
      <c r="BK1146">
        <v>5</v>
      </c>
      <c r="BL1146">
        <v>173.66</v>
      </c>
      <c r="BM1146">
        <v>26.05</v>
      </c>
      <c r="BN1146">
        <v>199.71</v>
      </c>
      <c r="BO1146">
        <v>199.71</v>
      </c>
      <c r="BQ1146" t="s">
        <v>631</v>
      </c>
      <c r="BR1146" t="s">
        <v>84</v>
      </c>
      <c r="BS1146" s="3">
        <v>45818</v>
      </c>
      <c r="BT1146" s="4">
        <v>0.4236111111111111</v>
      </c>
      <c r="BU1146" t="s">
        <v>1824</v>
      </c>
      <c r="BV1146" t="s">
        <v>86</v>
      </c>
      <c r="BY1146">
        <v>20358</v>
      </c>
      <c r="CA1146" t="s">
        <v>223</v>
      </c>
      <c r="CC1146" t="s">
        <v>629</v>
      </c>
      <c r="CD1146">
        <v>6220</v>
      </c>
      <c r="CE1146" t="s">
        <v>687</v>
      </c>
      <c r="CF1146" s="3">
        <v>45818</v>
      </c>
      <c r="CI1146">
        <v>1</v>
      </c>
      <c r="CJ1146">
        <v>1</v>
      </c>
      <c r="CK1146">
        <v>21</v>
      </c>
      <c r="CL1146" t="s">
        <v>90</v>
      </c>
    </row>
    <row r="1147" spans="1:90" x14ac:dyDescent="0.3">
      <c r="A1147" t="s">
        <v>72</v>
      </c>
      <c r="B1147" t="s">
        <v>73</v>
      </c>
      <c r="C1147" t="s">
        <v>74</v>
      </c>
      <c r="E1147" t="str">
        <f>"080065849098"</f>
        <v>080065849098</v>
      </c>
      <c r="F1147" s="3">
        <v>45817</v>
      </c>
      <c r="G1147">
        <v>202603</v>
      </c>
      <c r="H1147" t="s">
        <v>75</v>
      </c>
      <c r="I1147" t="s">
        <v>76</v>
      </c>
      <c r="J1147" t="s">
        <v>77</v>
      </c>
      <c r="K1147" t="s">
        <v>78</v>
      </c>
      <c r="L1147" t="s">
        <v>91</v>
      </c>
      <c r="M1147" t="s">
        <v>92</v>
      </c>
      <c r="N1147" t="s">
        <v>881</v>
      </c>
      <c r="O1147" t="s">
        <v>82</v>
      </c>
      <c r="P1147" t="str">
        <f>"4170042850                    "</f>
        <v xml:space="preserve">4170042850                    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20.9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0</v>
      </c>
      <c r="BF1147">
        <v>0</v>
      </c>
      <c r="BG1147">
        <v>0</v>
      </c>
      <c r="BH1147">
        <v>1</v>
      </c>
      <c r="BI1147">
        <v>1</v>
      </c>
      <c r="BJ1147">
        <v>0.2</v>
      </c>
      <c r="BK1147">
        <v>1</v>
      </c>
      <c r="BL1147">
        <v>69.5</v>
      </c>
      <c r="BM1147">
        <v>10.43</v>
      </c>
      <c r="BN1147">
        <v>79.930000000000007</v>
      </c>
      <c r="BO1147">
        <v>79.930000000000007</v>
      </c>
      <c r="BQ1147" t="s">
        <v>882</v>
      </c>
      <c r="BR1147" t="s">
        <v>84</v>
      </c>
      <c r="BS1147" s="3">
        <v>45818</v>
      </c>
      <c r="BT1147" s="4">
        <v>0.42152777777777778</v>
      </c>
      <c r="BU1147" t="s">
        <v>1825</v>
      </c>
      <c r="BV1147" t="s">
        <v>86</v>
      </c>
      <c r="BY1147">
        <v>1200</v>
      </c>
      <c r="CA1147" t="s">
        <v>310</v>
      </c>
      <c r="CC1147" t="s">
        <v>92</v>
      </c>
      <c r="CD1147">
        <v>7460</v>
      </c>
      <c r="CE1147" t="s">
        <v>215</v>
      </c>
      <c r="CF1147" s="3">
        <v>45819</v>
      </c>
      <c r="CI1147">
        <v>1</v>
      </c>
      <c r="CJ1147">
        <v>1</v>
      </c>
      <c r="CK1147">
        <v>21</v>
      </c>
      <c r="CL1147" t="s">
        <v>90</v>
      </c>
    </row>
    <row r="1148" spans="1:90" x14ac:dyDescent="0.3">
      <c r="A1148" t="s">
        <v>72</v>
      </c>
      <c r="B1148" t="s">
        <v>73</v>
      </c>
      <c r="C1148" t="s">
        <v>74</v>
      </c>
      <c r="E1148" t="str">
        <f>"080065849107"</f>
        <v>080065849107</v>
      </c>
      <c r="F1148" s="3">
        <v>45817</v>
      </c>
      <c r="G1148">
        <v>202603</v>
      </c>
      <c r="H1148" t="s">
        <v>75</v>
      </c>
      <c r="I1148" t="s">
        <v>76</v>
      </c>
      <c r="J1148" t="s">
        <v>77</v>
      </c>
      <c r="K1148" t="s">
        <v>78</v>
      </c>
      <c r="L1148" t="s">
        <v>331</v>
      </c>
      <c r="M1148" t="s">
        <v>332</v>
      </c>
      <c r="N1148" t="s">
        <v>1826</v>
      </c>
      <c r="O1148" t="s">
        <v>82</v>
      </c>
      <c r="P1148" t="str">
        <f>"4170042968                    "</f>
        <v xml:space="preserve">4170042968                    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20.9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0</v>
      </c>
      <c r="BF1148">
        <v>0</v>
      </c>
      <c r="BG1148">
        <v>0</v>
      </c>
      <c r="BH1148">
        <v>1</v>
      </c>
      <c r="BI1148">
        <v>1</v>
      </c>
      <c r="BJ1148">
        <v>0.2</v>
      </c>
      <c r="BK1148">
        <v>1</v>
      </c>
      <c r="BL1148">
        <v>69.5</v>
      </c>
      <c r="BM1148">
        <v>10.43</v>
      </c>
      <c r="BN1148">
        <v>79.930000000000007</v>
      </c>
      <c r="BO1148">
        <v>79.930000000000007</v>
      </c>
      <c r="BQ1148" t="s">
        <v>1827</v>
      </c>
      <c r="BR1148" t="s">
        <v>84</v>
      </c>
      <c r="BS1148" s="3">
        <v>45818</v>
      </c>
      <c r="BT1148" s="4">
        <v>0.41666666666666669</v>
      </c>
      <c r="BU1148" t="s">
        <v>1828</v>
      </c>
      <c r="BV1148" t="s">
        <v>86</v>
      </c>
      <c r="BY1148">
        <v>1200</v>
      </c>
      <c r="CA1148" t="s">
        <v>487</v>
      </c>
      <c r="CC1148" t="s">
        <v>332</v>
      </c>
      <c r="CD1148">
        <v>4000</v>
      </c>
      <c r="CE1148" t="s">
        <v>215</v>
      </c>
      <c r="CF1148" s="3">
        <v>45819</v>
      </c>
      <c r="CI1148">
        <v>1</v>
      </c>
      <c r="CJ1148">
        <v>1</v>
      </c>
      <c r="CK1148">
        <v>21</v>
      </c>
      <c r="CL1148" t="s">
        <v>90</v>
      </c>
    </row>
    <row r="1149" spans="1:90" x14ac:dyDescent="0.3">
      <c r="A1149" t="s">
        <v>72</v>
      </c>
      <c r="B1149" t="s">
        <v>73</v>
      </c>
      <c r="C1149" t="s">
        <v>74</v>
      </c>
      <c r="E1149" t="str">
        <f>"080065849123"</f>
        <v>080065849123</v>
      </c>
      <c r="F1149" s="3">
        <v>45817</v>
      </c>
      <c r="G1149">
        <v>202603</v>
      </c>
      <c r="H1149" t="s">
        <v>75</v>
      </c>
      <c r="I1149" t="s">
        <v>76</v>
      </c>
      <c r="J1149" t="s">
        <v>77</v>
      </c>
      <c r="K1149" t="s">
        <v>78</v>
      </c>
      <c r="L1149" t="s">
        <v>100</v>
      </c>
      <c r="M1149" t="s">
        <v>101</v>
      </c>
      <c r="N1149" t="s">
        <v>1467</v>
      </c>
      <c r="O1149" t="s">
        <v>82</v>
      </c>
      <c r="P1149" t="str">
        <f>"4170042973                    "</f>
        <v xml:space="preserve">4170042973                    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20.9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>
        <v>0</v>
      </c>
      <c r="BF1149">
        <v>0</v>
      </c>
      <c r="BG1149">
        <v>0</v>
      </c>
      <c r="BH1149">
        <v>1</v>
      </c>
      <c r="BI1149">
        <v>1</v>
      </c>
      <c r="BJ1149">
        <v>0.2</v>
      </c>
      <c r="BK1149">
        <v>1</v>
      </c>
      <c r="BL1149">
        <v>69.5</v>
      </c>
      <c r="BM1149">
        <v>10.43</v>
      </c>
      <c r="BN1149">
        <v>79.930000000000007</v>
      </c>
      <c r="BO1149">
        <v>79.930000000000007</v>
      </c>
      <c r="BQ1149" t="s">
        <v>1468</v>
      </c>
      <c r="BR1149" t="s">
        <v>84</v>
      </c>
      <c r="BS1149" s="3">
        <v>45818</v>
      </c>
      <c r="BT1149" s="4">
        <v>0.3888888888888889</v>
      </c>
      <c r="BU1149" t="s">
        <v>1829</v>
      </c>
      <c r="BV1149" t="s">
        <v>86</v>
      </c>
      <c r="BY1149">
        <v>1200</v>
      </c>
      <c r="CA1149" t="s">
        <v>235</v>
      </c>
      <c r="CC1149" t="s">
        <v>101</v>
      </c>
      <c r="CD1149">
        <v>6001</v>
      </c>
      <c r="CE1149" t="s">
        <v>215</v>
      </c>
      <c r="CF1149" s="3">
        <v>45818</v>
      </c>
      <c r="CI1149">
        <v>1</v>
      </c>
      <c r="CJ1149">
        <v>1</v>
      </c>
      <c r="CK1149">
        <v>21</v>
      </c>
      <c r="CL1149" t="s">
        <v>90</v>
      </c>
    </row>
    <row r="1150" spans="1:90" x14ac:dyDescent="0.3">
      <c r="A1150" t="s">
        <v>72</v>
      </c>
      <c r="B1150" t="s">
        <v>73</v>
      </c>
      <c r="C1150" t="s">
        <v>74</v>
      </c>
      <c r="E1150" t="str">
        <f>"080065849124"</f>
        <v>080065849124</v>
      </c>
      <c r="F1150" s="3">
        <v>45817</v>
      </c>
      <c r="G1150">
        <v>202603</v>
      </c>
      <c r="H1150" t="s">
        <v>75</v>
      </c>
      <c r="I1150" t="s">
        <v>76</v>
      </c>
      <c r="J1150" t="s">
        <v>77</v>
      </c>
      <c r="K1150" t="s">
        <v>78</v>
      </c>
      <c r="L1150" t="s">
        <v>436</v>
      </c>
      <c r="M1150" t="s">
        <v>437</v>
      </c>
      <c r="N1150" t="s">
        <v>522</v>
      </c>
      <c r="O1150" t="s">
        <v>82</v>
      </c>
      <c r="P1150" t="str">
        <f>"4170042970                    "</f>
        <v xml:space="preserve">4170042970                    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16.32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0</v>
      </c>
      <c r="BF1150">
        <v>0</v>
      </c>
      <c r="BG1150">
        <v>0</v>
      </c>
      <c r="BH1150">
        <v>1</v>
      </c>
      <c r="BI1150">
        <v>1</v>
      </c>
      <c r="BJ1150">
        <v>0.2</v>
      </c>
      <c r="BK1150">
        <v>1</v>
      </c>
      <c r="BL1150">
        <v>54.28</v>
      </c>
      <c r="BM1150">
        <v>8.14</v>
      </c>
      <c r="BN1150">
        <v>62.42</v>
      </c>
      <c r="BO1150">
        <v>62.42</v>
      </c>
      <c r="BQ1150" t="s">
        <v>523</v>
      </c>
      <c r="BR1150" t="s">
        <v>84</v>
      </c>
      <c r="BS1150" s="3">
        <v>45818</v>
      </c>
      <c r="BT1150" s="4">
        <v>0.43819444444444444</v>
      </c>
      <c r="BU1150" t="s">
        <v>1830</v>
      </c>
      <c r="BV1150" t="s">
        <v>90</v>
      </c>
      <c r="BY1150">
        <v>1200</v>
      </c>
      <c r="CC1150" t="s">
        <v>437</v>
      </c>
      <c r="CD1150">
        <v>1501</v>
      </c>
      <c r="CE1150" t="s">
        <v>215</v>
      </c>
      <c r="CF1150" s="3">
        <v>45818</v>
      </c>
      <c r="CI1150">
        <v>1</v>
      </c>
      <c r="CJ1150">
        <v>1</v>
      </c>
      <c r="CK1150">
        <v>22</v>
      </c>
      <c r="CL1150" t="s">
        <v>90</v>
      </c>
    </row>
    <row r="1151" spans="1:90" x14ac:dyDescent="0.3">
      <c r="A1151" t="s">
        <v>72</v>
      </c>
      <c r="B1151" t="s">
        <v>73</v>
      </c>
      <c r="C1151" t="s">
        <v>74</v>
      </c>
      <c r="E1151" t="str">
        <f>"080065849141"</f>
        <v>080065849141</v>
      </c>
      <c r="F1151" s="3">
        <v>45817</v>
      </c>
      <c r="G1151">
        <v>202603</v>
      </c>
      <c r="H1151" t="s">
        <v>75</v>
      </c>
      <c r="I1151" t="s">
        <v>76</v>
      </c>
      <c r="J1151" t="s">
        <v>77</v>
      </c>
      <c r="K1151" t="s">
        <v>78</v>
      </c>
      <c r="L1151" t="s">
        <v>628</v>
      </c>
      <c r="M1151" t="s">
        <v>629</v>
      </c>
      <c r="N1151" t="s">
        <v>630</v>
      </c>
      <c r="O1151" t="s">
        <v>82</v>
      </c>
      <c r="P1151" t="str">
        <f>"4170043005                    "</f>
        <v xml:space="preserve">4170043005                    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104.42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>
        <v>0</v>
      </c>
      <c r="BF1151">
        <v>0</v>
      </c>
      <c r="BG1151">
        <v>0</v>
      </c>
      <c r="BH1151">
        <v>1</v>
      </c>
      <c r="BI1151">
        <v>7</v>
      </c>
      <c r="BJ1151">
        <v>9.6</v>
      </c>
      <c r="BK1151">
        <v>10</v>
      </c>
      <c r="BL1151">
        <v>347.26</v>
      </c>
      <c r="BM1151">
        <v>52.09</v>
      </c>
      <c r="BN1151">
        <v>399.35</v>
      </c>
      <c r="BO1151">
        <v>399.35</v>
      </c>
      <c r="BQ1151" t="s">
        <v>631</v>
      </c>
      <c r="BR1151" t="s">
        <v>84</v>
      </c>
      <c r="BS1151" s="3">
        <v>45818</v>
      </c>
      <c r="BT1151" s="4">
        <v>0.4236111111111111</v>
      </c>
      <c r="BU1151" t="s">
        <v>1824</v>
      </c>
      <c r="BV1151" t="s">
        <v>86</v>
      </c>
      <c r="BY1151">
        <v>48000</v>
      </c>
      <c r="CA1151" t="s">
        <v>223</v>
      </c>
      <c r="CC1151" t="s">
        <v>629</v>
      </c>
      <c r="CD1151">
        <v>6220</v>
      </c>
      <c r="CE1151" t="s">
        <v>687</v>
      </c>
      <c r="CF1151" s="3">
        <v>45818</v>
      </c>
      <c r="CI1151">
        <v>1</v>
      </c>
      <c r="CJ1151">
        <v>1</v>
      </c>
      <c r="CK1151">
        <v>21</v>
      </c>
      <c r="CL1151" t="s">
        <v>90</v>
      </c>
    </row>
    <row r="1152" spans="1:90" x14ac:dyDescent="0.3">
      <c r="A1152" t="s">
        <v>72</v>
      </c>
      <c r="B1152" t="s">
        <v>73</v>
      </c>
      <c r="C1152" t="s">
        <v>74</v>
      </c>
      <c r="E1152" t="str">
        <f>"080065849150"</f>
        <v>080065849150</v>
      </c>
      <c r="F1152" s="3">
        <v>45817</v>
      </c>
      <c r="G1152">
        <v>202603</v>
      </c>
      <c r="H1152" t="s">
        <v>75</v>
      </c>
      <c r="I1152" t="s">
        <v>76</v>
      </c>
      <c r="J1152" t="s">
        <v>77</v>
      </c>
      <c r="K1152" t="s">
        <v>78</v>
      </c>
      <c r="L1152" t="s">
        <v>130</v>
      </c>
      <c r="M1152" t="s">
        <v>131</v>
      </c>
      <c r="N1152" t="s">
        <v>422</v>
      </c>
      <c r="O1152" t="s">
        <v>82</v>
      </c>
      <c r="P1152" t="str">
        <f>"4170042502                    "</f>
        <v xml:space="preserve">4170042502                    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16.32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>
        <v>0</v>
      </c>
      <c r="BF1152">
        <v>0</v>
      </c>
      <c r="BG1152">
        <v>0</v>
      </c>
      <c r="BH1152">
        <v>1</v>
      </c>
      <c r="BI1152">
        <v>1</v>
      </c>
      <c r="BJ1152">
        <v>0.2</v>
      </c>
      <c r="BK1152">
        <v>1</v>
      </c>
      <c r="BL1152">
        <v>54.28</v>
      </c>
      <c r="BM1152">
        <v>8.14</v>
      </c>
      <c r="BN1152">
        <v>62.42</v>
      </c>
      <c r="BO1152">
        <v>62.42</v>
      </c>
      <c r="BQ1152" t="s">
        <v>423</v>
      </c>
      <c r="BR1152" t="s">
        <v>84</v>
      </c>
      <c r="BS1152" s="3">
        <v>45818</v>
      </c>
      <c r="BT1152" s="4">
        <v>0.35208333333333336</v>
      </c>
      <c r="BU1152" t="s">
        <v>424</v>
      </c>
      <c r="BV1152" t="s">
        <v>86</v>
      </c>
      <c r="BY1152">
        <v>1200</v>
      </c>
      <c r="CA1152" t="s">
        <v>425</v>
      </c>
      <c r="CC1152" t="s">
        <v>131</v>
      </c>
      <c r="CD1152">
        <v>1459</v>
      </c>
      <c r="CE1152" t="s">
        <v>215</v>
      </c>
      <c r="CF1152" s="3">
        <v>45818</v>
      </c>
      <c r="CI1152">
        <v>1</v>
      </c>
      <c r="CJ1152">
        <v>1</v>
      </c>
      <c r="CK1152">
        <v>22</v>
      </c>
      <c r="CL1152" t="s">
        <v>90</v>
      </c>
    </row>
    <row r="1153" spans="1:90" x14ac:dyDescent="0.3">
      <c r="A1153" t="s">
        <v>72</v>
      </c>
      <c r="B1153" t="s">
        <v>73</v>
      </c>
      <c r="C1153" t="s">
        <v>74</v>
      </c>
      <c r="E1153" t="str">
        <f>"080065849161"</f>
        <v>080065849161</v>
      </c>
      <c r="F1153" s="3">
        <v>45817</v>
      </c>
      <c r="G1153">
        <v>202603</v>
      </c>
      <c r="H1153" t="s">
        <v>75</v>
      </c>
      <c r="I1153" t="s">
        <v>76</v>
      </c>
      <c r="J1153" t="s">
        <v>77</v>
      </c>
      <c r="K1153" t="s">
        <v>78</v>
      </c>
      <c r="L1153" t="s">
        <v>91</v>
      </c>
      <c r="M1153" t="s">
        <v>92</v>
      </c>
      <c r="N1153" t="s">
        <v>327</v>
      </c>
      <c r="O1153" t="s">
        <v>82</v>
      </c>
      <c r="P1153" t="str">
        <f>"4170042987                    "</f>
        <v xml:space="preserve">4170042987                    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26.12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0</v>
      </c>
      <c r="BF1153">
        <v>0</v>
      </c>
      <c r="BG1153">
        <v>0</v>
      </c>
      <c r="BH1153">
        <v>1</v>
      </c>
      <c r="BI1153">
        <v>2</v>
      </c>
      <c r="BJ1153">
        <v>2.2000000000000002</v>
      </c>
      <c r="BK1153">
        <v>2.5</v>
      </c>
      <c r="BL1153">
        <v>86.86</v>
      </c>
      <c r="BM1153">
        <v>13.03</v>
      </c>
      <c r="BN1153">
        <v>99.89</v>
      </c>
      <c r="BO1153">
        <v>99.89</v>
      </c>
      <c r="BQ1153" t="s">
        <v>328</v>
      </c>
      <c r="BR1153" t="s">
        <v>84</v>
      </c>
      <c r="BS1153" s="3">
        <v>45818</v>
      </c>
      <c r="BT1153" s="4">
        <v>0.32500000000000001</v>
      </c>
      <c r="BU1153" t="s">
        <v>1035</v>
      </c>
      <c r="BV1153" t="s">
        <v>86</v>
      </c>
      <c r="BY1153">
        <v>10976</v>
      </c>
      <c r="CA1153" t="s">
        <v>330</v>
      </c>
      <c r="CC1153" t="s">
        <v>92</v>
      </c>
      <c r="CD1153">
        <v>7530</v>
      </c>
      <c r="CE1153" t="s">
        <v>166</v>
      </c>
      <c r="CF1153" s="3">
        <v>45819</v>
      </c>
      <c r="CI1153">
        <v>1</v>
      </c>
      <c r="CJ1153">
        <v>1</v>
      </c>
      <c r="CK1153">
        <v>21</v>
      </c>
      <c r="CL1153" t="s">
        <v>90</v>
      </c>
    </row>
    <row r="1154" spans="1:90" x14ac:dyDescent="0.3">
      <c r="A1154" t="s">
        <v>72</v>
      </c>
      <c r="B1154" t="s">
        <v>73</v>
      </c>
      <c r="C1154" t="s">
        <v>74</v>
      </c>
      <c r="E1154" t="str">
        <f>"080065849164"</f>
        <v>080065849164</v>
      </c>
      <c r="F1154" s="3">
        <v>45817</v>
      </c>
      <c r="G1154">
        <v>202603</v>
      </c>
      <c r="H1154" t="s">
        <v>75</v>
      </c>
      <c r="I1154" t="s">
        <v>76</v>
      </c>
      <c r="J1154" t="s">
        <v>77</v>
      </c>
      <c r="K1154" t="s">
        <v>78</v>
      </c>
      <c r="L1154" t="s">
        <v>106</v>
      </c>
      <c r="M1154" t="s">
        <v>107</v>
      </c>
      <c r="N1154" t="s">
        <v>509</v>
      </c>
      <c r="O1154" t="s">
        <v>82</v>
      </c>
      <c r="P1154" t="str">
        <f>"4170042825                    "</f>
        <v xml:space="preserve">4170042825                    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20.9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0</v>
      </c>
      <c r="BF1154">
        <v>0</v>
      </c>
      <c r="BG1154">
        <v>0</v>
      </c>
      <c r="BH1154">
        <v>1</v>
      </c>
      <c r="BI1154">
        <v>1</v>
      </c>
      <c r="BJ1154">
        <v>0.2</v>
      </c>
      <c r="BK1154">
        <v>1</v>
      </c>
      <c r="BL1154">
        <v>69.5</v>
      </c>
      <c r="BM1154">
        <v>10.43</v>
      </c>
      <c r="BN1154">
        <v>79.930000000000007</v>
      </c>
      <c r="BO1154">
        <v>79.930000000000007</v>
      </c>
      <c r="BQ1154" t="s">
        <v>510</v>
      </c>
      <c r="BR1154" t="s">
        <v>84</v>
      </c>
      <c r="BS1154" s="3">
        <v>45818</v>
      </c>
      <c r="BT1154" s="4">
        <v>0.32083333333333336</v>
      </c>
      <c r="BU1154" t="s">
        <v>1831</v>
      </c>
      <c r="BV1154" t="s">
        <v>86</v>
      </c>
      <c r="BY1154">
        <v>1200</v>
      </c>
      <c r="CA1154" t="s">
        <v>355</v>
      </c>
      <c r="CC1154" t="s">
        <v>107</v>
      </c>
      <c r="CD1154">
        <v>2</v>
      </c>
      <c r="CE1154" t="s">
        <v>215</v>
      </c>
      <c r="CF1154" s="3">
        <v>45818</v>
      </c>
      <c r="CI1154">
        <v>1</v>
      </c>
      <c r="CJ1154">
        <v>1</v>
      </c>
      <c r="CK1154">
        <v>21</v>
      </c>
      <c r="CL1154" t="s">
        <v>90</v>
      </c>
    </row>
    <row r="1155" spans="1:90" x14ac:dyDescent="0.3">
      <c r="A1155" t="s">
        <v>72</v>
      </c>
      <c r="B1155" t="s">
        <v>73</v>
      </c>
      <c r="C1155" t="s">
        <v>74</v>
      </c>
      <c r="E1155" t="str">
        <f>"080065849181"</f>
        <v>080065849181</v>
      </c>
      <c r="F1155" s="3">
        <v>45817</v>
      </c>
      <c r="G1155">
        <v>202603</v>
      </c>
      <c r="H1155" t="s">
        <v>75</v>
      </c>
      <c r="I1155" t="s">
        <v>76</v>
      </c>
      <c r="J1155" t="s">
        <v>77</v>
      </c>
      <c r="K1155" t="s">
        <v>78</v>
      </c>
      <c r="L1155" t="s">
        <v>311</v>
      </c>
      <c r="M1155" t="s">
        <v>312</v>
      </c>
      <c r="N1155" t="s">
        <v>313</v>
      </c>
      <c r="O1155" t="s">
        <v>82</v>
      </c>
      <c r="P1155" t="str">
        <f>"4170042986                    "</f>
        <v xml:space="preserve">4170042986                    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40.49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>
        <v>0</v>
      </c>
      <c r="BF1155">
        <v>0</v>
      </c>
      <c r="BG1155">
        <v>0</v>
      </c>
      <c r="BH1155">
        <v>1</v>
      </c>
      <c r="BI1155">
        <v>1</v>
      </c>
      <c r="BJ1155">
        <v>1.7</v>
      </c>
      <c r="BK1155">
        <v>2</v>
      </c>
      <c r="BL1155">
        <v>134.65</v>
      </c>
      <c r="BM1155">
        <v>20.2</v>
      </c>
      <c r="BN1155">
        <v>154.85</v>
      </c>
      <c r="BO1155">
        <v>154.85</v>
      </c>
      <c r="BQ1155" t="s">
        <v>314</v>
      </c>
      <c r="BR1155" t="s">
        <v>84</v>
      </c>
      <c r="BS1155" s="3">
        <v>45818</v>
      </c>
      <c r="BT1155" s="4">
        <v>0.53472222222222221</v>
      </c>
      <c r="BU1155" t="s">
        <v>315</v>
      </c>
      <c r="BV1155" t="s">
        <v>86</v>
      </c>
      <c r="BY1155">
        <v>8550</v>
      </c>
      <c r="CA1155" t="s">
        <v>316</v>
      </c>
      <c r="CC1155" t="s">
        <v>312</v>
      </c>
      <c r="CD1155">
        <v>1028</v>
      </c>
      <c r="CE1155" t="s">
        <v>687</v>
      </c>
      <c r="CF1155" s="3">
        <v>45818</v>
      </c>
      <c r="CI1155">
        <v>1</v>
      </c>
      <c r="CJ1155">
        <v>1</v>
      </c>
      <c r="CK1155">
        <v>23</v>
      </c>
      <c r="CL1155" t="s">
        <v>90</v>
      </c>
    </row>
    <row r="1156" spans="1:90" x14ac:dyDescent="0.3">
      <c r="A1156" t="s">
        <v>72</v>
      </c>
      <c r="B1156" t="s">
        <v>73</v>
      </c>
      <c r="C1156" t="s">
        <v>74</v>
      </c>
      <c r="E1156" t="str">
        <f>"080065849188"</f>
        <v>080065849188</v>
      </c>
      <c r="F1156" s="3">
        <v>45817</v>
      </c>
      <c r="G1156">
        <v>202603</v>
      </c>
      <c r="H1156" t="s">
        <v>75</v>
      </c>
      <c r="I1156" t="s">
        <v>76</v>
      </c>
      <c r="J1156" t="s">
        <v>77</v>
      </c>
      <c r="K1156" t="s">
        <v>78</v>
      </c>
      <c r="L1156" t="s">
        <v>701</v>
      </c>
      <c r="M1156" t="s">
        <v>702</v>
      </c>
      <c r="N1156" t="s">
        <v>860</v>
      </c>
      <c r="O1156" t="s">
        <v>82</v>
      </c>
      <c r="P1156" t="str">
        <f>"4170042879                    "</f>
        <v xml:space="preserve">4170042879                    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40.49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>
        <v>0</v>
      </c>
      <c r="BF1156">
        <v>0</v>
      </c>
      <c r="BG1156">
        <v>0</v>
      </c>
      <c r="BH1156">
        <v>1</v>
      </c>
      <c r="BI1156">
        <v>1</v>
      </c>
      <c r="BJ1156">
        <v>0.2</v>
      </c>
      <c r="BK1156">
        <v>1</v>
      </c>
      <c r="BL1156">
        <v>134.65</v>
      </c>
      <c r="BM1156">
        <v>20.2</v>
      </c>
      <c r="BN1156">
        <v>154.85</v>
      </c>
      <c r="BO1156">
        <v>154.85</v>
      </c>
      <c r="BQ1156" t="s">
        <v>861</v>
      </c>
      <c r="BR1156" t="s">
        <v>84</v>
      </c>
      <c r="BS1156" s="3">
        <v>45818</v>
      </c>
      <c r="BT1156" s="4">
        <v>0.43402777777777779</v>
      </c>
      <c r="BU1156" t="s">
        <v>1832</v>
      </c>
      <c r="BV1156" t="s">
        <v>86</v>
      </c>
      <c r="BY1156">
        <v>1200</v>
      </c>
      <c r="CA1156" t="s">
        <v>1833</v>
      </c>
      <c r="CC1156" t="s">
        <v>702</v>
      </c>
      <c r="CD1156">
        <v>2302</v>
      </c>
      <c r="CE1156" t="s">
        <v>215</v>
      </c>
      <c r="CF1156" s="3">
        <v>45819</v>
      </c>
      <c r="CI1156">
        <v>1</v>
      </c>
      <c r="CJ1156">
        <v>1</v>
      </c>
      <c r="CK1156">
        <v>23</v>
      </c>
      <c r="CL1156" t="s">
        <v>90</v>
      </c>
    </row>
    <row r="1157" spans="1:90" x14ac:dyDescent="0.3">
      <c r="A1157" t="s">
        <v>72</v>
      </c>
      <c r="B1157" t="s">
        <v>73</v>
      </c>
      <c r="C1157" t="s">
        <v>74</v>
      </c>
      <c r="E1157" t="str">
        <f>"080065849209"</f>
        <v>080065849209</v>
      </c>
      <c r="F1157" s="3">
        <v>45817</v>
      </c>
      <c r="G1157">
        <v>202603</v>
      </c>
      <c r="H1157" t="s">
        <v>75</v>
      </c>
      <c r="I1157" t="s">
        <v>76</v>
      </c>
      <c r="J1157" t="s">
        <v>77</v>
      </c>
      <c r="K1157" t="s">
        <v>78</v>
      </c>
      <c r="L1157" t="s">
        <v>293</v>
      </c>
      <c r="M1157" t="s">
        <v>294</v>
      </c>
      <c r="N1157" t="s">
        <v>1336</v>
      </c>
      <c r="O1157" t="s">
        <v>82</v>
      </c>
      <c r="P1157" t="str">
        <f>"4170042845                    "</f>
        <v xml:space="preserve">4170042845                    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86.2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0</v>
      </c>
      <c r="BF1157">
        <v>0</v>
      </c>
      <c r="BG1157">
        <v>0</v>
      </c>
      <c r="BH1157">
        <v>1</v>
      </c>
      <c r="BI1157">
        <v>2</v>
      </c>
      <c r="BJ1157">
        <v>4.3</v>
      </c>
      <c r="BK1157">
        <v>4.5</v>
      </c>
      <c r="BL1157">
        <v>286.66000000000003</v>
      </c>
      <c r="BM1157">
        <v>43</v>
      </c>
      <c r="BN1157">
        <v>329.66</v>
      </c>
      <c r="BO1157">
        <v>329.66</v>
      </c>
      <c r="BQ1157" t="s">
        <v>1337</v>
      </c>
      <c r="BR1157" t="s">
        <v>84</v>
      </c>
      <c r="BS1157" s="3">
        <v>45818</v>
      </c>
      <c r="BT1157" s="4">
        <v>0.51458333333333328</v>
      </c>
      <c r="BU1157" t="s">
        <v>1834</v>
      </c>
      <c r="BV1157" t="s">
        <v>86</v>
      </c>
      <c r="BY1157">
        <v>21489</v>
      </c>
      <c r="CA1157" t="s">
        <v>945</v>
      </c>
      <c r="CC1157" t="s">
        <v>294</v>
      </c>
      <c r="CD1157">
        <v>1911</v>
      </c>
      <c r="CE1157" t="s">
        <v>687</v>
      </c>
      <c r="CF1157" s="3">
        <v>45818</v>
      </c>
      <c r="CI1157">
        <v>1</v>
      </c>
      <c r="CJ1157">
        <v>1</v>
      </c>
      <c r="CK1157">
        <v>23</v>
      </c>
      <c r="CL1157" t="s">
        <v>90</v>
      </c>
    </row>
    <row r="1158" spans="1:90" x14ac:dyDescent="0.3">
      <c r="A1158" t="s">
        <v>72</v>
      </c>
      <c r="B1158" t="s">
        <v>73</v>
      </c>
      <c r="C1158" t="s">
        <v>74</v>
      </c>
      <c r="E1158" t="str">
        <f>"080065849211"</f>
        <v>080065849211</v>
      </c>
      <c r="F1158" s="3">
        <v>45817</v>
      </c>
      <c r="G1158">
        <v>202603</v>
      </c>
      <c r="H1158" t="s">
        <v>75</v>
      </c>
      <c r="I1158" t="s">
        <v>76</v>
      </c>
      <c r="J1158" t="s">
        <v>77</v>
      </c>
      <c r="K1158" t="s">
        <v>78</v>
      </c>
      <c r="L1158" t="s">
        <v>375</v>
      </c>
      <c r="M1158" t="s">
        <v>376</v>
      </c>
      <c r="N1158" t="s">
        <v>1835</v>
      </c>
      <c r="O1158" t="s">
        <v>82</v>
      </c>
      <c r="P1158" t="str">
        <f>"4170042988                    "</f>
        <v xml:space="preserve">4170042988                    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16.32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0</v>
      </c>
      <c r="BF1158">
        <v>0</v>
      </c>
      <c r="BG1158">
        <v>0</v>
      </c>
      <c r="BH1158">
        <v>1</v>
      </c>
      <c r="BI1158">
        <v>1</v>
      </c>
      <c r="BJ1158">
        <v>0.2</v>
      </c>
      <c r="BK1158">
        <v>1</v>
      </c>
      <c r="BL1158">
        <v>54.28</v>
      </c>
      <c r="BM1158">
        <v>8.14</v>
      </c>
      <c r="BN1158">
        <v>62.42</v>
      </c>
      <c r="BO1158">
        <v>62.42</v>
      </c>
      <c r="BQ1158" t="s">
        <v>1836</v>
      </c>
      <c r="BR1158" t="s">
        <v>84</v>
      </c>
      <c r="BS1158" s="3">
        <v>45818</v>
      </c>
      <c r="BT1158" s="4">
        <v>0.39791666666666664</v>
      </c>
      <c r="BU1158" t="s">
        <v>1837</v>
      </c>
      <c r="BV1158" t="s">
        <v>86</v>
      </c>
      <c r="BY1158">
        <v>1200</v>
      </c>
      <c r="CA1158" t="s">
        <v>501</v>
      </c>
      <c r="CC1158" t="s">
        <v>376</v>
      </c>
      <c r="CD1158">
        <v>1422</v>
      </c>
      <c r="CE1158" t="s">
        <v>215</v>
      </c>
      <c r="CF1158" s="3">
        <v>45818</v>
      </c>
      <c r="CI1158">
        <v>1</v>
      </c>
      <c r="CJ1158">
        <v>1</v>
      </c>
      <c r="CK1158">
        <v>22</v>
      </c>
      <c r="CL1158" t="s">
        <v>90</v>
      </c>
    </row>
    <row r="1159" spans="1:90" x14ac:dyDescent="0.3">
      <c r="A1159" t="s">
        <v>72</v>
      </c>
      <c r="B1159" t="s">
        <v>73</v>
      </c>
      <c r="C1159" t="s">
        <v>74</v>
      </c>
      <c r="E1159" t="str">
        <f>"080065849224"</f>
        <v>080065849224</v>
      </c>
      <c r="F1159" s="3">
        <v>45817</v>
      </c>
      <c r="G1159">
        <v>202603</v>
      </c>
      <c r="H1159" t="s">
        <v>75</v>
      </c>
      <c r="I1159" t="s">
        <v>76</v>
      </c>
      <c r="J1159" t="s">
        <v>77</v>
      </c>
      <c r="K1159" t="s">
        <v>78</v>
      </c>
      <c r="L1159" t="s">
        <v>154</v>
      </c>
      <c r="M1159" t="s">
        <v>154</v>
      </c>
      <c r="N1159" t="s">
        <v>949</v>
      </c>
      <c r="O1159" t="s">
        <v>82</v>
      </c>
      <c r="P1159" t="str">
        <f>"4170042826                    "</f>
        <v xml:space="preserve">4170042826                    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40.49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>
        <v>0</v>
      </c>
      <c r="BF1159">
        <v>0</v>
      </c>
      <c r="BG1159">
        <v>0</v>
      </c>
      <c r="BH1159">
        <v>1</v>
      </c>
      <c r="BI1159">
        <v>1</v>
      </c>
      <c r="BJ1159">
        <v>0.2</v>
      </c>
      <c r="BK1159">
        <v>1</v>
      </c>
      <c r="BL1159">
        <v>134.65</v>
      </c>
      <c r="BM1159">
        <v>20.2</v>
      </c>
      <c r="BN1159">
        <v>154.85</v>
      </c>
      <c r="BO1159">
        <v>154.85</v>
      </c>
      <c r="BQ1159" t="s">
        <v>950</v>
      </c>
      <c r="BR1159" t="s">
        <v>84</v>
      </c>
      <c r="BS1159" s="3">
        <v>45818</v>
      </c>
      <c r="BT1159" s="4">
        <v>0.5083333333333333</v>
      </c>
      <c r="BU1159" t="s">
        <v>951</v>
      </c>
      <c r="BV1159" t="s">
        <v>86</v>
      </c>
      <c r="BY1159">
        <v>1200</v>
      </c>
      <c r="CA1159" t="s">
        <v>1707</v>
      </c>
      <c r="CC1159" t="s">
        <v>154</v>
      </c>
      <c r="CD1159">
        <v>7646</v>
      </c>
      <c r="CE1159" t="s">
        <v>215</v>
      </c>
      <c r="CF1159" s="3">
        <v>45819</v>
      </c>
      <c r="CI1159">
        <v>1</v>
      </c>
      <c r="CJ1159">
        <v>1</v>
      </c>
      <c r="CK1159">
        <v>23</v>
      </c>
      <c r="CL1159" t="s">
        <v>90</v>
      </c>
    </row>
    <row r="1160" spans="1:90" x14ac:dyDescent="0.3">
      <c r="A1160" t="s">
        <v>72</v>
      </c>
      <c r="B1160" t="s">
        <v>73</v>
      </c>
      <c r="C1160" t="s">
        <v>74</v>
      </c>
      <c r="E1160" t="str">
        <f>"080065849230"</f>
        <v>080065849230</v>
      </c>
      <c r="F1160" s="3">
        <v>45817</v>
      </c>
      <c r="G1160">
        <v>202603</v>
      </c>
      <c r="H1160" t="s">
        <v>75</v>
      </c>
      <c r="I1160" t="s">
        <v>76</v>
      </c>
      <c r="J1160" t="s">
        <v>77</v>
      </c>
      <c r="K1160" t="s">
        <v>78</v>
      </c>
      <c r="L1160" t="s">
        <v>100</v>
      </c>
      <c r="M1160" t="s">
        <v>101</v>
      </c>
      <c r="N1160" t="s">
        <v>123</v>
      </c>
      <c r="O1160" t="s">
        <v>82</v>
      </c>
      <c r="P1160" t="str">
        <f>"4170042904                    "</f>
        <v xml:space="preserve">4170042904                    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62.66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>
        <v>0</v>
      </c>
      <c r="BF1160">
        <v>0</v>
      </c>
      <c r="BG1160">
        <v>0</v>
      </c>
      <c r="BH1160">
        <v>1</v>
      </c>
      <c r="BI1160">
        <v>6</v>
      </c>
      <c r="BJ1160">
        <v>3.4</v>
      </c>
      <c r="BK1160">
        <v>6</v>
      </c>
      <c r="BL1160">
        <v>208.38</v>
      </c>
      <c r="BM1160">
        <v>31.26</v>
      </c>
      <c r="BN1160">
        <v>239.64</v>
      </c>
      <c r="BO1160">
        <v>239.64</v>
      </c>
      <c r="BQ1160" t="s">
        <v>124</v>
      </c>
      <c r="BR1160" t="s">
        <v>84</v>
      </c>
      <c r="BS1160" s="3">
        <v>45818</v>
      </c>
      <c r="BT1160" s="4">
        <v>0.39861111111111114</v>
      </c>
      <c r="BU1160" t="s">
        <v>1015</v>
      </c>
      <c r="BV1160" t="s">
        <v>86</v>
      </c>
      <c r="BY1160">
        <v>16965</v>
      </c>
      <c r="CA1160" t="s">
        <v>235</v>
      </c>
      <c r="CC1160" t="s">
        <v>101</v>
      </c>
      <c r="CD1160">
        <v>6001</v>
      </c>
      <c r="CE1160" t="s">
        <v>687</v>
      </c>
      <c r="CF1160" s="3">
        <v>45818</v>
      </c>
      <c r="CI1160">
        <v>1</v>
      </c>
      <c r="CJ1160">
        <v>1</v>
      </c>
      <c r="CK1160">
        <v>21</v>
      </c>
      <c r="CL1160" t="s">
        <v>90</v>
      </c>
    </row>
    <row r="1161" spans="1:90" x14ac:dyDescent="0.3">
      <c r="A1161" t="s">
        <v>72</v>
      </c>
      <c r="B1161" t="s">
        <v>73</v>
      </c>
      <c r="C1161" t="s">
        <v>74</v>
      </c>
      <c r="E1161" t="str">
        <f>"080065849260"</f>
        <v>080065849260</v>
      </c>
      <c r="F1161" s="3">
        <v>45817</v>
      </c>
      <c r="G1161">
        <v>202603</v>
      </c>
      <c r="H1161" t="s">
        <v>75</v>
      </c>
      <c r="I1161" t="s">
        <v>76</v>
      </c>
      <c r="J1161" t="s">
        <v>77</v>
      </c>
      <c r="K1161" t="s">
        <v>78</v>
      </c>
      <c r="L1161" t="s">
        <v>615</v>
      </c>
      <c r="M1161" t="s">
        <v>616</v>
      </c>
      <c r="N1161" t="s">
        <v>1838</v>
      </c>
      <c r="O1161" t="s">
        <v>82</v>
      </c>
      <c r="P1161" t="str">
        <f>"4170042924                    "</f>
        <v xml:space="preserve">4170042924                    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95.34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0</v>
      </c>
      <c r="BF1161">
        <v>0</v>
      </c>
      <c r="BG1161">
        <v>0</v>
      </c>
      <c r="BH1161">
        <v>1</v>
      </c>
      <c r="BI1161">
        <v>5</v>
      </c>
      <c r="BJ1161">
        <v>1.9</v>
      </c>
      <c r="BK1161">
        <v>5</v>
      </c>
      <c r="BL1161">
        <v>317.06</v>
      </c>
      <c r="BM1161">
        <v>47.56</v>
      </c>
      <c r="BN1161">
        <v>364.62</v>
      </c>
      <c r="BO1161">
        <v>364.62</v>
      </c>
      <c r="BQ1161" t="s">
        <v>1839</v>
      </c>
      <c r="BR1161" t="s">
        <v>84</v>
      </c>
      <c r="BS1161" s="3">
        <v>45818</v>
      </c>
      <c r="BT1161" s="4">
        <v>0.54861111111111116</v>
      </c>
      <c r="BU1161" t="s">
        <v>1840</v>
      </c>
      <c r="BV1161" t="s">
        <v>86</v>
      </c>
      <c r="BY1161">
        <v>9600</v>
      </c>
      <c r="CA1161" t="s">
        <v>620</v>
      </c>
      <c r="CC1161" t="s">
        <v>616</v>
      </c>
      <c r="CD1161">
        <v>6849</v>
      </c>
      <c r="CE1161" t="s">
        <v>687</v>
      </c>
      <c r="CF1161" s="3">
        <v>45819</v>
      </c>
      <c r="CI1161">
        <v>2</v>
      </c>
      <c r="CJ1161">
        <v>1</v>
      </c>
      <c r="CK1161">
        <v>23</v>
      </c>
      <c r="CL1161" t="s">
        <v>90</v>
      </c>
    </row>
    <row r="1162" spans="1:90" x14ac:dyDescent="0.3">
      <c r="A1162" t="s">
        <v>72</v>
      </c>
      <c r="B1162" t="s">
        <v>73</v>
      </c>
      <c r="C1162" t="s">
        <v>74</v>
      </c>
      <c r="E1162" t="str">
        <f>"080065849288"</f>
        <v>080065849288</v>
      </c>
      <c r="F1162" s="3">
        <v>45817</v>
      </c>
      <c r="G1162">
        <v>202603</v>
      </c>
      <c r="H1162" t="s">
        <v>75</v>
      </c>
      <c r="I1162" t="s">
        <v>76</v>
      </c>
      <c r="J1162" t="s">
        <v>77</v>
      </c>
      <c r="K1162" t="s">
        <v>78</v>
      </c>
      <c r="L1162" t="s">
        <v>100</v>
      </c>
      <c r="M1162" t="s">
        <v>101</v>
      </c>
      <c r="N1162" t="s">
        <v>581</v>
      </c>
      <c r="O1162" t="s">
        <v>82</v>
      </c>
      <c r="P1162" t="str">
        <f>"4170042996                    "</f>
        <v xml:space="preserve">4170042996                    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36.56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>
        <v>0</v>
      </c>
      <c r="BF1162">
        <v>0</v>
      </c>
      <c r="BG1162">
        <v>0</v>
      </c>
      <c r="BH1162">
        <v>1</v>
      </c>
      <c r="BI1162">
        <v>3</v>
      </c>
      <c r="BJ1162">
        <v>3.1</v>
      </c>
      <c r="BK1162">
        <v>3.5</v>
      </c>
      <c r="BL1162">
        <v>121.58</v>
      </c>
      <c r="BM1162">
        <v>18.239999999999998</v>
      </c>
      <c r="BN1162">
        <v>139.82</v>
      </c>
      <c r="BO1162">
        <v>139.82</v>
      </c>
      <c r="BQ1162" t="s">
        <v>582</v>
      </c>
      <c r="BR1162" t="s">
        <v>84</v>
      </c>
      <c r="BS1162" s="3">
        <v>45818</v>
      </c>
      <c r="BT1162" s="4">
        <v>0.43125000000000002</v>
      </c>
      <c r="BU1162" t="s">
        <v>1613</v>
      </c>
      <c r="BV1162" t="s">
        <v>86</v>
      </c>
      <c r="BY1162">
        <v>15360</v>
      </c>
      <c r="CA1162" t="s">
        <v>235</v>
      </c>
      <c r="CC1162" t="s">
        <v>101</v>
      </c>
      <c r="CD1162">
        <v>6056</v>
      </c>
      <c r="CE1162" t="s">
        <v>687</v>
      </c>
      <c r="CF1162" s="3">
        <v>45818</v>
      </c>
      <c r="CI1162">
        <v>1</v>
      </c>
      <c r="CJ1162">
        <v>1</v>
      </c>
      <c r="CK1162">
        <v>21</v>
      </c>
      <c r="CL1162" t="s">
        <v>90</v>
      </c>
    </row>
    <row r="1163" spans="1:90" x14ac:dyDescent="0.3">
      <c r="A1163" t="s">
        <v>72</v>
      </c>
      <c r="B1163" t="s">
        <v>73</v>
      </c>
      <c r="C1163" t="s">
        <v>74</v>
      </c>
      <c r="E1163" t="str">
        <f>"009944129718"</f>
        <v>009944129718</v>
      </c>
      <c r="F1163" s="3">
        <v>45817</v>
      </c>
      <c r="G1163">
        <v>202603</v>
      </c>
      <c r="H1163" t="s">
        <v>91</v>
      </c>
      <c r="I1163" t="s">
        <v>92</v>
      </c>
      <c r="J1163" t="s">
        <v>1426</v>
      </c>
      <c r="K1163" t="s">
        <v>78</v>
      </c>
      <c r="L1163" t="s">
        <v>257</v>
      </c>
      <c r="M1163" t="s">
        <v>258</v>
      </c>
      <c r="N1163" t="s">
        <v>1841</v>
      </c>
      <c r="O1163" t="s">
        <v>82</v>
      </c>
      <c r="P1163" t="str">
        <f>"NA                            "</f>
        <v xml:space="preserve">NA                            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49.63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0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0</v>
      </c>
      <c r="BF1163">
        <v>0</v>
      </c>
      <c r="BG1163">
        <v>0</v>
      </c>
      <c r="BH1163">
        <v>1</v>
      </c>
      <c r="BI1163">
        <v>0.2</v>
      </c>
      <c r="BJ1163">
        <v>2.1</v>
      </c>
      <c r="BK1163">
        <v>2.5</v>
      </c>
      <c r="BL1163">
        <v>165.05</v>
      </c>
      <c r="BM1163">
        <v>24.76</v>
      </c>
      <c r="BN1163">
        <v>189.81</v>
      </c>
      <c r="BO1163">
        <v>189.81</v>
      </c>
      <c r="BQ1163" t="s">
        <v>1842</v>
      </c>
      <c r="BR1163" t="s">
        <v>1843</v>
      </c>
      <c r="BS1163" s="3">
        <v>45819</v>
      </c>
      <c r="BT1163" s="4">
        <v>0.37916666666666665</v>
      </c>
      <c r="BU1163" t="s">
        <v>1844</v>
      </c>
      <c r="BV1163" t="s">
        <v>86</v>
      </c>
      <c r="BY1163">
        <v>10744.8</v>
      </c>
      <c r="BZ1163" t="s">
        <v>87</v>
      </c>
      <c r="CA1163" t="s">
        <v>262</v>
      </c>
      <c r="CC1163" t="s">
        <v>258</v>
      </c>
      <c r="CD1163">
        <v>3900</v>
      </c>
      <c r="CE1163" t="s">
        <v>1029</v>
      </c>
      <c r="CF1163" s="3">
        <v>45819</v>
      </c>
      <c r="CI1163">
        <v>2</v>
      </c>
      <c r="CJ1163">
        <v>2</v>
      </c>
      <c r="CK1163">
        <v>23</v>
      </c>
      <c r="CL1163" t="s">
        <v>90</v>
      </c>
    </row>
    <row r="1164" spans="1:90" x14ac:dyDescent="0.3">
      <c r="A1164" t="s">
        <v>72</v>
      </c>
      <c r="B1164" t="s">
        <v>73</v>
      </c>
      <c r="C1164" t="s">
        <v>74</v>
      </c>
      <c r="E1164" t="str">
        <f>"080065811852"</f>
        <v>080065811852</v>
      </c>
      <c r="F1164" s="3">
        <v>45814</v>
      </c>
      <c r="G1164">
        <v>202603</v>
      </c>
      <c r="H1164" t="s">
        <v>75</v>
      </c>
      <c r="I1164" t="s">
        <v>76</v>
      </c>
      <c r="J1164" t="s">
        <v>77</v>
      </c>
      <c r="K1164" t="s">
        <v>78</v>
      </c>
      <c r="L1164" t="s">
        <v>331</v>
      </c>
      <c r="M1164" t="s">
        <v>332</v>
      </c>
      <c r="N1164" t="s">
        <v>1084</v>
      </c>
      <c r="O1164" t="s">
        <v>82</v>
      </c>
      <c r="P1164" t="str">
        <f>"4170042694                    "</f>
        <v xml:space="preserve">4170042694                    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20.9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>
        <v>0</v>
      </c>
      <c r="BF1164">
        <v>0</v>
      </c>
      <c r="BG1164">
        <v>0</v>
      </c>
      <c r="BH1164">
        <v>1</v>
      </c>
      <c r="BI1164">
        <v>1</v>
      </c>
      <c r="BJ1164">
        <v>0.2</v>
      </c>
      <c r="BK1164">
        <v>1</v>
      </c>
      <c r="BL1164">
        <v>69.5</v>
      </c>
      <c r="BM1164">
        <v>10.43</v>
      </c>
      <c r="BN1164">
        <v>79.930000000000007</v>
      </c>
      <c r="BO1164">
        <v>79.930000000000007</v>
      </c>
      <c r="BQ1164" t="s">
        <v>1085</v>
      </c>
      <c r="BR1164" t="s">
        <v>84</v>
      </c>
      <c r="BS1164" s="3">
        <v>45817</v>
      </c>
      <c r="BT1164" s="4">
        <v>0.40972222222222221</v>
      </c>
      <c r="BU1164" t="s">
        <v>1845</v>
      </c>
      <c r="BV1164" t="s">
        <v>86</v>
      </c>
      <c r="BY1164">
        <v>1200</v>
      </c>
      <c r="BZ1164" t="s">
        <v>87</v>
      </c>
      <c r="CA1164" t="s">
        <v>179</v>
      </c>
      <c r="CC1164" t="s">
        <v>332</v>
      </c>
      <c r="CD1164">
        <v>4000</v>
      </c>
      <c r="CE1164" t="s">
        <v>215</v>
      </c>
      <c r="CF1164" s="3">
        <v>45818</v>
      </c>
      <c r="CI1164">
        <v>1</v>
      </c>
      <c r="CJ1164">
        <v>1</v>
      </c>
      <c r="CK1164">
        <v>21</v>
      </c>
      <c r="CL1164" t="s">
        <v>90</v>
      </c>
    </row>
    <row r="1165" spans="1:90" x14ac:dyDescent="0.3">
      <c r="A1165" t="s">
        <v>72</v>
      </c>
      <c r="B1165" t="s">
        <v>73</v>
      </c>
      <c r="C1165" t="s">
        <v>74</v>
      </c>
      <c r="E1165" t="str">
        <f>"080065841386"</f>
        <v>080065841386</v>
      </c>
      <c r="F1165" s="3">
        <v>45817</v>
      </c>
      <c r="G1165">
        <v>202603</v>
      </c>
      <c r="H1165" t="s">
        <v>75</v>
      </c>
      <c r="I1165" t="s">
        <v>76</v>
      </c>
      <c r="J1165" t="s">
        <v>1846</v>
      </c>
      <c r="K1165" t="s">
        <v>78</v>
      </c>
      <c r="L1165" t="s">
        <v>116</v>
      </c>
      <c r="M1165" t="s">
        <v>117</v>
      </c>
      <c r="N1165" t="s">
        <v>1847</v>
      </c>
      <c r="O1165" t="s">
        <v>82</v>
      </c>
      <c r="P1165" t="str">
        <f>"4170042650                    "</f>
        <v xml:space="preserve">4170042650                    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>
        <v>0</v>
      </c>
      <c r="BF1165">
        <v>0</v>
      </c>
      <c r="BG1165">
        <v>0</v>
      </c>
      <c r="BH1165">
        <v>1</v>
      </c>
      <c r="BI1165">
        <v>1</v>
      </c>
      <c r="BJ1165">
        <v>0</v>
      </c>
      <c r="BK1165">
        <v>1</v>
      </c>
      <c r="BL1165">
        <v>0</v>
      </c>
      <c r="BM1165">
        <v>0</v>
      </c>
      <c r="BN1165">
        <v>0</v>
      </c>
      <c r="BO1165">
        <v>0</v>
      </c>
      <c r="BQ1165" t="s">
        <v>1848</v>
      </c>
      <c r="BR1165" t="s">
        <v>1849</v>
      </c>
      <c r="BS1165" t="s">
        <v>189</v>
      </c>
      <c r="BY1165">
        <v>1200</v>
      </c>
      <c r="BZ1165" t="s">
        <v>1850</v>
      </c>
      <c r="CC1165" t="s">
        <v>117</v>
      </c>
      <c r="CD1165">
        <v>3699</v>
      </c>
      <c r="CE1165" t="s">
        <v>89</v>
      </c>
      <c r="CI1165">
        <v>1</v>
      </c>
      <c r="CJ1165" t="s">
        <v>189</v>
      </c>
      <c r="CK1165">
        <v>-1</v>
      </c>
      <c r="CL1165" t="s">
        <v>90</v>
      </c>
    </row>
    <row r="1166" spans="1:90" x14ac:dyDescent="0.3">
      <c r="A1166" t="s">
        <v>72</v>
      </c>
      <c r="B1166" t="s">
        <v>73</v>
      </c>
      <c r="C1166" t="s">
        <v>74</v>
      </c>
      <c r="E1166" t="str">
        <f>"R080065694583"</f>
        <v>R080065694583</v>
      </c>
      <c r="F1166" s="3">
        <v>45817</v>
      </c>
      <c r="G1166">
        <v>202603</v>
      </c>
      <c r="H1166" t="s">
        <v>75</v>
      </c>
      <c r="I1166" t="s">
        <v>76</v>
      </c>
      <c r="J1166" t="s">
        <v>77</v>
      </c>
      <c r="K1166" t="s">
        <v>78</v>
      </c>
      <c r="L1166" t="s">
        <v>106</v>
      </c>
      <c r="M1166" t="s">
        <v>107</v>
      </c>
      <c r="N1166" t="s">
        <v>1851</v>
      </c>
      <c r="O1166" t="s">
        <v>82</v>
      </c>
      <c r="P1166" t="str">
        <f>"4170041346                    "</f>
        <v xml:space="preserve">4170041346                    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20.9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>
        <v>0</v>
      </c>
      <c r="BF1166">
        <v>0</v>
      </c>
      <c r="BG1166">
        <v>0</v>
      </c>
      <c r="BH1166">
        <v>1</v>
      </c>
      <c r="BI1166">
        <v>1</v>
      </c>
      <c r="BJ1166">
        <v>0.6</v>
      </c>
      <c r="BK1166">
        <v>1</v>
      </c>
      <c r="BL1166">
        <v>69.5</v>
      </c>
      <c r="BM1166">
        <v>10.43</v>
      </c>
      <c r="BN1166">
        <v>79.930000000000007</v>
      </c>
      <c r="BO1166">
        <v>79.930000000000007</v>
      </c>
      <c r="BQ1166" t="s">
        <v>159</v>
      </c>
      <c r="BR1166" t="s">
        <v>196</v>
      </c>
      <c r="BS1166" s="3">
        <v>45818</v>
      </c>
      <c r="BT1166" s="4">
        <v>0.41597222222222224</v>
      </c>
      <c r="BU1166" t="s">
        <v>1852</v>
      </c>
      <c r="BV1166" t="s">
        <v>86</v>
      </c>
      <c r="BY1166">
        <v>3192</v>
      </c>
      <c r="BZ1166" t="s">
        <v>1853</v>
      </c>
      <c r="CA1166" t="s">
        <v>1854</v>
      </c>
      <c r="CC1166" t="s">
        <v>107</v>
      </c>
      <c r="CD1166">
        <v>66</v>
      </c>
      <c r="CE1166" t="s">
        <v>180</v>
      </c>
      <c r="CF1166" s="3">
        <v>45818</v>
      </c>
      <c r="CI1166">
        <v>1</v>
      </c>
      <c r="CJ1166">
        <v>1</v>
      </c>
      <c r="CK1166">
        <v>21</v>
      </c>
      <c r="CL1166" t="s">
        <v>90</v>
      </c>
    </row>
    <row r="1167" spans="1:90" x14ac:dyDescent="0.3">
      <c r="A1167" t="s">
        <v>72</v>
      </c>
      <c r="B1167" t="s">
        <v>73</v>
      </c>
      <c r="C1167" t="s">
        <v>74</v>
      </c>
      <c r="E1167" t="str">
        <f>"R080065791903"</f>
        <v>R080065791903</v>
      </c>
      <c r="F1167" s="3">
        <v>45818</v>
      </c>
      <c r="G1167">
        <v>202603</v>
      </c>
      <c r="H1167" t="s">
        <v>413</v>
      </c>
      <c r="I1167" t="s">
        <v>414</v>
      </c>
      <c r="J1167" t="s">
        <v>1321</v>
      </c>
      <c r="K1167" t="s">
        <v>78</v>
      </c>
      <c r="L1167" t="s">
        <v>1416</v>
      </c>
      <c r="M1167" t="s">
        <v>1417</v>
      </c>
      <c r="N1167" t="s">
        <v>1855</v>
      </c>
      <c r="O1167" t="s">
        <v>94</v>
      </c>
      <c r="P1167" t="str">
        <f>"4170042518                    "</f>
        <v xml:space="preserve">4170042518                    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40.409999999999997</v>
      </c>
      <c r="AR1167">
        <v>0</v>
      </c>
      <c r="AS1167">
        <v>0</v>
      </c>
      <c r="AT1167">
        <v>0</v>
      </c>
      <c r="AU1167">
        <v>0</v>
      </c>
      <c r="AV1167">
        <v>0</v>
      </c>
      <c r="AW1167">
        <v>0</v>
      </c>
      <c r="AX1167">
        <v>0</v>
      </c>
      <c r="AY1167">
        <v>0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>
        <v>0</v>
      </c>
      <c r="BF1167">
        <v>0</v>
      </c>
      <c r="BG1167">
        <v>0</v>
      </c>
      <c r="BH1167">
        <v>1</v>
      </c>
      <c r="BI1167">
        <v>1</v>
      </c>
      <c r="BJ1167">
        <v>0.2</v>
      </c>
      <c r="BK1167">
        <v>1</v>
      </c>
      <c r="BL1167">
        <v>139.96</v>
      </c>
      <c r="BM1167">
        <v>20.99</v>
      </c>
      <c r="BN1167">
        <v>160.94999999999999</v>
      </c>
      <c r="BO1167">
        <v>160.94999999999999</v>
      </c>
      <c r="BQ1167" t="s">
        <v>1856</v>
      </c>
      <c r="BR1167" t="s">
        <v>1322</v>
      </c>
      <c r="BS1167" s="3">
        <v>45819</v>
      </c>
      <c r="BT1167" s="4">
        <v>0.48333333333333334</v>
      </c>
      <c r="BU1167" t="s">
        <v>1857</v>
      </c>
      <c r="BV1167" t="s">
        <v>86</v>
      </c>
      <c r="BY1167">
        <v>1200</v>
      </c>
      <c r="BZ1167" t="s">
        <v>97</v>
      </c>
      <c r="CA1167" t="s">
        <v>896</v>
      </c>
      <c r="CC1167" t="s">
        <v>1417</v>
      </c>
      <c r="CD1167">
        <v>1724</v>
      </c>
      <c r="CE1167" t="s">
        <v>215</v>
      </c>
      <c r="CF1167" s="3">
        <v>45819</v>
      </c>
      <c r="CI1167">
        <v>1</v>
      </c>
      <c r="CJ1167">
        <v>1</v>
      </c>
      <c r="CK1167">
        <v>41</v>
      </c>
      <c r="CL1167" t="s">
        <v>90</v>
      </c>
    </row>
    <row r="1168" spans="1:90" x14ac:dyDescent="0.3">
      <c r="A1168" t="s">
        <v>72</v>
      </c>
      <c r="B1168" t="s">
        <v>73</v>
      </c>
      <c r="C1168" t="s">
        <v>74</v>
      </c>
      <c r="E1168" t="str">
        <f>"080065859984"</f>
        <v>080065859984</v>
      </c>
      <c r="F1168" s="3">
        <v>45818</v>
      </c>
      <c r="G1168">
        <v>202603</v>
      </c>
      <c r="H1168" t="s">
        <v>75</v>
      </c>
      <c r="I1168" t="s">
        <v>76</v>
      </c>
      <c r="J1168" t="s">
        <v>77</v>
      </c>
      <c r="K1168" t="s">
        <v>78</v>
      </c>
      <c r="L1168" t="s">
        <v>91</v>
      </c>
      <c r="M1168" t="s">
        <v>92</v>
      </c>
      <c r="N1168" t="s">
        <v>841</v>
      </c>
      <c r="O1168" t="s">
        <v>82</v>
      </c>
      <c r="P1168" t="str">
        <f>"4170043252                    "</f>
        <v xml:space="preserve">4170043252                    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41.78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0</v>
      </c>
      <c r="BF1168">
        <v>0</v>
      </c>
      <c r="BG1168">
        <v>0</v>
      </c>
      <c r="BH1168">
        <v>1</v>
      </c>
      <c r="BI1168">
        <v>4</v>
      </c>
      <c r="BJ1168">
        <v>3.4</v>
      </c>
      <c r="BK1168">
        <v>4</v>
      </c>
      <c r="BL1168">
        <v>138.94</v>
      </c>
      <c r="BM1168">
        <v>20.84</v>
      </c>
      <c r="BN1168">
        <v>159.78</v>
      </c>
      <c r="BO1168">
        <v>159.78</v>
      </c>
      <c r="BQ1168" t="s">
        <v>842</v>
      </c>
      <c r="BR1168" t="s">
        <v>84</v>
      </c>
      <c r="BS1168" s="3">
        <v>45819</v>
      </c>
      <c r="BT1168" s="4">
        <v>0.39791666666666664</v>
      </c>
      <c r="BU1168" t="s">
        <v>1732</v>
      </c>
      <c r="BV1168" t="s">
        <v>86</v>
      </c>
      <c r="BY1168">
        <v>16965</v>
      </c>
      <c r="CA1168" t="s">
        <v>844</v>
      </c>
      <c r="CC1168" t="s">
        <v>92</v>
      </c>
      <c r="CD1168">
        <v>7535</v>
      </c>
      <c r="CE1168" t="s">
        <v>687</v>
      </c>
      <c r="CI1168">
        <v>1</v>
      </c>
      <c r="CJ1168">
        <v>1</v>
      </c>
      <c r="CK1168">
        <v>21</v>
      </c>
      <c r="CL1168" t="s">
        <v>90</v>
      </c>
    </row>
    <row r="1169" spans="1:90" x14ac:dyDescent="0.3">
      <c r="A1169" t="s">
        <v>72</v>
      </c>
      <c r="B1169" t="s">
        <v>73</v>
      </c>
      <c r="C1169" t="s">
        <v>74</v>
      </c>
      <c r="E1169" t="str">
        <f>"080011538376"</f>
        <v>080011538376</v>
      </c>
      <c r="F1169" s="3">
        <v>45818</v>
      </c>
      <c r="G1169">
        <v>202603</v>
      </c>
      <c r="H1169" t="s">
        <v>106</v>
      </c>
      <c r="I1169" t="s">
        <v>107</v>
      </c>
      <c r="J1169" t="s">
        <v>1858</v>
      </c>
      <c r="K1169" t="s">
        <v>78</v>
      </c>
      <c r="L1169" t="s">
        <v>75</v>
      </c>
      <c r="M1169" t="s">
        <v>76</v>
      </c>
      <c r="N1169" t="s">
        <v>188</v>
      </c>
      <c r="O1169" t="s">
        <v>94</v>
      </c>
      <c r="P1169" t="str">
        <f>"ZA1001387902                  "</f>
        <v xml:space="preserve">ZA1001387902                  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40.409999999999997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1</v>
      </c>
      <c r="BI1169">
        <v>7</v>
      </c>
      <c r="BJ1169">
        <v>7.2</v>
      </c>
      <c r="BK1169">
        <v>8</v>
      </c>
      <c r="BL1169">
        <v>139.96</v>
      </c>
      <c r="BM1169">
        <v>20.99</v>
      </c>
      <c r="BN1169">
        <v>160.94999999999999</v>
      </c>
      <c r="BO1169">
        <v>160.94999999999999</v>
      </c>
      <c r="BP1169" t="s">
        <v>189</v>
      </c>
      <c r="BQ1169" t="s">
        <v>190</v>
      </c>
      <c r="BR1169" t="s">
        <v>1859</v>
      </c>
      <c r="BS1169" s="3">
        <v>45819</v>
      </c>
      <c r="BT1169" s="4">
        <v>0.43611111111111112</v>
      </c>
      <c r="BU1169" t="s">
        <v>192</v>
      </c>
      <c r="BV1169" t="s">
        <v>86</v>
      </c>
      <c r="BY1169">
        <v>36000</v>
      </c>
      <c r="BZ1169" t="s">
        <v>97</v>
      </c>
      <c r="CA1169" t="s">
        <v>193</v>
      </c>
      <c r="CC1169" t="s">
        <v>76</v>
      </c>
      <c r="CD1169">
        <v>1619</v>
      </c>
      <c r="CE1169" t="s">
        <v>194</v>
      </c>
      <c r="CF1169" s="3">
        <v>45819</v>
      </c>
      <c r="CI1169">
        <v>1</v>
      </c>
      <c r="CJ1169">
        <v>1</v>
      </c>
      <c r="CK1169">
        <v>41</v>
      </c>
      <c r="CL1169" t="s">
        <v>90</v>
      </c>
    </row>
    <row r="1170" spans="1:90" x14ac:dyDescent="0.3">
      <c r="A1170" t="s">
        <v>72</v>
      </c>
      <c r="B1170" t="s">
        <v>73</v>
      </c>
      <c r="C1170" t="s">
        <v>74</v>
      </c>
      <c r="E1170" t="str">
        <f>"080065860328"</f>
        <v>080065860328</v>
      </c>
      <c r="F1170" s="3">
        <v>45818</v>
      </c>
      <c r="G1170">
        <v>202603</v>
      </c>
      <c r="H1170" t="s">
        <v>75</v>
      </c>
      <c r="I1170" t="s">
        <v>76</v>
      </c>
      <c r="J1170" t="s">
        <v>77</v>
      </c>
      <c r="K1170" t="s">
        <v>78</v>
      </c>
      <c r="L1170" t="s">
        <v>100</v>
      </c>
      <c r="M1170" t="s">
        <v>101</v>
      </c>
      <c r="N1170" t="s">
        <v>585</v>
      </c>
      <c r="O1170" t="s">
        <v>94</v>
      </c>
      <c r="P1170" t="str">
        <f>"4170042994                    "</f>
        <v xml:space="preserve">4170042994                    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58.76</v>
      </c>
      <c r="AR1170">
        <v>0</v>
      </c>
      <c r="AS1170">
        <v>0</v>
      </c>
      <c r="AT1170">
        <v>0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0</v>
      </c>
      <c r="BF1170">
        <v>0</v>
      </c>
      <c r="BG1170">
        <v>0</v>
      </c>
      <c r="BH1170">
        <v>2</v>
      </c>
      <c r="BI1170">
        <v>9</v>
      </c>
      <c r="BJ1170">
        <v>25.5</v>
      </c>
      <c r="BK1170">
        <v>26</v>
      </c>
      <c r="BL1170">
        <v>200.99</v>
      </c>
      <c r="BM1170">
        <v>30.15</v>
      </c>
      <c r="BN1170">
        <v>231.14</v>
      </c>
      <c r="BO1170">
        <v>231.14</v>
      </c>
      <c r="BQ1170" t="s">
        <v>586</v>
      </c>
      <c r="BR1170" t="s">
        <v>84</v>
      </c>
      <c r="BS1170" t="s">
        <v>189</v>
      </c>
      <c r="BY1170">
        <v>127650</v>
      </c>
      <c r="CC1170" t="s">
        <v>101</v>
      </c>
      <c r="CD1170">
        <v>6001</v>
      </c>
      <c r="CE1170" t="s">
        <v>687</v>
      </c>
      <c r="CI1170">
        <v>3</v>
      </c>
      <c r="CJ1170" t="s">
        <v>189</v>
      </c>
      <c r="CK1170">
        <v>41</v>
      </c>
      <c r="CL1170" t="s">
        <v>90</v>
      </c>
    </row>
    <row r="1171" spans="1:90" x14ac:dyDescent="0.3">
      <c r="A1171" t="s">
        <v>72</v>
      </c>
      <c r="B1171" t="s">
        <v>73</v>
      </c>
      <c r="C1171" t="s">
        <v>74</v>
      </c>
      <c r="E1171" t="str">
        <f>"080065860370"</f>
        <v>080065860370</v>
      </c>
      <c r="F1171" s="3">
        <v>45818</v>
      </c>
      <c r="G1171">
        <v>202603</v>
      </c>
      <c r="H1171" t="s">
        <v>75</v>
      </c>
      <c r="I1171" t="s">
        <v>76</v>
      </c>
      <c r="J1171" t="s">
        <v>77</v>
      </c>
      <c r="K1171" t="s">
        <v>78</v>
      </c>
      <c r="L1171" t="s">
        <v>91</v>
      </c>
      <c r="M1171" t="s">
        <v>92</v>
      </c>
      <c r="N1171" t="s">
        <v>1245</v>
      </c>
      <c r="O1171" t="s">
        <v>82</v>
      </c>
      <c r="P1171" t="str">
        <f>"4170042918                    "</f>
        <v xml:space="preserve">4170042918                    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20.9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0</v>
      </c>
      <c r="BF1171">
        <v>0</v>
      </c>
      <c r="BG1171">
        <v>0</v>
      </c>
      <c r="BH1171">
        <v>1</v>
      </c>
      <c r="BI1171">
        <v>1</v>
      </c>
      <c r="BJ1171">
        <v>1.7</v>
      </c>
      <c r="BK1171">
        <v>2</v>
      </c>
      <c r="BL1171">
        <v>69.5</v>
      </c>
      <c r="BM1171">
        <v>10.43</v>
      </c>
      <c r="BN1171">
        <v>79.930000000000007</v>
      </c>
      <c r="BO1171">
        <v>79.930000000000007</v>
      </c>
      <c r="BQ1171" t="s">
        <v>1246</v>
      </c>
      <c r="BR1171" t="s">
        <v>84</v>
      </c>
      <c r="BS1171" s="3">
        <v>45819</v>
      </c>
      <c r="BT1171" s="4">
        <v>0.38333333333333336</v>
      </c>
      <c r="BU1171" t="s">
        <v>1614</v>
      </c>
      <c r="BV1171" t="s">
        <v>86</v>
      </c>
      <c r="BY1171">
        <v>8550</v>
      </c>
      <c r="CA1171" t="s">
        <v>955</v>
      </c>
      <c r="CC1171" t="s">
        <v>92</v>
      </c>
      <c r="CD1171">
        <v>7945</v>
      </c>
      <c r="CE1171" t="s">
        <v>292</v>
      </c>
      <c r="CI1171">
        <v>1</v>
      </c>
      <c r="CJ1171">
        <v>1</v>
      </c>
      <c r="CK1171">
        <v>21</v>
      </c>
      <c r="CL1171" t="s">
        <v>90</v>
      </c>
    </row>
    <row r="1172" spans="1:90" x14ac:dyDescent="0.3">
      <c r="A1172" t="s">
        <v>72</v>
      </c>
      <c r="B1172" t="s">
        <v>73</v>
      </c>
      <c r="C1172" t="s">
        <v>74</v>
      </c>
      <c r="E1172" t="str">
        <f>"R080065670912"</f>
        <v>R080065670912</v>
      </c>
      <c r="F1172" s="3">
        <v>45818</v>
      </c>
      <c r="G1172">
        <v>202603</v>
      </c>
      <c r="H1172" t="s">
        <v>413</v>
      </c>
      <c r="I1172" t="s">
        <v>414</v>
      </c>
      <c r="J1172" t="s">
        <v>1860</v>
      </c>
      <c r="K1172" t="s">
        <v>78</v>
      </c>
      <c r="L1172" t="s">
        <v>413</v>
      </c>
      <c r="M1172" t="s">
        <v>414</v>
      </c>
      <c r="N1172" t="s">
        <v>1861</v>
      </c>
      <c r="O1172" t="s">
        <v>94</v>
      </c>
      <c r="P1172" t="str">
        <f>"4170041629                    "</f>
        <v xml:space="preserve">4170041629                    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31.18</v>
      </c>
      <c r="AR1172">
        <v>0</v>
      </c>
      <c r="AS1172">
        <v>0</v>
      </c>
      <c r="AT1172">
        <v>0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0</v>
      </c>
      <c r="BF1172">
        <v>0</v>
      </c>
      <c r="BG1172">
        <v>0</v>
      </c>
      <c r="BH1172">
        <v>1</v>
      </c>
      <c r="BI1172">
        <v>1</v>
      </c>
      <c r="BJ1172">
        <v>0.2</v>
      </c>
      <c r="BK1172">
        <v>1</v>
      </c>
      <c r="BL1172">
        <v>109.27</v>
      </c>
      <c r="BM1172">
        <v>16.39</v>
      </c>
      <c r="BN1172">
        <v>125.66</v>
      </c>
      <c r="BO1172">
        <v>125.66</v>
      </c>
      <c r="BQ1172" t="s">
        <v>1862</v>
      </c>
      <c r="BR1172" t="s">
        <v>1863</v>
      </c>
      <c r="BS1172" s="3">
        <v>45819</v>
      </c>
      <c r="BT1172" s="4">
        <v>0.4284722222222222</v>
      </c>
      <c r="BU1172" t="s">
        <v>1864</v>
      </c>
      <c r="BV1172" t="s">
        <v>86</v>
      </c>
      <c r="BY1172">
        <v>1200</v>
      </c>
      <c r="CC1172" t="s">
        <v>414</v>
      </c>
      <c r="CD1172">
        <v>4113</v>
      </c>
      <c r="CE1172" t="s">
        <v>215</v>
      </c>
      <c r="CI1172">
        <v>1</v>
      </c>
      <c r="CJ1172">
        <v>1</v>
      </c>
      <c r="CK1172">
        <v>42</v>
      </c>
      <c r="CL1172" t="s">
        <v>90</v>
      </c>
    </row>
    <row r="1173" spans="1:90" x14ac:dyDescent="0.3">
      <c r="A1173" t="s">
        <v>72</v>
      </c>
      <c r="B1173" t="s">
        <v>73</v>
      </c>
      <c r="C1173" t="s">
        <v>74</v>
      </c>
      <c r="E1173" t="str">
        <f>"080065861528"</f>
        <v>080065861528</v>
      </c>
      <c r="F1173" s="3">
        <v>45818</v>
      </c>
      <c r="G1173">
        <v>202603</v>
      </c>
      <c r="H1173" t="s">
        <v>75</v>
      </c>
      <c r="I1173" t="s">
        <v>76</v>
      </c>
      <c r="J1173" t="s">
        <v>77</v>
      </c>
      <c r="K1173" t="s">
        <v>78</v>
      </c>
      <c r="L1173" t="s">
        <v>75</v>
      </c>
      <c r="M1173" t="s">
        <v>76</v>
      </c>
      <c r="N1173" t="s">
        <v>147</v>
      </c>
      <c r="O1173" t="s">
        <v>82</v>
      </c>
      <c r="P1173" t="str">
        <f>"4170043013                    "</f>
        <v xml:space="preserve">4170043013                    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16.32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0</v>
      </c>
      <c r="BF1173">
        <v>0</v>
      </c>
      <c r="BG1173">
        <v>0</v>
      </c>
      <c r="BH1173">
        <v>1</v>
      </c>
      <c r="BI1173">
        <v>1</v>
      </c>
      <c r="BJ1173">
        <v>0.2</v>
      </c>
      <c r="BK1173">
        <v>1</v>
      </c>
      <c r="BL1173">
        <v>54.28</v>
      </c>
      <c r="BM1173">
        <v>8.14</v>
      </c>
      <c r="BN1173">
        <v>62.42</v>
      </c>
      <c r="BO1173">
        <v>62.42</v>
      </c>
      <c r="BQ1173" t="s">
        <v>148</v>
      </c>
      <c r="BR1173" t="s">
        <v>84</v>
      </c>
      <c r="BS1173" s="3">
        <v>45819</v>
      </c>
      <c r="BT1173" s="4">
        <v>0.29166666666666669</v>
      </c>
      <c r="BU1173" t="s">
        <v>1114</v>
      </c>
      <c r="BV1173" t="s">
        <v>86</v>
      </c>
      <c r="BY1173">
        <v>1200</v>
      </c>
      <c r="CA1173" t="s">
        <v>115</v>
      </c>
      <c r="CC1173" t="s">
        <v>76</v>
      </c>
      <c r="CD1173">
        <v>1600</v>
      </c>
      <c r="CE1173" t="s">
        <v>215</v>
      </c>
      <c r="CF1173" s="3">
        <v>45819</v>
      </c>
      <c r="CI1173">
        <v>1</v>
      </c>
      <c r="CJ1173">
        <v>1</v>
      </c>
      <c r="CK1173">
        <v>22</v>
      </c>
      <c r="CL1173" t="s">
        <v>90</v>
      </c>
    </row>
    <row r="1174" spans="1:90" x14ac:dyDescent="0.3">
      <c r="A1174" t="s">
        <v>72</v>
      </c>
      <c r="B1174" t="s">
        <v>73</v>
      </c>
      <c r="C1174" t="s">
        <v>74</v>
      </c>
      <c r="E1174" t="str">
        <f>"080065861619"</f>
        <v>080065861619</v>
      </c>
      <c r="F1174" s="3">
        <v>45818</v>
      </c>
      <c r="G1174">
        <v>202603</v>
      </c>
      <c r="H1174" t="s">
        <v>75</v>
      </c>
      <c r="I1174" t="s">
        <v>76</v>
      </c>
      <c r="J1174" t="s">
        <v>77</v>
      </c>
      <c r="K1174" t="s">
        <v>78</v>
      </c>
      <c r="L1174" t="s">
        <v>75</v>
      </c>
      <c r="M1174" t="s">
        <v>76</v>
      </c>
      <c r="N1174" t="s">
        <v>656</v>
      </c>
      <c r="O1174" t="s">
        <v>82</v>
      </c>
      <c r="P1174" t="str">
        <f>"4170042984                    "</f>
        <v xml:space="preserve">4170042984                    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16.32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0</v>
      </c>
      <c r="BF1174">
        <v>0</v>
      </c>
      <c r="BG1174">
        <v>0</v>
      </c>
      <c r="BH1174">
        <v>1</v>
      </c>
      <c r="BI1174">
        <v>1</v>
      </c>
      <c r="BJ1174">
        <v>0.2</v>
      </c>
      <c r="BK1174">
        <v>1</v>
      </c>
      <c r="BL1174">
        <v>54.28</v>
      </c>
      <c r="BM1174">
        <v>8.14</v>
      </c>
      <c r="BN1174">
        <v>62.42</v>
      </c>
      <c r="BO1174">
        <v>62.42</v>
      </c>
      <c r="BQ1174" t="s">
        <v>657</v>
      </c>
      <c r="BR1174" t="s">
        <v>84</v>
      </c>
      <c r="BS1174" s="3">
        <v>45819</v>
      </c>
      <c r="BT1174" s="4">
        <v>0.38333333333333336</v>
      </c>
      <c r="BU1174" t="s">
        <v>232</v>
      </c>
      <c r="BV1174" t="s">
        <v>86</v>
      </c>
      <c r="BY1174">
        <v>1200</v>
      </c>
      <c r="CA1174" t="s">
        <v>1087</v>
      </c>
      <c r="CC1174" t="s">
        <v>76</v>
      </c>
      <c r="CD1174">
        <v>1619</v>
      </c>
      <c r="CE1174" t="s">
        <v>215</v>
      </c>
      <c r="CF1174" s="3">
        <v>45819</v>
      </c>
      <c r="CI1174">
        <v>1</v>
      </c>
      <c r="CJ1174">
        <v>1</v>
      </c>
      <c r="CK1174">
        <v>22</v>
      </c>
      <c r="CL1174" t="s">
        <v>90</v>
      </c>
    </row>
    <row r="1175" spans="1:90" x14ac:dyDescent="0.3">
      <c r="A1175" t="s">
        <v>72</v>
      </c>
      <c r="B1175" t="s">
        <v>73</v>
      </c>
      <c r="C1175" t="s">
        <v>74</v>
      </c>
      <c r="E1175" t="str">
        <f>"080065861627"</f>
        <v>080065861627</v>
      </c>
      <c r="F1175" s="3">
        <v>45818</v>
      </c>
      <c r="G1175">
        <v>202603</v>
      </c>
      <c r="H1175" t="s">
        <v>75</v>
      </c>
      <c r="I1175" t="s">
        <v>76</v>
      </c>
      <c r="J1175" t="s">
        <v>77</v>
      </c>
      <c r="K1175" t="s">
        <v>78</v>
      </c>
      <c r="L1175" t="s">
        <v>100</v>
      </c>
      <c r="M1175" t="s">
        <v>101</v>
      </c>
      <c r="N1175" t="s">
        <v>585</v>
      </c>
      <c r="O1175" t="s">
        <v>82</v>
      </c>
      <c r="P1175" t="str">
        <f>"4170042875                    "</f>
        <v xml:space="preserve">4170042875                    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20.9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0</v>
      </c>
      <c r="BF1175">
        <v>0</v>
      </c>
      <c r="BG1175">
        <v>0</v>
      </c>
      <c r="BH1175">
        <v>1</v>
      </c>
      <c r="BI1175">
        <v>1</v>
      </c>
      <c r="BJ1175">
        <v>1.9</v>
      </c>
      <c r="BK1175">
        <v>2</v>
      </c>
      <c r="BL1175">
        <v>69.5</v>
      </c>
      <c r="BM1175">
        <v>10.43</v>
      </c>
      <c r="BN1175">
        <v>79.930000000000007</v>
      </c>
      <c r="BO1175">
        <v>79.930000000000007</v>
      </c>
      <c r="BQ1175" t="s">
        <v>586</v>
      </c>
      <c r="BR1175" t="s">
        <v>84</v>
      </c>
      <c r="BS1175" s="3">
        <v>45819</v>
      </c>
      <c r="BT1175" s="4">
        <v>0.40347222222222223</v>
      </c>
      <c r="BU1175" t="s">
        <v>783</v>
      </c>
      <c r="BV1175" t="s">
        <v>86</v>
      </c>
      <c r="BY1175">
        <v>9600</v>
      </c>
      <c r="CA1175" t="s">
        <v>589</v>
      </c>
      <c r="CC1175" t="s">
        <v>101</v>
      </c>
      <c r="CD1175">
        <v>6001</v>
      </c>
      <c r="CE1175" t="s">
        <v>687</v>
      </c>
      <c r="CF1175" s="3">
        <v>45819</v>
      </c>
      <c r="CI1175">
        <v>1</v>
      </c>
      <c r="CJ1175">
        <v>1</v>
      </c>
      <c r="CK1175">
        <v>21</v>
      </c>
      <c r="CL1175" t="s">
        <v>90</v>
      </c>
    </row>
    <row r="1176" spans="1:90" x14ac:dyDescent="0.3">
      <c r="A1176" t="s">
        <v>72</v>
      </c>
      <c r="B1176" t="s">
        <v>73</v>
      </c>
      <c r="C1176" t="s">
        <v>74</v>
      </c>
      <c r="E1176" t="str">
        <f>"080065861670"</f>
        <v>080065861670</v>
      </c>
      <c r="F1176" s="3">
        <v>45818</v>
      </c>
      <c r="G1176">
        <v>202603</v>
      </c>
      <c r="H1176" t="s">
        <v>75</v>
      </c>
      <c r="I1176" t="s">
        <v>76</v>
      </c>
      <c r="J1176" t="s">
        <v>77</v>
      </c>
      <c r="K1176" t="s">
        <v>78</v>
      </c>
      <c r="L1176" t="s">
        <v>284</v>
      </c>
      <c r="M1176" t="s">
        <v>285</v>
      </c>
      <c r="N1176" t="s">
        <v>1865</v>
      </c>
      <c r="O1176" t="s">
        <v>82</v>
      </c>
      <c r="P1176" t="str">
        <f>"4170042982                    "</f>
        <v xml:space="preserve">4170042982                    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16.32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0</v>
      </c>
      <c r="BF1176">
        <v>0</v>
      </c>
      <c r="BG1176">
        <v>0</v>
      </c>
      <c r="BH1176">
        <v>1</v>
      </c>
      <c r="BI1176">
        <v>1</v>
      </c>
      <c r="BJ1176">
        <v>0.2</v>
      </c>
      <c r="BK1176">
        <v>1</v>
      </c>
      <c r="BL1176">
        <v>54.28</v>
      </c>
      <c r="BM1176">
        <v>8.14</v>
      </c>
      <c r="BN1176">
        <v>62.42</v>
      </c>
      <c r="BO1176">
        <v>62.42</v>
      </c>
      <c r="BQ1176" t="s">
        <v>1866</v>
      </c>
      <c r="BR1176" t="s">
        <v>84</v>
      </c>
      <c r="BS1176" s="3">
        <v>45819</v>
      </c>
      <c r="BT1176" s="4">
        <v>0.43055555555555558</v>
      </c>
      <c r="BU1176" t="s">
        <v>1867</v>
      </c>
      <c r="BV1176" t="s">
        <v>86</v>
      </c>
      <c r="BY1176">
        <v>1200</v>
      </c>
      <c r="CA1176" t="s">
        <v>971</v>
      </c>
      <c r="CC1176" t="s">
        <v>285</v>
      </c>
      <c r="CD1176">
        <v>1559</v>
      </c>
      <c r="CE1176" t="s">
        <v>215</v>
      </c>
      <c r="CF1176" s="3">
        <v>45820</v>
      </c>
      <c r="CI1176">
        <v>1</v>
      </c>
      <c r="CJ1176">
        <v>1</v>
      </c>
      <c r="CK1176">
        <v>22</v>
      </c>
      <c r="CL1176" t="s">
        <v>90</v>
      </c>
    </row>
    <row r="1177" spans="1:90" x14ac:dyDescent="0.3">
      <c r="A1177" t="s">
        <v>72</v>
      </c>
      <c r="B1177" t="s">
        <v>73</v>
      </c>
      <c r="C1177" t="s">
        <v>74</v>
      </c>
      <c r="E1177" t="str">
        <f>"080065861679"</f>
        <v>080065861679</v>
      </c>
      <c r="F1177" s="3">
        <v>45818</v>
      </c>
      <c r="G1177">
        <v>202603</v>
      </c>
      <c r="H1177" t="s">
        <v>75</v>
      </c>
      <c r="I1177" t="s">
        <v>76</v>
      </c>
      <c r="J1177" t="s">
        <v>77</v>
      </c>
      <c r="K1177" t="s">
        <v>78</v>
      </c>
      <c r="L1177" t="s">
        <v>159</v>
      </c>
      <c r="M1177" t="s">
        <v>160</v>
      </c>
      <c r="N1177" t="s">
        <v>793</v>
      </c>
      <c r="O1177" t="s">
        <v>82</v>
      </c>
      <c r="P1177" t="str">
        <f>"4170042907                    "</f>
        <v xml:space="preserve">4170042907                    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16.32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</v>
      </c>
      <c r="AX1177">
        <v>0</v>
      </c>
      <c r="AY1177">
        <v>0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>
        <v>0</v>
      </c>
      <c r="BF1177">
        <v>0</v>
      </c>
      <c r="BG1177">
        <v>0</v>
      </c>
      <c r="BH1177">
        <v>1</v>
      </c>
      <c r="BI1177">
        <v>2</v>
      </c>
      <c r="BJ1177">
        <v>1.7</v>
      </c>
      <c r="BK1177">
        <v>2</v>
      </c>
      <c r="BL1177">
        <v>54.28</v>
      </c>
      <c r="BM1177">
        <v>8.14</v>
      </c>
      <c r="BN1177">
        <v>62.42</v>
      </c>
      <c r="BO1177">
        <v>62.42</v>
      </c>
      <c r="BQ1177" t="s">
        <v>794</v>
      </c>
      <c r="BR1177" t="s">
        <v>84</v>
      </c>
      <c r="BS1177" s="3">
        <v>45819</v>
      </c>
      <c r="BT1177" s="4">
        <v>0.41666666666666669</v>
      </c>
      <c r="BU1177" t="s">
        <v>1868</v>
      </c>
      <c r="BV1177" t="s">
        <v>86</v>
      </c>
      <c r="BY1177">
        <v>8550</v>
      </c>
      <c r="CA1177" t="s">
        <v>233</v>
      </c>
      <c r="CC1177" t="s">
        <v>160</v>
      </c>
      <c r="CD1177">
        <v>2094</v>
      </c>
      <c r="CE1177" t="s">
        <v>292</v>
      </c>
      <c r="CF1177" s="3">
        <v>45819</v>
      </c>
      <c r="CI1177">
        <v>1</v>
      </c>
      <c r="CJ1177">
        <v>1</v>
      </c>
      <c r="CK1177">
        <v>22</v>
      </c>
      <c r="CL1177" t="s">
        <v>90</v>
      </c>
    </row>
    <row r="1178" spans="1:90" x14ac:dyDescent="0.3">
      <c r="A1178" t="s">
        <v>72</v>
      </c>
      <c r="B1178" t="s">
        <v>73</v>
      </c>
      <c r="C1178" t="s">
        <v>74</v>
      </c>
      <c r="E1178" t="str">
        <f>"080065861704"</f>
        <v>080065861704</v>
      </c>
      <c r="F1178" s="3">
        <v>45818</v>
      </c>
      <c r="G1178">
        <v>202603</v>
      </c>
      <c r="H1178" t="s">
        <v>75</v>
      </c>
      <c r="I1178" t="s">
        <v>76</v>
      </c>
      <c r="J1178" t="s">
        <v>77</v>
      </c>
      <c r="K1178" t="s">
        <v>78</v>
      </c>
      <c r="L1178" t="s">
        <v>91</v>
      </c>
      <c r="M1178" t="s">
        <v>92</v>
      </c>
      <c r="N1178" t="s">
        <v>540</v>
      </c>
      <c r="O1178" t="s">
        <v>82</v>
      </c>
      <c r="P1178" t="str">
        <f>"4170042837                    "</f>
        <v xml:space="preserve">4170042837                    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20.9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</v>
      </c>
      <c r="AX1178">
        <v>0</v>
      </c>
      <c r="AY1178">
        <v>0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>
        <v>0</v>
      </c>
      <c r="BF1178">
        <v>0</v>
      </c>
      <c r="BG1178">
        <v>0</v>
      </c>
      <c r="BH1178">
        <v>1</v>
      </c>
      <c r="BI1178">
        <v>1</v>
      </c>
      <c r="BJ1178">
        <v>0.2</v>
      </c>
      <c r="BK1178">
        <v>1</v>
      </c>
      <c r="BL1178">
        <v>69.5</v>
      </c>
      <c r="BM1178">
        <v>10.43</v>
      </c>
      <c r="BN1178">
        <v>79.930000000000007</v>
      </c>
      <c r="BO1178">
        <v>79.930000000000007</v>
      </c>
      <c r="BQ1178" t="s">
        <v>541</v>
      </c>
      <c r="BR1178" t="s">
        <v>84</v>
      </c>
      <c r="BS1178" s="3">
        <v>45819</v>
      </c>
      <c r="BT1178" s="4">
        <v>0.40277777777777779</v>
      </c>
      <c r="BU1178" t="s">
        <v>1869</v>
      </c>
      <c r="BV1178" t="s">
        <v>86</v>
      </c>
      <c r="BY1178">
        <v>1200</v>
      </c>
      <c r="CA1178" t="s">
        <v>291</v>
      </c>
      <c r="CC1178" t="s">
        <v>92</v>
      </c>
      <c r="CD1178">
        <v>7441</v>
      </c>
      <c r="CE1178" t="s">
        <v>215</v>
      </c>
      <c r="CI1178">
        <v>1</v>
      </c>
      <c r="CJ1178">
        <v>1</v>
      </c>
      <c r="CK1178">
        <v>21</v>
      </c>
      <c r="CL1178" t="s">
        <v>90</v>
      </c>
    </row>
    <row r="1179" spans="1:90" x14ac:dyDescent="0.3">
      <c r="A1179" t="s">
        <v>72</v>
      </c>
      <c r="B1179" t="s">
        <v>73</v>
      </c>
      <c r="C1179" t="s">
        <v>74</v>
      </c>
      <c r="E1179" t="str">
        <f>"080065861731"</f>
        <v>080065861731</v>
      </c>
      <c r="F1179" s="3">
        <v>45818</v>
      </c>
      <c r="G1179">
        <v>202603</v>
      </c>
      <c r="H1179" t="s">
        <v>75</v>
      </c>
      <c r="I1179" t="s">
        <v>76</v>
      </c>
      <c r="J1179" t="s">
        <v>77</v>
      </c>
      <c r="K1179" t="s">
        <v>78</v>
      </c>
      <c r="L1179" t="s">
        <v>100</v>
      </c>
      <c r="M1179" t="s">
        <v>101</v>
      </c>
      <c r="N1179" t="s">
        <v>1402</v>
      </c>
      <c r="O1179" t="s">
        <v>82</v>
      </c>
      <c r="P1179" t="str">
        <f>"4170043007                    "</f>
        <v xml:space="preserve">4170043007                    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36.56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</v>
      </c>
      <c r="AX1179">
        <v>0</v>
      </c>
      <c r="AY1179">
        <v>0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>
        <v>0</v>
      </c>
      <c r="BF1179">
        <v>0</v>
      </c>
      <c r="BG1179">
        <v>0</v>
      </c>
      <c r="BH1179">
        <v>1</v>
      </c>
      <c r="BI1179">
        <v>1</v>
      </c>
      <c r="BJ1179">
        <v>3.1</v>
      </c>
      <c r="BK1179">
        <v>3.5</v>
      </c>
      <c r="BL1179">
        <v>121.58</v>
      </c>
      <c r="BM1179">
        <v>18.239999999999998</v>
      </c>
      <c r="BN1179">
        <v>139.82</v>
      </c>
      <c r="BO1179">
        <v>139.82</v>
      </c>
      <c r="BQ1179" t="s">
        <v>1403</v>
      </c>
      <c r="BR1179" t="s">
        <v>84</v>
      </c>
      <c r="BS1179" s="3">
        <v>45819</v>
      </c>
      <c r="BT1179" s="4">
        <v>0.41319444444444442</v>
      </c>
      <c r="BU1179" t="s">
        <v>1404</v>
      </c>
      <c r="BV1179" t="s">
        <v>86</v>
      </c>
      <c r="BY1179">
        <v>15360</v>
      </c>
      <c r="BZ1179" t="s">
        <v>87</v>
      </c>
      <c r="CA1179" t="s">
        <v>394</v>
      </c>
      <c r="CC1179" t="s">
        <v>101</v>
      </c>
      <c r="CD1179">
        <v>6000</v>
      </c>
      <c r="CE1179" t="s">
        <v>99</v>
      </c>
      <c r="CF1179" s="3">
        <v>45819</v>
      </c>
      <c r="CI1179">
        <v>1</v>
      </c>
      <c r="CJ1179">
        <v>1</v>
      </c>
      <c r="CK1179">
        <v>21</v>
      </c>
      <c r="CL1179" t="s">
        <v>90</v>
      </c>
    </row>
    <row r="1180" spans="1:90" x14ac:dyDescent="0.3">
      <c r="A1180" t="s">
        <v>72</v>
      </c>
      <c r="B1180" t="s">
        <v>73</v>
      </c>
      <c r="C1180" t="s">
        <v>74</v>
      </c>
      <c r="E1180" t="str">
        <f>"080065861749"</f>
        <v>080065861749</v>
      </c>
      <c r="F1180" s="3">
        <v>45818</v>
      </c>
      <c r="G1180">
        <v>202603</v>
      </c>
      <c r="H1180" t="s">
        <v>75</v>
      </c>
      <c r="I1180" t="s">
        <v>76</v>
      </c>
      <c r="J1180" t="s">
        <v>77</v>
      </c>
      <c r="K1180" t="s">
        <v>78</v>
      </c>
      <c r="L1180" t="s">
        <v>159</v>
      </c>
      <c r="M1180" t="s">
        <v>160</v>
      </c>
      <c r="N1180" t="s">
        <v>409</v>
      </c>
      <c r="O1180" t="s">
        <v>82</v>
      </c>
      <c r="P1180" t="str">
        <f>"4170043014                    "</f>
        <v xml:space="preserve">4170043014                    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16.32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0</v>
      </c>
      <c r="BF1180">
        <v>0</v>
      </c>
      <c r="BG1180">
        <v>0</v>
      </c>
      <c r="BH1180">
        <v>1</v>
      </c>
      <c r="BI1180">
        <v>1</v>
      </c>
      <c r="BJ1180">
        <v>0.2</v>
      </c>
      <c r="BK1180">
        <v>1</v>
      </c>
      <c r="BL1180">
        <v>54.28</v>
      </c>
      <c r="BM1180">
        <v>8.14</v>
      </c>
      <c r="BN1180">
        <v>62.42</v>
      </c>
      <c r="BO1180">
        <v>62.42</v>
      </c>
      <c r="BQ1180" t="s">
        <v>410</v>
      </c>
      <c r="BR1180" t="s">
        <v>84</v>
      </c>
      <c r="BS1180" s="3">
        <v>45819</v>
      </c>
      <c r="BT1180" s="4">
        <v>0.4236111111111111</v>
      </c>
      <c r="BU1180" t="s">
        <v>967</v>
      </c>
      <c r="BV1180" t="s">
        <v>86</v>
      </c>
      <c r="BY1180">
        <v>1200</v>
      </c>
      <c r="CA1180" t="s">
        <v>444</v>
      </c>
      <c r="CC1180" t="s">
        <v>160</v>
      </c>
      <c r="CD1180">
        <v>2091</v>
      </c>
      <c r="CE1180" t="s">
        <v>215</v>
      </c>
      <c r="CF1180" s="3">
        <v>45820</v>
      </c>
      <c r="CI1180">
        <v>1</v>
      </c>
      <c r="CJ1180">
        <v>1</v>
      </c>
      <c r="CK1180">
        <v>22</v>
      </c>
      <c r="CL1180" t="s">
        <v>90</v>
      </c>
    </row>
    <row r="1181" spans="1:90" x14ac:dyDescent="0.3">
      <c r="A1181" t="s">
        <v>72</v>
      </c>
      <c r="B1181" t="s">
        <v>73</v>
      </c>
      <c r="C1181" t="s">
        <v>74</v>
      </c>
      <c r="E1181" t="str">
        <f>"080065861782"</f>
        <v>080065861782</v>
      </c>
      <c r="F1181" s="3">
        <v>45818</v>
      </c>
      <c r="G1181">
        <v>202603</v>
      </c>
      <c r="H1181" t="s">
        <v>75</v>
      </c>
      <c r="I1181" t="s">
        <v>76</v>
      </c>
      <c r="J1181" t="s">
        <v>77</v>
      </c>
      <c r="K1181" t="s">
        <v>78</v>
      </c>
      <c r="L1181" t="s">
        <v>100</v>
      </c>
      <c r="M1181" t="s">
        <v>101</v>
      </c>
      <c r="N1181" t="s">
        <v>123</v>
      </c>
      <c r="O1181" t="s">
        <v>82</v>
      </c>
      <c r="P1181" t="str">
        <f>"4170042998                    "</f>
        <v xml:space="preserve">4170042998                    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20.9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0</v>
      </c>
      <c r="BF1181">
        <v>0</v>
      </c>
      <c r="BG1181">
        <v>0</v>
      </c>
      <c r="BH1181">
        <v>1</v>
      </c>
      <c r="BI1181">
        <v>1</v>
      </c>
      <c r="BJ1181">
        <v>1.3</v>
      </c>
      <c r="BK1181">
        <v>1.5</v>
      </c>
      <c r="BL1181">
        <v>69.5</v>
      </c>
      <c r="BM1181">
        <v>10.43</v>
      </c>
      <c r="BN1181">
        <v>79.930000000000007</v>
      </c>
      <c r="BO1181">
        <v>79.930000000000007</v>
      </c>
      <c r="BQ1181" t="s">
        <v>124</v>
      </c>
      <c r="BR1181" t="s">
        <v>84</v>
      </c>
      <c r="BS1181" s="3">
        <v>45819</v>
      </c>
      <c r="BT1181" s="4">
        <v>0.40902777777777777</v>
      </c>
      <c r="BU1181" t="s">
        <v>688</v>
      </c>
      <c r="BV1181" t="s">
        <v>86</v>
      </c>
      <c r="BY1181">
        <v>6384</v>
      </c>
      <c r="CA1181" t="s">
        <v>235</v>
      </c>
      <c r="CC1181" t="s">
        <v>101</v>
      </c>
      <c r="CD1181">
        <v>6001</v>
      </c>
      <c r="CE1181" t="s">
        <v>292</v>
      </c>
      <c r="CF1181" s="3">
        <v>45819</v>
      </c>
      <c r="CI1181">
        <v>1</v>
      </c>
      <c r="CJ1181">
        <v>1</v>
      </c>
      <c r="CK1181">
        <v>21</v>
      </c>
      <c r="CL1181" t="s">
        <v>90</v>
      </c>
    </row>
    <row r="1182" spans="1:90" x14ac:dyDescent="0.3">
      <c r="A1182" t="s">
        <v>72</v>
      </c>
      <c r="B1182" t="s">
        <v>73</v>
      </c>
      <c r="C1182" t="s">
        <v>74</v>
      </c>
      <c r="E1182" t="str">
        <f>"080065861884"</f>
        <v>080065861884</v>
      </c>
      <c r="F1182" s="3">
        <v>45818</v>
      </c>
      <c r="G1182">
        <v>202603</v>
      </c>
      <c r="H1182" t="s">
        <v>75</v>
      </c>
      <c r="I1182" t="s">
        <v>76</v>
      </c>
      <c r="J1182" t="s">
        <v>77</v>
      </c>
      <c r="K1182" t="s">
        <v>78</v>
      </c>
      <c r="L1182" t="s">
        <v>100</v>
      </c>
      <c r="M1182" t="s">
        <v>101</v>
      </c>
      <c r="N1182" t="s">
        <v>123</v>
      </c>
      <c r="O1182" t="s">
        <v>94</v>
      </c>
      <c r="P1182" t="str">
        <f>"4170042997                    "</f>
        <v xml:space="preserve">4170042997                    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55.43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</v>
      </c>
      <c r="AX1182">
        <v>0</v>
      </c>
      <c r="AY1182">
        <v>0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>
        <v>0</v>
      </c>
      <c r="BF1182">
        <v>0</v>
      </c>
      <c r="BG1182">
        <v>0</v>
      </c>
      <c r="BH1182">
        <v>3</v>
      </c>
      <c r="BI1182">
        <v>15</v>
      </c>
      <c r="BJ1182">
        <v>23.8</v>
      </c>
      <c r="BK1182">
        <v>24</v>
      </c>
      <c r="BL1182">
        <v>189.9</v>
      </c>
      <c r="BM1182">
        <v>28.49</v>
      </c>
      <c r="BN1182">
        <v>218.39</v>
      </c>
      <c r="BO1182">
        <v>218.39</v>
      </c>
      <c r="BQ1182" t="s">
        <v>124</v>
      </c>
      <c r="BR1182" t="s">
        <v>84</v>
      </c>
      <c r="BS1182" t="s">
        <v>189</v>
      </c>
      <c r="BY1182">
        <v>118773</v>
      </c>
      <c r="CC1182" t="s">
        <v>101</v>
      </c>
      <c r="CD1182">
        <v>6001</v>
      </c>
      <c r="CE1182" t="s">
        <v>687</v>
      </c>
      <c r="CI1182">
        <v>3</v>
      </c>
      <c r="CJ1182" t="s">
        <v>189</v>
      </c>
      <c r="CK1182">
        <v>41</v>
      </c>
      <c r="CL1182" t="s">
        <v>90</v>
      </c>
    </row>
    <row r="1183" spans="1:90" x14ac:dyDescent="0.3">
      <c r="A1183" t="s">
        <v>72</v>
      </c>
      <c r="B1183" t="s">
        <v>73</v>
      </c>
      <c r="C1183" t="s">
        <v>74</v>
      </c>
      <c r="E1183" t="str">
        <f>"080065861982"</f>
        <v>080065861982</v>
      </c>
      <c r="F1183" s="3">
        <v>45818</v>
      </c>
      <c r="G1183">
        <v>202603</v>
      </c>
      <c r="H1183" t="s">
        <v>75</v>
      </c>
      <c r="I1183" t="s">
        <v>76</v>
      </c>
      <c r="J1183" t="s">
        <v>77</v>
      </c>
      <c r="K1183" t="s">
        <v>78</v>
      </c>
      <c r="L1183" t="s">
        <v>1416</v>
      </c>
      <c r="M1183" t="s">
        <v>1417</v>
      </c>
      <c r="N1183" t="s">
        <v>1870</v>
      </c>
      <c r="O1183" t="s">
        <v>82</v>
      </c>
      <c r="P1183" t="str">
        <f>"4170042898                    "</f>
        <v xml:space="preserve">4170042898                    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16.32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0</v>
      </c>
      <c r="BF1183">
        <v>0</v>
      </c>
      <c r="BG1183">
        <v>0</v>
      </c>
      <c r="BH1183">
        <v>1</v>
      </c>
      <c r="BI1183">
        <v>2</v>
      </c>
      <c r="BJ1183">
        <v>1.7</v>
      </c>
      <c r="BK1183">
        <v>2</v>
      </c>
      <c r="BL1183">
        <v>54.28</v>
      </c>
      <c r="BM1183">
        <v>8.14</v>
      </c>
      <c r="BN1183">
        <v>62.42</v>
      </c>
      <c r="BO1183">
        <v>62.42</v>
      </c>
      <c r="BQ1183" t="s">
        <v>1871</v>
      </c>
      <c r="BR1183" t="s">
        <v>84</v>
      </c>
      <c r="BS1183" s="3">
        <v>45819</v>
      </c>
      <c r="BT1183" s="4">
        <v>0.46875</v>
      </c>
      <c r="BU1183" t="s">
        <v>1872</v>
      </c>
      <c r="BV1183" t="s">
        <v>90</v>
      </c>
      <c r="BY1183">
        <v>8512</v>
      </c>
      <c r="CA1183" t="s">
        <v>1873</v>
      </c>
      <c r="CC1183" t="s">
        <v>1417</v>
      </c>
      <c r="CD1183">
        <v>1724</v>
      </c>
      <c r="CE1183" t="s">
        <v>687</v>
      </c>
      <c r="CF1183" s="3">
        <v>45820</v>
      </c>
      <c r="CI1183">
        <v>1</v>
      </c>
      <c r="CJ1183">
        <v>1</v>
      </c>
      <c r="CK1183">
        <v>22</v>
      </c>
      <c r="CL1183" t="s">
        <v>90</v>
      </c>
    </row>
    <row r="1184" spans="1:90" x14ac:dyDescent="0.3">
      <c r="A1184" t="s">
        <v>72</v>
      </c>
      <c r="B1184" t="s">
        <v>73</v>
      </c>
      <c r="C1184" t="s">
        <v>74</v>
      </c>
      <c r="E1184" t="str">
        <f>"080065862019"</f>
        <v>080065862019</v>
      </c>
      <c r="F1184" s="3">
        <v>45818</v>
      </c>
      <c r="G1184">
        <v>202603</v>
      </c>
      <c r="H1184" t="s">
        <v>75</v>
      </c>
      <c r="I1184" t="s">
        <v>76</v>
      </c>
      <c r="J1184" t="s">
        <v>77</v>
      </c>
      <c r="K1184" t="s">
        <v>78</v>
      </c>
      <c r="L1184" t="s">
        <v>106</v>
      </c>
      <c r="M1184" t="s">
        <v>107</v>
      </c>
      <c r="N1184" t="s">
        <v>495</v>
      </c>
      <c r="O1184" t="s">
        <v>82</v>
      </c>
      <c r="P1184" t="str">
        <f>"4170042853                    "</f>
        <v xml:space="preserve">4170042853                    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20.9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0</v>
      </c>
      <c r="BF1184">
        <v>0</v>
      </c>
      <c r="BG1184">
        <v>0</v>
      </c>
      <c r="BH1184">
        <v>1</v>
      </c>
      <c r="BI1184">
        <v>1</v>
      </c>
      <c r="BJ1184">
        <v>1.7</v>
      </c>
      <c r="BK1184">
        <v>2</v>
      </c>
      <c r="BL1184">
        <v>69.5</v>
      </c>
      <c r="BM1184">
        <v>10.43</v>
      </c>
      <c r="BN1184">
        <v>79.930000000000007</v>
      </c>
      <c r="BO1184">
        <v>79.930000000000007</v>
      </c>
      <c r="BQ1184" t="s">
        <v>496</v>
      </c>
      <c r="BR1184" t="s">
        <v>84</v>
      </c>
      <c r="BS1184" s="3">
        <v>45819</v>
      </c>
      <c r="BT1184" s="4">
        <v>0.4236111111111111</v>
      </c>
      <c r="BU1184" t="s">
        <v>497</v>
      </c>
      <c r="BV1184" t="s">
        <v>86</v>
      </c>
      <c r="BY1184">
        <v>8512</v>
      </c>
      <c r="CA1184" t="s">
        <v>1376</v>
      </c>
      <c r="CC1184" t="s">
        <v>107</v>
      </c>
      <c r="CD1184">
        <v>2</v>
      </c>
      <c r="CE1184" t="s">
        <v>687</v>
      </c>
      <c r="CF1184" s="3">
        <v>45819</v>
      </c>
      <c r="CI1184">
        <v>1</v>
      </c>
      <c r="CJ1184">
        <v>1</v>
      </c>
      <c r="CK1184">
        <v>21</v>
      </c>
      <c r="CL1184" t="s">
        <v>90</v>
      </c>
    </row>
    <row r="1185" spans="1:90" x14ac:dyDescent="0.3">
      <c r="A1185" t="s">
        <v>72</v>
      </c>
      <c r="B1185" t="s">
        <v>73</v>
      </c>
      <c r="C1185" t="s">
        <v>74</v>
      </c>
      <c r="E1185" t="str">
        <f>"080065862390"</f>
        <v>080065862390</v>
      </c>
      <c r="F1185" s="3">
        <v>45818</v>
      </c>
      <c r="G1185">
        <v>202603</v>
      </c>
      <c r="H1185" t="s">
        <v>75</v>
      </c>
      <c r="I1185" t="s">
        <v>76</v>
      </c>
      <c r="J1185" t="s">
        <v>77</v>
      </c>
      <c r="K1185" t="s">
        <v>78</v>
      </c>
      <c r="L1185" t="s">
        <v>474</v>
      </c>
      <c r="M1185" t="s">
        <v>475</v>
      </c>
      <c r="N1185" t="s">
        <v>476</v>
      </c>
      <c r="O1185" t="s">
        <v>82</v>
      </c>
      <c r="P1185" t="str">
        <f>"4170042989                    "</f>
        <v xml:space="preserve">4170042989                    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67.91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>
        <v>0</v>
      </c>
      <c r="BF1185">
        <v>0</v>
      </c>
      <c r="BG1185">
        <v>0</v>
      </c>
      <c r="BH1185">
        <v>1</v>
      </c>
      <c r="BI1185">
        <v>2</v>
      </c>
      <c r="BJ1185">
        <v>3.4</v>
      </c>
      <c r="BK1185">
        <v>3.5</v>
      </c>
      <c r="BL1185">
        <v>225.85</v>
      </c>
      <c r="BM1185">
        <v>33.880000000000003</v>
      </c>
      <c r="BN1185">
        <v>259.73</v>
      </c>
      <c r="BO1185">
        <v>259.73</v>
      </c>
      <c r="BQ1185" t="s">
        <v>477</v>
      </c>
      <c r="BR1185" t="s">
        <v>84</v>
      </c>
      <c r="BS1185" s="3">
        <v>45819</v>
      </c>
      <c r="BT1185" s="4">
        <v>0.49305555555555558</v>
      </c>
      <c r="BU1185" t="s">
        <v>478</v>
      </c>
      <c r="BV1185" t="s">
        <v>86</v>
      </c>
      <c r="BY1185">
        <v>16965</v>
      </c>
      <c r="CA1185" t="s">
        <v>479</v>
      </c>
      <c r="CC1185" t="s">
        <v>475</v>
      </c>
      <c r="CD1185">
        <v>6715</v>
      </c>
      <c r="CE1185" t="s">
        <v>687</v>
      </c>
      <c r="CI1185">
        <v>2</v>
      </c>
      <c r="CJ1185">
        <v>1</v>
      </c>
      <c r="CK1185">
        <v>23</v>
      </c>
      <c r="CL1185" t="s">
        <v>90</v>
      </c>
    </row>
    <row r="1186" spans="1:90" x14ac:dyDescent="0.3">
      <c r="A1186" t="s">
        <v>72</v>
      </c>
      <c r="B1186" t="s">
        <v>73</v>
      </c>
      <c r="C1186" t="s">
        <v>74</v>
      </c>
      <c r="E1186" t="str">
        <f>"080065862450"</f>
        <v>080065862450</v>
      </c>
      <c r="F1186" s="3">
        <v>45818</v>
      </c>
      <c r="G1186">
        <v>202603</v>
      </c>
      <c r="H1186" t="s">
        <v>75</v>
      </c>
      <c r="I1186" t="s">
        <v>76</v>
      </c>
      <c r="J1186" t="s">
        <v>77</v>
      </c>
      <c r="K1186" t="s">
        <v>78</v>
      </c>
      <c r="L1186" t="s">
        <v>350</v>
      </c>
      <c r="M1186" t="s">
        <v>351</v>
      </c>
      <c r="N1186" t="s">
        <v>352</v>
      </c>
      <c r="O1186" t="s">
        <v>94</v>
      </c>
      <c r="P1186" t="str">
        <f>"4170042978                    "</f>
        <v xml:space="preserve">4170042978                    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40.409999999999997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0</v>
      </c>
      <c r="BF1186">
        <v>0</v>
      </c>
      <c r="BG1186">
        <v>0</v>
      </c>
      <c r="BH1186">
        <v>1</v>
      </c>
      <c r="BI1186">
        <v>4</v>
      </c>
      <c r="BJ1186">
        <v>6.5</v>
      </c>
      <c r="BK1186">
        <v>7</v>
      </c>
      <c r="BL1186">
        <v>139.96</v>
      </c>
      <c r="BM1186">
        <v>20.99</v>
      </c>
      <c r="BN1186">
        <v>160.94999999999999</v>
      </c>
      <c r="BO1186">
        <v>160.94999999999999</v>
      </c>
      <c r="BQ1186" t="s">
        <v>353</v>
      </c>
      <c r="BR1186" t="s">
        <v>84</v>
      </c>
      <c r="BS1186" s="3">
        <v>45819</v>
      </c>
      <c r="BT1186" s="4">
        <v>0.38055555555555554</v>
      </c>
      <c r="BU1186" t="s">
        <v>354</v>
      </c>
      <c r="BV1186" t="s">
        <v>86</v>
      </c>
      <c r="BY1186">
        <v>32256</v>
      </c>
      <c r="CA1186" t="s">
        <v>355</v>
      </c>
      <c r="CC1186" t="s">
        <v>351</v>
      </c>
      <c r="CD1186">
        <v>157</v>
      </c>
      <c r="CE1186" t="s">
        <v>166</v>
      </c>
      <c r="CF1186" s="3">
        <v>45819</v>
      </c>
      <c r="CI1186">
        <v>1</v>
      </c>
      <c r="CJ1186">
        <v>1</v>
      </c>
      <c r="CK1186">
        <v>41</v>
      </c>
      <c r="CL1186" t="s">
        <v>90</v>
      </c>
    </row>
    <row r="1187" spans="1:90" x14ac:dyDescent="0.3">
      <c r="A1187" t="s">
        <v>72</v>
      </c>
      <c r="B1187" t="s">
        <v>73</v>
      </c>
      <c r="C1187" t="s">
        <v>74</v>
      </c>
      <c r="E1187" t="str">
        <f>"080065862673"</f>
        <v>080065862673</v>
      </c>
      <c r="F1187" s="3">
        <v>45818</v>
      </c>
      <c r="G1187">
        <v>202603</v>
      </c>
      <c r="H1187" t="s">
        <v>75</v>
      </c>
      <c r="I1187" t="s">
        <v>76</v>
      </c>
      <c r="J1187" t="s">
        <v>77</v>
      </c>
      <c r="K1187" t="s">
        <v>78</v>
      </c>
      <c r="L1187" t="s">
        <v>100</v>
      </c>
      <c r="M1187" t="s">
        <v>101</v>
      </c>
      <c r="N1187" t="s">
        <v>867</v>
      </c>
      <c r="O1187" t="s">
        <v>82</v>
      </c>
      <c r="P1187" t="str">
        <f>"4170042995                    "</f>
        <v xml:space="preserve">4170042995                    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20.9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>
        <v>0</v>
      </c>
      <c r="BF1187">
        <v>0</v>
      </c>
      <c r="BG1187">
        <v>0</v>
      </c>
      <c r="BH1187">
        <v>1</v>
      </c>
      <c r="BI1187">
        <v>1</v>
      </c>
      <c r="BJ1187">
        <v>1.3</v>
      </c>
      <c r="BK1187">
        <v>1.5</v>
      </c>
      <c r="BL1187">
        <v>69.5</v>
      </c>
      <c r="BM1187">
        <v>10.43</v>
      </c>
      <c r="BN1187">
        <v>79.930000000000007</v>
      </c>
      <c r="BO1187">
        <v>79.930000000000007</v>
      </c>
      <c r="BQ1187" t="s">
        <v>868</v>
      </c>
      <c r="BR1187" t="s">
        <v>84</v>
      </c>
      <c r="BS1187" t="s">
        <v>189</v>
      </c>
      <c r="BY1187">
        <v>6384</v>
      </c>
      <c r="CC1187" t="s">
        <v>101</v>
      </c>
      <c r="CD1187">
        <v>6020</v>
      </c>
      <c r="CE1187" t="s">
        <v>292</v>
      </c>
      <c r="CI1187">
        <v>1</v>
      </c>
      <c r="CJ1187" t="s">
        <v>189</v>
      </c>
      <c r="CK1187">
        <v>21</v>
      </c>
      <c r="CL1187" t="s">
        <v>90</v>
      </c>
    </row>
    <row r="1188" spans="1:90" x14ac:dyDescent="0.3">
      <c r="A1188" t="s">
        <v>72</v>
      </c>
      <c r="B1188" t="s">
        <v>73</v>
      </c>
      <c r="C1188" t="s">
        <v>74</v>
      </c>
      <c r="E1188" t="str">
        <f>"080065862704"</f>
        <v>080065862704</v>
      </c>
      <c r="F1188" s="3">
        <v>45818</v>
      </c>
      <c r="G1188">
        <v>202603</v>
      </c>
      <c r="H1188" t="s">
        <v>75</v>
      </c>
      <c r="I1188" t="s">
        <v>76</v>
      </c>
      <c r="J1188" t="s">
        <v>77</v>
      </c>
      <c r="K1188" t="s">
        <v>78</v>
      </c>
      <c r="L1188" t="s">
        <v>331</v>
      </c>
      <c r="M1188" t="s">
        <v>332</v>
      </c>
      <c r="N1188" t="s">
        <v>480</v>
      </c>
      <c r="O1188" t="s">
        <v>82</v>
      </c>
      <c r="P1188" t="str">
        <f>"4170042889                    "</f>
        <v xml:space="preserve">4170042889                    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62.66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>
        <v>0</v>
      </c>
      <c r="BF1188">
        <v>0</v>
      </c>
      <c r="BG1188">
        <v>0</v>
      </c>
      <c r="BH1188">
        <v>1</v>
      </c>
      <c r="BI1188">
        <v>6</v>
      </c>
      <c r="BJ1188">
        <v>4.0999999999999996</v>
      </c>
      <c r="BK1188">
        <v>6</v>
      </c>
      <c r="BL1188">
        <v>208.38</v>
      </c>
      <c r="BM1188">
        <v>31.26</v>
      </c>
      <c r="BN1188">
        <v>239.64</v>
      </c>
      <c r="BO1188">
        <v>239.64</v>
      </c>
      <c r="BQ1188" t="s">
        <v>481</v>
      </c>
      <c r="BR1188" t="s">
        <v>84</v>
      </c>
      <c r="BS1188" s="3">
        <v>45819</v>
      </c>
      <c r="BT1188" s="4">
        <v>0.41458333333333336</v>
      </c>
      <c r="BU1188" t="s">
        <v>482</v>
      </c>
      <c r="BV1188" t="s">
        <v>86</v>
      </c>
      <c r="BY1188">
        <v>20358</v>
      </c>
      <c r="CA1188" t="s">
        <v>483</v>
      </c>
      <c r="CC1188" t="s">
        <v>332</v>
      </c>
      <c r="CD1188">
        <v>4001</v>
      </c>
      <c r="CE1188" t="s">
        <v>687</v>
      </c>
      <c r="CI1188">
        <v>1</v>
      </c>
      <c r="CJ1188">
        <v>1</v>
      </c>
      <c r="CK1188">
        <v>21</v>
      </c>
      <c r="CL1188" t="s">
        <v>90</v>
      </c>
    </row>
    <row r="1189" spans="1:90" x14ac:dyDescent="0.3">
      <c r="A1189" t="s">
        <v>72</v>
      </c>
      <c r="B1189" t="s">
        <v>73</v>
      </c>
      <c r="C1189" t="s">
        <v>74</v>
      </c>
      <c r="E1189" t="str">
        <f>"080065862771"</f>
        <v>080065862771</v>
      </c>
      <c r="F1189" s="3">
        <v>45818</v>
      </c>
      <c r="G1189">
        <v>202603</v>
      </c>
      <c r="H1189" t="s">
        <v>75</v>
      </c>
      <c r="I1189" t="s">
        <v>76</v>
      </c>
      <c r="J1189" t="s">
        <v>77</v>
      </c>
      <c r="K1189" t="s">
        <v>78</v>
      </c>
      <c r="L1189" t="s">
        <v>555</v>
      </c>
      <c r="M1189" t="s">
        <v>556</v>
      </c>
      <c r="N1189" t="s">
        <v>1678</v>
      </c>
      <c r="O1189" t="s">
        <v>82</v>
      </c>
      <c r="P1189" t="str">
        <f>"4170042920                    "</f>
        <v xml:space="preserve">4170042920                    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40.49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>
        <v>0</v>
      </c>
      <c r="BF1189">
        <v>0</v>
      </c>
      <c r="BG1189">
        <v>0</v>
      </c>
      <c r="BH1189">
        <v>1</v>
      </c>
      <c r="BI1189">
        <v>1</v>
      </c>
      <c r="BJ1189">
        <v>0.2</v>
      </c>
      <c r="BK1189">
        <v>1</v>
      </c>
      <c r="BL1189">
        <v>134.65</v>
      </c>
      <c r="BM1189">
        <v>20.2</v>
      </c>
      <c r="BN1189">
        <v>154.85</v>
      </c>
      <c r="BO1189">
        <v>154.85</v>
      </c>
      <c r="BQ1189" t="s">
        <v>1679</v>
      </c>
      <c r="BR1189" t="s">
        <v>84</v>
      </c>
      <c r="BS1189" s="3">
        <v>45819</v>
      </c>
      <c r="BT1189" s="4">
        <v>0.38958333333333334</v>
      </c>
      <c r="BU1189" t="s">
        <v>1680</v>
      </c>
      <c r="BV1189" t="s">
        <v>86</v>
      </c>
      <c r="BY1189">
        <v>1200</v>
      </c>
      <c r="CA1189" t="s">
        <v>560</v>
      </c>
      <c r="CC1189" t="s">
        <v>556</v>
      </c>
      <c r="CD1189">
        <v>250</v>
      </c>
      <c r="CE1189" t="s">
        <v>215</v>
      </c>
      <c r="CI1189">
        <v>1</v>
      </c>
      <c r="CJ1189">
        <v>1</v>
      </c>
      <c r="CK1189">
        <v>23</v>
      </c>
      <c r="CL1189" t="s">
        <v>90</v>
      </c>
    </row>
    <row r="1190" spans="1:90" x14ac:dyDescent="0.3">
      <c r="A1190" t="s">
        <v>72</v>
      </c>
      <c r="B1190" t="s">
        <v>73</v>
      </c>
      <c r="C1190" t="s">
        <v>74</v>
      </c>
      <c r="E1190" t="str">
        <f>"080065864386"</f>
        <v>080065864386</v>
      </c>
      <c r="F1190" s="3">
        <v>45818</v>
      </c>
      <c r="G1190">
        <v>202603</v>
      </c>
      <c r="H1190" t="s">
        <v>75</v>
      </c>
      <c r="I1190" t="s">
        <v>76</v>
      </c>
      <c r="J1190" t="s">
        <v>77</v>
      </c>
      <c r="K1190" t="s">
        <v>78</v>
      </c>
      <c r="L1190" t="s">
        <v>100</v>
      </c>
      <c r="M1190" t="s">
        <v>101</v>
      </c>
      <c r="N1190" t="s">
        <v>1642</v>
      </c>
      <c r="O1190" t="s">
        <v>82</v>
      </c>
      <c r="P1190" t="str">
        <f>"4170042856                    "</f>
        <v xml:space="preserve">4170042856                    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20.9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>
        <v>0</v>
      </c>
      <c r="BF1190">
        <v>0</v>
      </c>
      <c r="BG1190">
        <v>0</v>
      </c>
      <c r="BH1190">
        <v>1</v>
      </c>
      <c r="BI1190">
        <v>1</v>
      </c>
      <c r="BJ1190">
        <v>0.2</v>
      </c>
      <c r="BK1190">
        <v>1</v>
      </c>
      <c r="BL1190">
        <v>69.5</v>
      </c>
      <c r="BM1190">
        <v>10.43</v>
      </c>
      <c r="BN1190">
        <v>79.930000000000007</v>
      </c>
      <c r="BO1190">
        <v>79.930000000000007</v>
      </c>
      <c r="BQ1190" t="s">
        <v>1643</v>
      </c>
      <c r="BR1190" t="s">
        <v>84</v>
      </c>
      <c r="BS1190" s="3">
        <v>45819</v>
      </c>
      <c r="BT1190" s="4">
        <v>0.38750000000000001</v>
      </c>
      <c r="BU1190" t="s">
        <v>518</v>
      </c>
      <c r="BV1190" t="s">
        <v>86</v>
      </c>
      <c r="BY1190">
        <v>1200</v>
      </c>
      <c r="CA1190" t="s">
        <v>283</v>
      </c>
      <c r="CC1190" t="s">
        <v>101</v>
      </c>
      <c r="CD1190">
        <v>6001</v>
      </c>
      <c r="CE1190" t="s">
        <v>215</v>
      </c>
      <c r="CF1190" s="3">
        <v>45819</v>
      </c>
      <c r="CI1190">
        <v>1</v>
      </c>
      <c r="CJ1190">
        <v>1</v>
      </c>
      <c r="CK1190">
        <v>21</v>
      </c>
      <c r="CL1190" t="s">
        <v>90</v>
      </c>
    </row>
    <row r="1191" spans="1:90" x14ac:dyDescent="0.3">
      <c r="A1191" t="s">
        <v>72</v>
      </c>
      <c r="B1191" t="s">
        <v>73</v>
      </c>
      <c r="C1191" t="s">
        <v>74</v>
      </c>
      <c r="E1191" t="str">
        <f>"080065864425"</f>
        <v>080065864425</v>
      </c>
      <c r="F1191" s="3">
        <v>45818</v>
      </c>
      <c r="G1191">
        <v>202603</v>
      </c>
      <c r="H1191" t="s">
        <v>75</v>
      </c>
      <c r="I1191" t="s">
        <v>76</v>
      </c>
      <c r="J1191" t="s">
        <v>77</v>
      </c>
      <c r="K1191" t="s">
        <v>78</v>
      </c>
      <c r="L1191" t="s">
        <v>91</v>
      </c>
      <c r="M1191" t="s">
        <v>92</v>
      </c>
      <c r="N1191" t="s">
        <v>327</v>
      </c>
      <c r="O1191" t="s">
        <v>82</v>
      </c>
      <c r="P1191" t="str">
        <f>"4170042935                    "</f>
        <v xml:space="preserve">4170042935                    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20.9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>
        <v>0</v>
      </c>
      <c r="BF1191">
        <v>0</v>
      </c>
      <c r="BG1191">
        <v>0</v>
      </c>
      <c r="BH1191">
        <v>1</v>
      </c>
      <c r="BI1191">
        <v>1</v>
      </c>
      <c r="BJ1191">
        <v>0.2</v>
      </c>
      <c r="BK1191">
        <v>1</v>
      </c>
      <c r="BL1191">
        <v>69.5</v>
      </c>
      <c r="BM1191">
        <v>10.43</v>
      </c>
      <c r="BN1191">
        <v>79.930000000000007</v>
      </c>
      <c r="BO1191">
        <v>79.930000000000007</v>
      </c>
      <c r="BQ1191" t="s">
        <v>328</v>
      </c>
      <c r="BR1191" t="s">
        <v>84</v>
      </c>
      <c r="BS1191" s="3">
        <v>45819</v>
      </c>
      <c r="BT1191" s="4">
        <v>0.31805555555555554</v>
      </c>
      <c r="BU1191" t="s">
        <v>775</v>
      </c>
      <c r="BV1191" t="s">
        <v>86</v>
      </c>
      <c r="BY1191">
        <v>1200</v>
      </c>
      <c r="CA1191" t="s">
        <v>330</v>
      </c>
      <c r="CC1191" t="s">
        <v>92</v>
      </c>
      <c r="CD1191">
        <v>7530</v>
      </c>
      <c r="CE1191" t="s">
        <v>215</v>
      </c>
      <c r="CI1191">
        <v>1</v>
      </c>
      <c r="CJ1191">
        <v>1</v>
      </c>
      <c r="CK1191">
        <v>21</v>
      </c>
      <c r="CL1191" t="s">
        <v>90</v>
      </c>
    </row>
    <row r="1192" spans="1:90" x14ac:dyDescent="0.3">
      <c r="A1192" t="s">
        <v>72</v>
      </c>
      <c r="B1192" t="s">
        <v>73</v>
      </c>
      <c r="C1192" t="s">
        <v>74</v>
      </c>
      <c r="E1192" t="str">
        <f>"080065864449"</f>
        <v>080065864449</v>
      </c>
      <c r="F1192" s="3">
        <v>45818</v>
      </c>
      <c r="G1192">
        <v>202603</v>
      </c>
      <c r="H1192" t="s">
        <v>75</v>
      </c>
      <c r="I1192" t="s">
        <v>76</v>
      </c>
      <c r="J1192" t="s">
        <v>77</v>
      </c>
      <c r="K1192" t="s">
        <v>78</v>
      </c>
      <c r="L1192" t="s">
        <v>91</v>
      </c>
      <c r="M1192" t="s">
        <v>92</v>
      </c>
      <c r="N1192" t="s">
        <v>540</v>
      </c>
      <c r="O1192" t="s">
        <v>82</v>
      </c>
      <c r="P1192" t="str">
        <f>"4170043022                    "</f>
        <v xml:space="preserve">4170043022                    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20.9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>
        <v>0</v>
      </c>
      <c r="BF1192">
        <v>0</v>
      </c>
      <c r="BG1192">
        <v>0</v>
      </c>
      <c r="BH1192">
        <v>1</v>
      </c>
      <c r="BI1192">
        <v>1</v>
      </c>
      <c r="BJ1192">
        <v>0.2</v>
      </c>
      <c r="BK1192">
        <v>1</v>
      </c>
      <c r="BL1192">
        <v>69.5</v>
      </c>
      <c r="BM1192">
        <v>10.43</v>
      </c>
      <c r="BN1192">
        <v>79.930000000000007</v>
      </c>
      <c r="BO1192">
        <v>79.930000000000007</v>
      </c>
      <c r="BQ1192" t="s">
        <v>541</v>
      </c>
      <c r="BR1192" t="s">
        <v>84</v>
      </c>
      <c r="BS1192" s="3">
        <v>45819</v>
      </c>
      <c r="BT1192" s="4">
        <v>0.41666666666666669</v>
      </c>
      <c r="BU1192" t="s">
        <v>1874</v>
      </c>
      <c r="BV1192" t="s">
        <v>86</v>
      </c>
      <c r="BY1192">
        <v>1200</v>
      </c>
      <c r="CC1192" t="s">
        <v>92</v>
      </c>
      <c r="CD1192">
        <v>7441</v>
      </c>
      <c r="CE1192" t="s">
        <v>215</v>
      </c>
      <c r="CI1192">
        <v>1</v>
      </c>
      <c r="CJ1192">
        <v>1</v>
      </c>
      <c r="CK1192">
        <v>21</v>
      </c>
      <c r="CL1192" t="s">
        <v>90</v>
      </c>
    </row>
    <row r="1193" spans="1:90" x14ac:dyDescent="0.3">
      <c r="A1193" t="s">
        <v>72</v>
      </c>
      <c r="B1193" t="s">
        <v>73</v>
      </c>
      <c r="C1193" t="s">
        <v>74</v>
      </c>
      <c r="E1193" t="str">
        <f>"080065864493"</f>
        <v>080065864493</v>
      </c>
      <c r="F1193" s="3">
        <v>45818</v>
      </c>
      <c r="G1193">
        <v>202603</v>
      </c>
      <c r="H1193" t="s">
        <v>75</v>
      </c>
      <c r="I1193" t="s">
        <v>76</v>
      </c>
      <c r="J1193" t="s">
        <v>77</v>
      </c>
      <c r="K1193" t="s">
        <v>78</v>
      </c>
      <c r="L1193" t="s">
        <v>91</v>
      </c>
      <c r="M1193" t="s">
        <v>92</v>
      </c>
      <c r="N1193" t="s">
        <v>540</v>
      </c>
      <c r="O1193" t="s">
        <v>82</v>
      </c>
      <c r="P1193" t="str">
        <f>"4170043021                    "</f>
        <v xml:space="preserve">4170043021                    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20.9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0</v>
      </c>
      <c r="BF1193">
        <v>0</v>
      </c>
      <c r="BG1193">
        <v>0</v>
      </c>
      <c r="BH1193">
        <v>1</v>
      </c>
      <c r="BI1193">
        <v>1</v>
      </c>
      <c r="BJ1193">
        <v>0.2</v>
      </c>
      <c r="BK1193">
        <v>1</v>
      </c>
      <c r="BL1193">
        <v>69.5</v>
      </c>
      <c r="BM1193">
        <v>10.43</v>
      </c>
      <c r="BN1193">
        <v>79.930000000000007</v>
      </c>
      <c r="BO1193">
        <v>79.930000000000007</v>
      </c>
      <c r="BQ1193" t="s">
        <v>541</v>
      </c>
      <c r="BR1193" t="s">
        <v>84</v>
      </c>
      <c r="BS1193" s="3">
        <v>45819</v>
      </c>
      <c r="BT1193" s="4">
        <v>0.40277777777777779</v>
      </c>
      <c r="BU1193" t="s">
        <v>1869</v>
      </c>
      <c r="BV1193" t="s">
        <v>86</v>
      </c>
      <c r="BY1193">
        <v>1200</v>
      </c>
      <c r="CA1193" t="s">
        <v>291</v>
      </c>
      <c r="CC1193" t="s">
        <v>92</v>
      </c>
      <c r="CD1193">
        <v>7441</v>
      </c>
      <c r="CE1193" t="s">
        <v>215</v>
      </c>
      <c r="CI1193">
        <v>1</v>
      </c>
      <c r="CJ1193">
        <v>1</v>
      </c>
      <c r="CK1193">
        <v>21</v>
      </c>
      <c r="CL1193" t="s">
        <v>90</v>
      </c>
    </row>
    <row r="1194" spans="1:90" x14ac:dyDescent="0.3">
      <c r="A1194" t="s">
        <v>72</v>
      </c>
      <c r="B1194" t="s">
        <v>73</v>
      </c>
      <c r="C1194" t="s">
        <v>74</v>
      </c>
      <c r="E1194" t="str">
        <f>"080065864552"</f>
        <v>080065864552</v>
      </c>
      <c r="F1194" s="3">
        <v>45818</v>
      </c>
      <c r="G1194">
        <v>202603</v>
      </c>
      <c r="H1194" t="s">
        <v>75</v>
      </c>
      <c r="I1194" t="s">
        <v>76</v>
      </c>
      <c r="J1194" t="s">
        <v>77</v>
      </c>
      <c r="K1194" t="s">
        <v>78</v>
      </c>
      <c r="L1194" t="s">
        <v>79</v>
      </c>
      <c r="M1194" t="s">
        <v>80</v>
      </c>
      <c r="N1194" t="s">
        <v>717</v>
      </c>
      <c r="O1194" t="s">
        <v>82</v>
      </c>
      <c r="P1194" t="str">
        <f>"4170042949                    "</f>
        <v xml:space="preserve">4170042949                    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50.86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0</v>
      </c>
      <c r="BF1194">
        <v>0</v>
      </c>
      <c r="BG1194">
        <v>0</v>
      </c>
      <c r="BH1194">
        <v>1</v>
      </c>
      <c r="BI1194">
        <v>2</v>
      </c>
      <c r="BJ1194">
        <v>3.4</v>
      </c>
      <c r="BK1194">
        <v>3.5</v>
      </c>
      <c r="BL1194">
        <v>169.13</v>
      </c>
      <c r="BM1194">
        <v>25.37</v>
      </c>
      <c r="BN1194">
        <v>194.5</v>
      </c>
      <c r="BO1194">
        <v>194.5</v>
      </c>
      <c r="BQ1194" t="s">
        <v>718</v>
      </c>
      <c r="BR1194" t="s">
        <v>84</v>
      </c>
      <c r="BS1194" s="3">
        <v>45819</v>
      </c>
      <c r="BT1194" s="4">
        <v>0.48194444444444445</v>
      </c>
      <c r="BU1194" t="s">
        <v>719</v>
      </c>
      <c r="BV1194" t="s">
        <v>90</v>
      </c>
      <c r="BY1194">
        <v>16965</v>
      </c>
      <c r="CA1194" t="s">
        <v>720</v>
      </c>
      <c r="CC1194" t="s">
        <v>80</v>
      </c>
      <c r="CD1194">
        <v>1754</v>
      </c>
      <c r="CE1194" t="s">
        <v>687</v>
      </c>
      <c r="CF1194" s="3">
        <v>45820</v>
      </c>
      <c r="CI1194">
        <v>1</v>
      </c>
      <c r="CJ1194">
        <v>1</v>
      </c>
      <c r="CK1194">
        <v>24</v>
      </c>
      <c r="CL1194" t="s">
        <v>90</v>
      </c>
    </row>
    <row r="1195" spans="1:90" x14ac:dyDescent="0.3">
      <c r="A1195" t="s">
        <v>72</v>
      </c>
      <c r="B1195" t="s">
        <v>73</v>
      </c>
      <c r="C1195" t="s">
        <v>74</v>
      </c>
      <c r="E1195" t="str">
        <f>"080065864579"</f>
        <v>080065864579</v>
      </c>
      <c r="F1195" s="3">
        <v>45818</v>
      </c>
      <c r="G1195">
        <v>202603</v>
      </c>
      <c r="H1195" t="s">
        <v>75</v>
      </c>
      <c r="I1195" t="s">
        <v>76</v>
      </c>
      <c r="J1195" t="s">
        <v>77</v>
      </c>
      <c r="K1195" t="s">
        <v>78</v>
      </c>
      <c r="L1195" t="s">
        <v>100</v>
      </c>
      <c r="M1195" t="s">
        <v>101</v>
      </c>
      <c r="N1195" t="s">
        <v>123</v>
      </c>
      <c r="O1195" t="s">
        <v>82</v>
      </c>
      <c r="P1195" t="str">
        <f>"4170042830                    "</f>
        <v xml:space="preserve">4170042830                    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62.66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0</v>
      </c>
      <c r="BF1195">
        <v>0</v>
      </c>
      <c r="BG1195">
        <v>0</v>
      </c>
      <c r="BH1195">
        <v>1</v>
      </c>
      <c r="BI1195">
        <v>2</v>
      </c>
      <c r="BJ1195">
        <v>6</v>
      </c>
      <c r="BK1195">
        <v>6</v>
      </c>
      <c r="BL1195">
        <v>208.38</v>
      </c>
      <c r="BM1195">
        <v>31.26</v>
      </c>
      <c r="BN1195">
        <v>239.64</v>
      </c>
      <c r="BO1195">
        <v>239.64</v>
      </c>
      <c r="BQ1195" t="s">
        <v>124</v>
      </c>
      <c r="BR1195" t="s">
        <v>84</v>
      </c>
      <c r="BS1195" s="3">
        <v>45819</v>
      </c>
      <c r="BT1195" s="4">
        <v>0.40902777777777777</v>
      </c>
      <c r="BU1195" t="s">
        <v>688</v>
      </c>
      <c r="BV1195" t="s">
        <v>86</v>
      </c>
      <c r="BY1195">
        <v>30056</v>
      </c>
      <c r="CA1195" t="s">
        <v>235</v>
      </c>
      <c r="CC1195" t="s">
        <v>101</v>
      </c>
      <c r="CD1195">
        <v>6001</v>
      </c>
      <c r="CE1195" t="s">
        <v>166</v>
      </c>
      <c r="CF1195" s="3">
        <v>45819</v>
      </c>
      <c r="CI1195">
        <v>1</v>
      </c>
      <c r="CJ1195">
        <v>1</v>
      </c>
      <c r="CK1195">
        <v>21</v>
      </c>
      <c r="CL1195" t="s">
        <v>90</v>
      </c>
    </row>
    <row r="1196" spans="1:90" x14ac:dyDescent="0.3">
      <c r="A1196" t="s">
        <v>72</v>
      </c>
      <c r="B1196" t="s">
        <v>73</v>
      </c>
      <c r="C1196" t="s">
        <v>74</v>
      </c>
      <c r="E1196" t="str">
        <f>"080065864620"</f>
        <v>080065864620</v>
      </c>
      <c r="F1196" s="3">
        <v>45818</v>
      </c>
      <c r="G1196">
        <v>202603</v>
      </c>
      <c r="H1196" t="s">
        <v>75</v>
      </c>
      <c r="I1196" t="s">
        <v>76</v>
      </c>
      <c r="J1196" t="s">
        <v>77</v>
      </c>
      <c r="K1196" t="s">
        <v>78</v>
      </c>
      <c r="L1196" t="s">
        <v>555</v>
      </c>
      <c r="M1196" t="s">
        <v>556</v>
      </c>
      <c r="N1196" t="s">
        <v>1678</v>
      </c>
      <c r="O1196" t="s">
        <v>82</v>
      </c>
      <c r="P1196" t="str">
        <f>"4170043008                    "</f>
        <v xml:space="preserve">4170043008                    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58.77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0</v>
      </c>
      <c r="BF1196">
        <v>0</v>
      </c>
      <c r="BG1196">
        <v>0</v>
      </c>
      <c r="BH1196">
        <v>1</v>
      </c>
      <c r="BI1196">
        <v>3</v>
      </c>
      <c r="BJ1196">
        <v>1.7</v>
      </c>
      <c r="BK1196">
        <v>3</v>
      </c>
      <c r="BL1196">
        <v>195.45</v>
      </c>
      <c r="BM1196">
        <v>29.32</v>
      </c>
      <c r="BN1196">
        <v>224.77</v>
      </c>
      <c r="BO1196">
        <v>224.77</v>
      </c>
      <c r="BQ1196" t="s">
        <v>1679</v>
      </c>
      <c r="BR1196" t="s">
        <v>84</v>
      </c>
      <c r="BS1196" s="3">
        <v>45819</v>
      </c>
      <c r="BT1196" s="4">
        <v>0.4236111111111111</v>
      </c>
      <c r="BU1196" t="s">
        <v>1680</v>
      </c>
      <c r="BV1196" t="s">
        <v>86</v>
      </c>
      <c r="BY1196">
        <v>8512</v>
      </c>
      <c r="CA1196" t="s">
        <v>560</v>
      </c>
      <c r="CC1196" t="s">
        <v>556</v>
      </c>
      <c r="CD1196">
        <v>250</v>
      </c>
      <c r="CE1196" t="s">
        <v>687</v>
      </c>
      <c r="CI1196">
        <v>1</v>
      </c>
      <c r="CJ1196">
        <v>1</v>
      </c>
      <c r="CK1196">
        <v>23</v>
      </c>
      <c r="CL1196" t="s">
        <v>90</v>
      </c>
    </row>
    <row r="1197" spans="1:90" x14ac:dyDescent="0.3">
      <c r="A1197" t="s">
        <v>72</v>
      </c>
      <c r="B1197" t="s">
        <v>73</v>
      </c>
      <c r="C1197" t="s">
        <v>74</v>
      </c>
      <c r="E1197" t="str">
        <f>"080065864676"</f>
        <v>080065864676</v>
      </c>
      <c r="F1197" s="3">
        <v>45818</v>
      </c>
      <c r="G1197">
        <v>202603</v>
      </c>
      <c r="H1197" t="s">
        <v>75</v>
      </c>
      <c r="I1197" t="s">
        <v>76</v>
      </c>
      <c r="J1197" t="s">
        <v>77</v>
      </c>
      <c r="K1197" t="s">
        <v>78</v>
      </c>
      <c r="L1197" t="s">
        <v>75</v>
      </c>
      <c r="M1197" t="s">
        <v>76</v>
      </c>
      <c r="N1197" t="s">
        <v>112</v>
      </c>
      <c r="O1197" t="s">
        <v>82</v>
      </c>
      <c r="P1197" t="str">
        <f>"4170043006                    "</f>
        <v xml:space="preserve">4170043006                    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16.32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0</v>
      </c>
      <c r="BF1197">
        <v>0</v>
      </c>
      <c r="BG1197">
        <v>0</v>
      </c>
      <c r="BH1197">
        <v>1</v>
      </c>
      <c r="BI1197">
        <v>3</v>
      </c>
      <c r="BJ1197">
        <v>4.5</v>
      </c>
      <c r="BK1197">
        <v>5</v>
      </c>
      <c r="BL1197">
        <v>54.28</v>
      </c>
      <c r="BM1197">
        <v>8.14</v>
      </c>
      <c r="BN1197">
        <v>62.42</v>
      </c>
      <c r="BO1197">
        <v>62.42</v>
      </c>
      <c r="BQ1197" t="s">
        <v>113</v>
      </c>
      <c r="BR1197" t="s">
        <v>84</v>
      </c>
      <c r="BS1197" s="3">
        <v>45819</v>
      </c>
      <c r="BT1197" s="4">
        <v>0.35694444444444445</v>
      </c>
      <c r="BU1197" t="s">
        <v>1696</v>
      </c>
      <c r="BV1197" t="s">
        <v>86</v>
      </c>
      <c r="BY1197">
        <v>22620</v>
      </c>
      <c r="CA1197" t="s">
        <v>115</v>
      </c>
      <c r="CC1197" t="s">
        <v>76</v>
      </c>
      <c r="CD1197">
        <v>1600</v>
      </c>
      <c r="CE1197" t="s">
        <v>687</v>
      </c>
      <c r="CF1197" s="3">
        <v>45819</v>
      </c>
      <c r="CI1197">
        <v>1</v>
      </c>
      <c r="CJ1197">
        <v>1</v>
      </c>
      <c r="CK1197">
        <v>22</v>
      </c>
      <c r="CL1197" t="s">
        <v>90</v>
      </c>
    </row>
    <row r="1198" spans="1:90" x14ac:dyDescent="0.3">
      <c r="A1198" t="s">
        <v>72</v>
      </c>
      <c r="B1198" t="s">
        <v>73</v>
      </c>
      <c r="C1198" t="s">
        <v>74</v>
      </c>
      <c r="E1198" t="str">
        <f>"080065864727"</f>
        <v>080065864727</v>
      </c>
      <c r="F1198" s="3">
        <v>45818</v>
      </c>
      <c r="G1198">
        <v>202603</v>
      </c>
      <c r="H1198" t="s">
        <v>75</v>
      </c>
      <c r="I1198" t="s">
        <v>76</v>
      </c>
      <c r="J1198" t="s">
        <v>77</v>
      </c>
      <c r="K1198" t="s">
        <v>78</v>
      </c>
      <c r="L1198" t="s">
        <v>100</v>
      </c>
      <c r="M1198" t="s">
        <v>101</v>
      </c>
      <c r="N1198" t="s">
        <v>123</v>
      </c>
      <c r="O1198" t="s">
        <v>82</v>
      </c>
      <c r="P1198" t="str">
        <f>"4170042930                    "</f>
        <v xml:space="preserve">4170042930                    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20.9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0</v>
      </c>
      <c r="BF1198">
        <v>0</v>
      </c>
      <c r="BG1198">
        <v>0</v>
      </c>
      <c r="BH1198">
        <v>1</v>
      </c>
      <c r="BI1198">
        <v>1</v>
      </c>
      <c r="BJ1198">
        <v>1.1000000000000001</v>
      </c>
      <c r="BK1198">
        <v>1.5</v>
      </c>
      <c r="BL1198">
        <v>69.5</v>
      </c>
      <c r="BM1198">
        <v>10.43</v>
      </c>
      <c r="BN1198">
        <v>79.930000000000007</v>
      </c>
      <c r="BO1198">
        <v>79.930000000000007</v>
      </c>
      <c r="BQ1198" t="s">
        <v>124</v>
      </c>
      <c r="BR1198" t="s">
        <v>84</v>
      </c>
      <c r="BS1198" s="3">
        <v>45819</v>
      </c>
      <c r="BT1198" s="4">
        <v>0.40902777777777777</v>
      </c>
      <c r="BU1198" t="s">
        <v>688</v>
      </c>
      <c r="BV1198" t="s">
        <v>86</v>
      </c>
      <c r="BY1198">
        <v>5320</v>
      </c>
      <c r="CA1198" t="s">
        <v>235</v>
      </c>
      <c r="CC1198" t="s">
        <v>101</v>
      </c>
      <c r="CD1198">
        <v>6001</v>
      </c>
      <c r="CE1198" t="s">
        <v>687</v>
      </c>
      <c r="CF1198" s="3">
        <v>45819</v>
      </c>
      <c r="CI1198">
        <v>1</v>
      </c>
      <c r="CJ1198">
        <v>1</v>
      </c>
      <c r="CK1198">
        <v>21</v>
      </c>
      <c r="CL1198" t="s">
        <v>90</v>
      </c>
    </row>
    <row r="1199" spans="1:90" x14ac:dyDescent="0.3">
      <c r="A1199" t="s">
        <v>72</v>
      </c>
      <c r="B1199" t="s">
        <v>73</v>
      </c>
      <c r="C1199" t="s">
        <v>74</v>
      </c>
      <c r="E1199" t="str">
        <f>"080065864768"</f>
        <v>080065864768</v>
      </c>
      <c r="F1199" s="3">
        <v>45818</v>
      </c>
      <c r="G1199">
        <v>202603</v>
      </c>
      <c r="H1199" t="s">
        <v>75</v>
      </c>
      <c r="I1199" t="s">
        <v>76</v>
      </c>
      <c r="J1199" t="s">
        <v>77</v>
      </c>
      <c r="K1199" t="s">
        <v>78</v>
      </c>
      <c r="L1199" t="s">
        <v>100</v>
      </c>
      <c r="M1199" t="s">
        <v>101</v>
      </c>
      <c r="N1199" t="s">
        <v>1875</v>
      </c>
      <c r="O1199" t="s">
        <v>82</v>
      </c>
      <c r="P1199" t="str">
        <f>"4170042833                    "</f>
        <v xml:space="preserve">4170042833                    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41.78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0</v>
      </c>
      <c r="BF1199">
        <v>0</v>
      </c>
      <c r="BG1199">
        <v>0</v>
      </c>
      <c r="BH1199">
        <v>1</v>
      </c>
      <c r="BI1199">
        <v>3</v>
      </c>
      <c r="BJ1199">
        <v>3.6</v>
      </c>
      <c r="BK1199">
        <v>4</v>
      </c>
      <c r="BL1199">
        <v>138.94</v>
      </c>
      <c r="BM1199">
        <v>20.84</v>
      </c>
      <c r="BN1199">
        <v>159.78</v>
      </c>
      <c r="BO1199">
        <v>159.78</v>
      </c>
      <c r="BQ1199" t="s">
        <v>1876</v>
      </c>
      <c r="BR1199" t="s">
        <v>84</v>
      </c>
      <c r="BS1199" s="3">
        <v>45819</v>
      </c>
      <c r="BT1199" s="4">
        <v>0.4201388888888889</v>
      </c>
      <c r="BU1199" t="s">
        <v>1877</v>
      </c>
      <c r="BV1199" t="s">
        <v>86</v>
      </c>
      <c r="BY1199">
        <v>18096</v>
      </c>
      <c r="CA1199" t="s">
        <v>223</v>
      </c>
      <c r="CC1199" t="s">
        <v>101</v>
      </c>
      <c r="CD1199">
        <v>6001</v>
      </c>
      <c r="CE1199" t="s">
        <v>687</v>
      </c>
      <c r="CF1199" s="3">
        <v>45819</v>
      </c>
      <c r="CI1199">
        <v>1</v>
      </c>
      <c r="CJ1199">
        <v>1</v>
      </c>
      <c r="CK1199">
        <v>21</v>
      </c>
      <c r="CL1199" t="s">
        <v>90</v>
      </c>
    </row>
    <row r="1200" spans="1:90" x14ac:dyDescent="0.3">
      <c r="A1200" t="s">
        <v>72</v>
      </c>
      <c r="B1200" t="s">
        <v>73</v>
      </c>
      <c r="C1200" t="s">
        <v>74</v>
      </c>
      <c r="E1200" t="str">
        <f>"080065864794"</f>
        <v>080065864794</v>
      </c>
      <c r="F1200" s="3">
        <v>45818</v>
      </c>
      <c r="G1200">
        <v>202603</v>
      </c>
      <c r="H1200" t="s">
        <v>75</v>
      </c>
      <c r="I1200" t="s">
        <v>76</v>
      </c>
      <c r="J1200" t="s">
        <v>77</v>
      </c>
      <c r="K1200" t="s">
        <v>78</v>
      </c>
      <c r="L1200" t="s">
        <v>106</v>
      </c>
      <c r="M1200" t="s">
        <v>107</v>
      </c>
      <c r="N1200" t="s">
        <v>1878</v>
      </c>
      <c r="O1200" t="s">
        <v>94</v>
      </c>
      <c r="P1200" t="str">
        <f>"4170043101                    "</f>
        <v xml:space="preserve">4170043101                    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40.409999999999997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0</v>
      </c>
      <c r="BF1200">
        <v>0</v>
      </c>
      <c r="BG1200">
        <v>0</v>
      </c>
      <c r="BH1200">
        <v>1</v>
      </c>
      <c r="BI1200">
        <v>10</v>
      </c>
      <c r="BJ1200">
        <v>8.6999999999999993</v>
      </c>
      <c r="BK1200">
        <v>10</v>
      </c>
      <c r="BL1200">
        <v>139.96</v>
      </c>
      <c r="BM1200">
        <v>20.99</v>
      </c>
      <c r="BN1200">
        <v>160.94999999999999</v>
      </c>
      <c r="BO1200">
        <v>160.94999999999999</v>
      </c>
      <c r="BQ1200" t="s">
        <v>1879</v>
      </c>
      <c r="BR1200" t="s">
        <v>84</v>
      </c>
      <c r="BS1200" s="3">
        <v>45819</v>
      </c>
      <c r="BT1200" s="4">
        <v>0.36458333333333331</v>
      </c>
      <c r="BU1200" t="s">
        <v>1880</v>
      </c>
      <c r="BV1200" t="s">
        <v>86</v>
      </c>
      <c r="BY1200">
        <v>43520</v>
      </c>
      <c r="CA1200" t="s">
        <v>111</v>
      </c>
      <c r="CC1200" t="s">
        <v>107</v>
      </c>
      <c r="CD1200">
        <v>200</v>
      </c>
      <c r="CE1200" t="s">
        <v>166</v>
      </c>
      <c r="CF1200" s="3">
        <v>45819</v>
      </c>
      <c r="CI1200">
        <v>1</v>
      </c>
      <c r="CJ1200">
        <v>1</v>
      </c>
      <c r="CK1200">
        <v>41</v>
      </c>
      <c r="CL1200" t="s">
        <v>90</v>
      </c>
    </row>
    <row r="1201" spans="1:90" x14ac:dyDescent="0.3">
      <c r="A1201" t="s">
        <v>72</v>
      </c>
      <c r="B1201" t="s">
        <v>73</v>
      </c>
      <c r="C1201" t="s">
        <v>74</v>
      </c>
      <c r="E1201" t="str">
        <f>"080065864835"</f>
        <v>080065864835</v>
      </c>
      <c r="F1201" s="3">
        <v>45818</v>
      </c>
      <c r="G1201">
        <v>202603</v>
      </c>
      <c r="H1201" t="s">
        <v>75</v>
      </c>
      <c r="I1201" t="s">
        <v>76</v>
      </c>
      <c r="J1201" t="s">
        <v>77</v>
      </c>
      <c r="K1201" t="s">
        <v>78</v>
      </c>
      <c r="L1201" t="s">
        <v>91</v>
      </c>
      <c r="M1201" t="s">
        <v>92</v>
      </c>
      <c r="N1201" t="s">
        <v>763</v>
      </c>
      <c r="O1201" t="s">
        <v>82</v>
      </c>
      <c r="P1201" t="str">
        <f>"4170043000                    "</f>
        <v xml:space="preserve">4170043000                    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172.28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2</v>
      </c>
      <c r="BI1201">
        <v>14</v>
      </c>
      <c r="BJ1201">
        <v>16.399999999999999</v>
      </c>
      <c r="BK1201">
        <v>16.5</v>
      </c>
      <c r="BL1201">
        <v>572.94000000000005</v>
      </c>
      <c r="BM1201">
        <v>85.94</v>
      </c>
      <c r="BN1201">
        <v>658.88</v>
      </c>
      <c r="BO1201">
        <v>658.88</v>
      </c>
      <c r="BQ1201" t="s">
        <v>764</v>
      </c>
      <c r="BR1201" t="s">
        <v>84</v>
      </c>
      <c r="BS1201" s="3">
        <v>45819</v>
      </c>
      <c r="BT1201" s="4">
        <v>0.50069444444444444</v>
      </c>
      <c r="BU1201" t="s">
        <v>765</v>
      </c>
      <c r="BV1201" t="s">
        <v>90</v>
      </c>
      <c r="BW1201" t="s">
        <v>1209</v>
      </c>
      <c r="BX1201" t="s">
        <v>344</v>
      </c>
      <c r="BY1201">
        <v>81991</v>
      </c>
      <c r="CA1201" t="s">
        <v>767</v>
      </c>
      <c r="CC1201" t="s">
        <v>92</v>
      </c>
      <c r="CD1201">
        <v>7550</v>
      </c>
      <c r="CE1201" t="s">
        <v>687</v>
      </c>
      <c r="CI1201">
        <v>1</v>
      </c>
      <c r="CJ1201">
        <v>1</v>
      </c>
      <c r="CK1201">
        <v>21</v>
      </c>
      <c r="CL1201" t="s">
        <v>90</v>
      </c>
    </row>
    <row r="1202" spans="1:90" x14ac:dyDescent="0.3">
      <c r="A1202" t="s">
        <v>72</v>
      </c>
      <c r="B1202" t="s">
        <v>73</v>
      </c>
      <c r="C1202" t="s">
        <v>74</v>
      </c>
      <c r="E1202" t="str">
        <f>"080065864883"</f>
        <v>080065864883</v>
      </c>
      <c r="F1202" s="3">
        <v>45818</v>
      </c>
      <c r="G1202">
        <v>202603</v>
      </c>
      <c r="H1202" t="s">
        <v>75</v>
      </c>
      <c r="I1202" t="s">
        <v>76</v>
      </c>
      <c r="J1202" t="s">
        <v>77</v>
      </c>
      <c r="K1202" t="s">
        <v>78</v>
      </c>
      <c r="L1202" t="s">
        <v>100</v>
      </c>
      <c r="M1202" t="s">
        <v>101</v>
      </c>
      <c r="N1202" t="s">
        <v>669</v>
      </c>
      <c r="O1202" t="s">
        <v>82</v>
      </c>
      <c r="P1202" t="str">
        <f>"4170043020                    "</f>
        <v xml:space="preserve">4170043020                    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36.56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1</v>
      </c>
      <c r="BI1202">
        <v>2</v>
      </c>
      <c r="BJ1202">
        <v>3.4</v>
      </c>
      <c r="BK1202">
        <v>3.5</v>
      </c>
      <c r="BL1202">
        <v>121.58</v>
      </c>
      <c r="BM1202">
        <v>18.239999999999998</v>
      </c>
      <c r="BN1202">
        <v>139.82</v>
      </c>
      <c r="BO1202">
        <v>139.82</v>
      </c>
      <c r="BQ1202" t="s">
        <v>670</v>
      </c>
      <c r="BR1202" t="s">
        <v>84</v>
      </c>
      <c r="BS1202" s="3">
        <v>45819</v>
      </c>
      <c r="BT1202" s="4">
        <v>0.41875000000000001</v>
      </c>
      <c r="BU1202" t="s">
        <v>1697</v>
      </c>
      <c r="BV1202" t="s">
        <v>86</v>
      </c>
      <c r="BY1202">
        <v>16800</v>
      </c>
      <c r="CA1202" t="s">
        <v>283</v>
      </c>
      <c r="CC1202" t="s">
        <v>101</v>
      </c>
      <c r="CD1202">
        <v>6012</v>
      </c>
      <c r="CE1202" t="s">
        <v>166</v>
      </c>
      <c r="CF1202" s="3">
        <v>45819</v>
      </c>
      <c r="CI1202">
        <v>1</v>
      </c>
      <c r="CJ1202">
        <v>1</v>
      </c>
      <c r="CK1202">
        <v>21</v>
      </c>
      <c r="CL1202" t="s">
        <v>90</v>
      </c>
    </row>
    <row r="1203" spans="1:90" x14ac:dyDescent="0.3">
      <c r="A1203" t="s">
        <v>72</v>
      </c>
      <c r="B1203" t="s">
        <v>73</v>
      </c>
      <c r="C1203" t="s">
        <v>74</v>
      </c>
      <c r="E1203" t="str">
        <f>"080065864908"</f>
        <v>080065864908</v>
      </c>
      <c r="F1203" s="3">
        <v>45818</v>
      </c>
      <c r="G1203">
        <v>202603</v>
      </c>
      <c r="H1203" t="s">
        <v>75</v>
      </c>
      <c r="I1203" t="s">
        <v>76</v>
      </c>
      <c r="J1203" t="s">
        <v>77</v>
      </c>
      <c r="K1203" t="s">
        <v>78</v>
      </c>
      <c r="L1203" t="s">
        <v>91</v>
      </c>
      <c r="M1203" t="s">
        <v>92</v>
      </c>
      <c r="N1203" t="s">
        <v>763</v>
      </c>
      <c r="O1203" t="s">
        <v>82</v>
      </c>
      <c r="P1203" t="str">
        <f>"4170043001                    "</f>
        <v xml:space="preserve">4170043001                    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47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>
        <v>0</v>
      </c>
      <c r="BF1203">
        <v>0</v>
      </c>
      <c r="BG1203">
        <v>0</v>
      </c>
      <c r="BH1203">
        <v>1</v>
      </c>
      <c r="BI1203">
        <v>4</v>
      </c>
      <c r="BJ1203">
        <v>4.5</v>
      </c>
      <c r="BK1203">
        <v>4.5</v>
      </c>
      <c r="BL1203">
        <v>156.30000000000001</v>
      </c>
      <c r="BM1203">
        <v>23.45</v>
      </c>
      <c r="BN1203">
        <v>179.75</v>
      </c>
      <c r="BO1203">
        <v>179.75</v>
      </c>
      <c r="BQ1203" t="s">
        <v>764</v>
      </c>
      <c r="BR1203" t="s">
        <v>84</v>
      </c>
      <c r="BS1203" s="3">
        <v>45819</v>
      </c>
      <c r="BT1203" s="4">
        <v>0.50069444444444444</v>
      </c>
      <c r="BU1203" t="s">
        <v>765</v>
      </c>
      <c r="BV1203" t="s">
        <v>90</v>
      </c>
      <c r="BW1203" t="s">
        <v>1209</v>
      </c>
      <c r="BX1203" t="s">
        <v>344</v>
      </c>
      <c r="BY1203">
        <v>22620</v>
      </c>
      <c r="CA1203" t="s">
        <v>767</v>
      </c>
      <c r="CC1203" t="s">
        <v>92</v>
      </c>
      <c r="CD1203">
        <v>7550</v>
      </c>
      <c r="CE1203" t="s">
        <v>687</v>
      </c>
      <c r="CI1203">
        <v>1</v>
      </c>
      <c r="CJ1203">
        <v>1</v>
      </c>
      <c r="CK1203">
        <v>21</v>
      </c>
      <c r="CL1203" t="s">
        <v>90</v>
      </c>
    </row>
    <row r="1204" spans="1:90" x14ac:dyDescent="0.3">
      <c r="A1204" t="s">
        <v>72</v>
      </c>
      <c r="B1204" t="s">
        <v>73</v>
      </c>
      <c r="C1204" t="s">
        <v>74</v>
      </c>
      <c r="E1204" t="str">
        <f>"080065864937"</f>
        <v>080065864937</v>
      </c>
      <c r="F1204" s="3">
        <v>45818</v>
      </c>
      <c r="G1204">
        <v>202603</v>
      </c>
      <c r="H1204" t="s">
        <v>75</v>
      </c>
      <c r="I1204" t="s">
        <v>76</v>
      </c>
      <c r="J1204" t="s">
        <v>77</v>
      </c>
      <c r="K1204" t="s">
        <v>78</v>
      </c>
      <c r="L1204" t="s">
        <v>91</v>
      </c>
      <c r="M1204" t="s">
        <v>92</v>
      </c>
      <c r="N1204" t="s">
        <v>763</v>
      </c>
      <c r="O1204" t="s">
        <v>82</v>
      </c>
      <c r="P1204" t="str">
        <f>"4170043004                    "</f>
        <v xml:space="preserve">4170043004                    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47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  <c r="AX1204">
        <v>0</v>
      </c>
      <c r="AY1204">
        <v>0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>
        <v>0</v>
      </c>
      <c r="BF1204">
        <v>0</v>
      </c>
      <c r="BG1204">
        <v>0</v>
      </c>
      <c r="BH1204">
        <v>1</v>
      </c>
      <c r="BI1204">
        <v>4</v>
      </c>
      <c r="BJ1204">
        <v>4.5</v>
      </c>
      <c r="BK1204">
        <v>4.5</v>
      </c>
      <c r="BL1204">
        <v>156.30000000000001</v>
      </c>
      <c r="BM1204">
        <v>23.45</v>
      </c>
      <c r="BN1204">
        <v>179.75</v>
      </c>
      <c r="BO1204">
        <v>179.75</v>
      </c>
      <c r="BQ1204" t="s">
        <v>764</v>
      </c>
      <c r="BR1204" t="s">
        <v>84</v>
      </c>
      <c r="BS1204" s="3">
        <v>45819</v>
      </c>
      <c r="BT1204" s="4">
        <v>0.50069444444444444</v>
      </c>
      <c r="BU1204" t="s">
        <v>765</v>
      </c>
      <c r="BV1204" t="s">
        <v>90</v>
      </c>
      <c r="BW1204" t="s">
        <v>1209</v>
      </c>
      <c r="BX1204" t="s">
        <v>344</v>
      </c>
      <c r="BY1204">
        <v>22620</v>
      </c>
      <c r="CA1204" t="s">
        <v>767</v>
      </c>
      <c r="CC1204" t="s">
        <v>92</v>
      </c>
      <c r="CD1204">
        <v>7550</v>
      </c>
      <c r="CE1204" t="s">
        <v>687</v>
      </c>
      <c r="CI1204">
        <v>1</v>
      </c>
      <c r="CJ1204">
        <v>1</v>
      </c>
      <c r="CK1204">
        <v>21</v>
      </c>
      <c r="CL1204" t="s">
        <v>90</v>
      </c>
    </row>
    <row r="1205" spans="1:90" x14ac:dyDescent="0.3">
      <c r="A1205" t="s">
        <v>72</v>
      </c>
      <c r="B1205" t="s">
        <v>73</v>
      </c>
      <c r="C1205" t="s">
        <v>74</v>
      </c>
      <c r="E1205" t="str">
        <f>"080065864981"</f>
        <v>080065864981</v>
      </c>
      <c r="F1205" s="3">
        <v>45818</v>
      </c>
      <c r="G1205">
        <v>202603</v>
      </c>
      <c r="H1205" t="s">
        <v>75</v>
      </c>
      <c r="I1205" t="s">
        <v>76</v>
      </c>
      <c r="J1205" t="s">
        <v>77</v>
      </c>
      <c r="K1205" t="s">
        <v>78</v>
      </c>
      <c r="L1205" t="s">
        <v>136</v>
      </c>
      <c r="M1205" t="s">
        <v>137</v>
      </c>
      <c r="N1205" t="s">
        <v>621</v>
      </c>
      <c r="O1205" t="s">
        <v>82</v>
      </c>
      <c r="P1205" t="str">
        <f>"4170043023                    "</f>
        <v xml:space="preserve">4170043023                    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104.42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  <c r="AZ1205">
        <v>0</v>
      </c>
      <c r="BA1205">
        <v>0</v>
      </c>
      <c r="BB1205">
        <v>0</v>
      </c>
      <c r="BC1205">
        <v>0</v>
      </c>
      <c r="BD1205">
        <v>0</v>
      </c>
      <c r="BE1205">
        <v>0</v>
      </c>
      <c r="BF1205">
        <v>0</v>
      </c>
      <c r="BG1205">
        <v>0</v>
      </c>
      <c r="BH1205">
        <v>2</v>
      </c>
      <c r="BI1205">
        <v>6</v>
      </c>
      <c r="BJ1205">
        <v>10</v>
      </c>
      <c r="BK1205">
        <v>10</v>
      </c>
      <c r="BL1205">
        <v>347.26</v>
      </c>
      <c r="BM1205">
        <v>52.09</v>
      </c>
      <c r="BN1205">
        <v>399.35</v>
      </c>
      <c r="BO1205">
        <v>399.35</v>
      </c>
      <c r="BQ1205" t="s">
        <v>622</v>
      </c>
      <c r="BR1205" t="s">
        <v>84</v>
      </c>
      <c r="BS1205" s="3">
        <v>45819</v>
      </c>
      <c r="BT1205" s="4">
        <v>0.58680555555555558</v>
      </c>
      <c r="BU1205" t="s">
        <v>1881</v>
      </c>
      <c r="BV1205" t="s">
        <v>90</v>
      </c>
      <c r="BY1205">
        <v>49764</v>
      </c>
      <c r="CC1205" t="s">
        <v>137</v>
      </c>
      <c r="CD1205">
        <v>5201</v>
      </c>
      <c r="CE1205" t="s">
        <v>687</v>
      </c>
      <c r="CI1205">
        <v>1</v>
      </c>
      <c r="CJ1205">
        <v>1</v>
      </c>
      <c r="CK1205">
        <v>21</v>
      </c>
      <c r="CL1205" t="s">
        <v>90</v>
      </c>
    </row>
    <row r="1206" spans="1:90" x14ac:dyDescent="0.3">
      <c r="A1206" t="s">
        <v>72</v>
      </c>
      <c r="B1206" t="s">
        <v>73</v>
      </c>
      <c r="C1206" t="s">
        <v>74</v>
      </c>
      <c r="E1206" t="str">
        <f>"080065864994"</f>
        <v>080065864994</v>
      </c>
      <c r="F1206" s="3">
        <v>45818</v>
      </c>
      <c r="G1206">
        <v>202603</v>
      </c>
      <c r="H1206" t="s">
        <v>75</v>
      </c>
      <c r="I1206" t="s">
        <v>76</v>
      </c>
      <c r="J1206" t="s">
        <v>77</v>
      </c>
      <c r="K1206" t="s">
        <v>78</v>
      </c>
      <c r="L1206" t="s">
        <v>100</v>
      </c>
      <c r="M1206" t="s">
        <v>101</v>
      </c>
      <c r="N1206" t="s">
        <v>123</v>
      </c>
      <c r="O1206" t="s">
        <v>94</v>
      </c>
      <c r="P1206" t="str">
        <f>"4170042979                    "</f>
        <v xml:space="preserve">4170042979                    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57.1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0</v>
      </c>
      <c r="BE1206">
        <v>0</v>
      </c>
      <c r="BF1206">
        <v>0</v>
      </c>
      <c r="BG1206">
        <v>0</v>
      </c>
      <c r="BH1206">
        <v>3</v>
      </c>
      <c r="BI1206">
        <v>25</v>
      </c>
      <c r="BJ1206">
        <v>18.399999999999999</v>
      </c>
      <c r="BK1206">
        <v>25</v>
      </c>
      <c r="BL1206">
        <v>195.45</v>
      </c>
      <c r="BM1206">
        <v>29.32</v>
      </c>
      <c r="BN1206">
        <v>224.77</v>
      </c>
      <c r="BO1206">
        <v>224.77</v>
      </c>
      <c r="BQ1206" t="s">
        <v>124</v>
      </c>
      <c r="BR1206" t="s">
        <v>84</v>
      </c>
      <c r="BS1206" t="s">
        <v>189</v>
      </c>
      <c r="BY1206">
        <v>91985</v>
      </c>
      <c r="CC1206" t="s">
        <v>101</v>
      </c>
      <c r="CD1206">
        <v>6001</v>
      </c>
      <c r="CE1206" t="s">
        <v>166</v>
      </c>
      <c r="CI1206">
        <v>3</v>
      </c>
      <c r="CJ1206" t="s">
        <v>189</v>
      </c>
      <c r="CK1206">
        <v>41</v>
      </c>
      <c r="CL1206" t="s">
        <v>90</v>
      </c>
    </row>
    <row r="1207" spans="1:90" x14ac:dyDescent="0.3">
      <c r="A1207" t="s">
        <v>72</v>
      </c>
      <c r="B1207" t="s">
        <v>73</v>
      </c>
      <c r="C1207" t="s">
        <v>74</v>
      </c>
      <c r="E1207" t="str">
        <f>"080065865527"</f>
        <v>080065865527</v>
      </c>
      <c r="F1207" s="3">
        <v>45818</v>
      </c>
      <c r="G1207">
        <v>202603</v>
      </c>
      <c r="H1207" t="s">
        <v>75</v>
      </c>
      <c r="I1207" t="s">
        <v>76</v>
      </c>
      <c r="J1207" t="s">
        <v>77</v>
      </c>
      <c r="K1207" t="s">
        <v>78</v>
      </c>
      <c r="L1207" t="s">
        <v>555</v>
      </c>
      <c r="M1207" t="s">
        <v>556</v>
      </c>
      <c r="N1207" t="s">
        <v>557</v>
      </c>
      <c r="O1207" t="s">
        <v>82</v>
      </c>
      <c r="P1207" t="str">
        <f>"4170043083                    "</f>
        <v xml:space="preserve">4170043083                    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40.49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0</v>
      </c>
      <c r="BE1207">
        <v>0</v>
      </c>
      <c r="BF1207">
        <v>0</v>
      </c>
      <c r="BG1207">
        <v>0</v>
      </c>
      <c r="BH1207">
        <v>1</v>
      </c>
      <c r="BI1207">
        <v>1</v>
      </c>
      <c r="BJ1207">
        <v>0.2</v>
      </c>
      <c r="BK1207">
        <v>1</v>
      </c>
      <c r="BL1207">
        <v>134.65</v>
      </c>
      <c r="BM1207">
        <v>20.2</v>
      </c>
      <c r="BN1207">
        <v>154.85</v>
      </c>
      <c r="BO1207">
        <v>154.85</v>
      </c>
      <c r="BQ1207" t="s">
        <v>558</v>
      </c>
      <c r="BR1207" t="s">
        <v>84</v>
      </c>
      <c r="BS1207" s="3">
        <v>45819</v>
      </c>
      <c r="BT1207" s="4">
        <v>0.42986111111111114</v>
      </c>
      <c r="BU1207" t="s">
        <v>559</v>
      </c>
      <c r="BV1207" t="s">
        <v>86</v>
      </c>
      <c r="BY1207">
        <v>1200</v>
      </c>
      <c r="CA1207" t="s">
        <v>560</v>
      </c>
      <c r="CC1207" t="s">
        <v>556</v>
      </c>
      <c r="CD1207">
        <v>250</v>
      </c>
      <c r="CE1207" t="s">
        <v>215</v>
      </c>
      <c r="CI1207">
        <v>1</v>
      </c>
      <c r="CJ1207">
        <v>1</v>
      </c>
      <c r="CK1207">
        <v>23</v>
      </c>
      <c r="CL1207" t="s">
        <v>90</v>
      </c>
    </row>
    <row r="1208" spans="1:90" x14ac:dyDescent="0.3">
      <c r="A1208" t="s">
        <v>72</v>
      </c>
      <c r="B1208" t="s">
        <v>73</v>
      </c>
      <c r="C1208" t="s">
        <v>74</v>
      </c>
      <c r="E1208" t="str">
        <f>"080065865572"</f>
        <v>080065865572</v>
      </c>
      <c r="F1208" s="3">
        <v>45818</v>
      </c>
      <c r="G1208">
        <v>202603</v>
      </c>
      <c r="H1208" t="s">
        <v>75</v>
      </c>
      <c r="I1208" t="s">
        <v>76</v>
      </c>
      <c r="J1208" t="s">
        <v>77</v>
      </c>
      <c r="K1208" t="s">
        <v>78</v>
      </c>
      <c r="L1208" t="s">
        <v>663</v>
      </c>
      <c r="M1208" t="s">
        <v>664</v>
      </c>
      <c r="N1208" t="s">
        <v>723</v>
      </c>
      <c r="O1208" t="s">
        <v>82</v>
      </c>
      <c r="P1208" t="str">
        <f>"4170043049                    "</f>
        <v xml:space="preserve">4170043049                    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40.49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>
        <v>0</v>
      </c>
      <c r="BD1208">
        <v>0</v>
      </c>
      <c r="BE1208">
        <v>0</v>
      </c>
      <c r="BF1208">
        <v>0</v>
      </c>
      <c r="BG1208">
        <v>0</v>
      </c>
      <c r="BH1208">
        <v>1</v>
      </c>
      <c r="BI1208">
        <v>1</v>
      </c>
      <c r="BJ1208">
        <v>0.2</v>
      </c>
      <c r="BK1208">
        <v>1</v>
      </c>
      <c r="BL1208">
        <v>134.65</v>
      </c>
      <c r="BM1208">
        <v>20.2</v>
      </c>
      <c r="BN1208">
        <v>154.85</v>
      </c>
      <c r="BO1208">
        <v>154.85</v>
      </c>
      <c r="BQ1208" t="s">
        <v>724</v>
      </c>
      <c r="BR1208" t="s">
        <v>84</v>
      </c>
      <c r="BS1208" s="3">
        <v>45819</v>
      </c>
      <c r="BT1208" s="4">
        <v>0.40833333333333333</v>
      </c>
      <c r="BU1208" t="s">
        <v>725</v>
      </c>
      <c r="BV1208" t="s">
        <v>86</v>
      </c>
      <c r="BY1208">
        <v>1200</v>
      </c>
      <c r="BZ1208" t="s">
        <v>87</v>
      </c>
      <c r="CC1208" t="s">
        <v>664</v>
      </c>
      <c r="CD1208">
        <v>1947</v>
      </c>
      <c r="CE1208" t="s">
        <v>89</v>
      </c>
      <c r="CF1208" s="3">
        <v>45819</v>
      </c>
      <c r="CI1208">
        <v>1</v>
      </c>
      <c r="CJ1208">
        <v>1</v>
      </c>
      <c r="CK1208">
        <v>23</v>
      </c>
      <c r="CL1208" t="s">
        <v>90</v>
      </c>
    </row>
    <row r="1209" spans="1:90" x14ac:dyDescent="0.3">
      <c r="A1209" t="s">
        <v>72</v>
      </c>
      <c r="B1209" t="s">
        <v>73</v>
      </c>
      <c r="C1209" t="s">
        <v>74</v>
      </c>
      <c r="E1209" t="str">
        <f>"080065865612"</f>
        <v>080065865612</v>
      </c>
      <c r="F1209" s="3">
        <v>45818</v>
      </c>
      <c r="G1209">
        <v>202603</v>
      </c>
      <c r="H1209" t="s">
        <v>75</v>
      </c>
      <c r="I1209" t="s">
        <v>76</v>
      </c>
      <c r="J1209" t="s">
        <v>77</v>
      </c>
      <c r="K1209" t="s">
        <v>78</v>
      </c>
      <c r="L1209" t="s">
        <v>266</v>
      </c>
      <c r="M1209" t="s">
        <v>267</v>
      </c>
      <c r="N1209" t="s">
        <v>1267</v>
      </c>
      <c r="O1209" t="s">
        <v>82</v>
      </c>
      <c r="P1209" t="str">
        <f>"4170043016                    "</f>
        <v xml:space="preserve">4170043016                    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20.9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</v>
      </c>
      <c r="BD1209">
        <v>0</v>
      </c>
      <c r="BE1209">
        <v>0</v>
      </c>
      <c r="BF1209">
        <v>0</v>
      </c>
      <c r="BG1209">
        <v>0</v>
      </c>
      <c r="BH1209">
        <v>1</v>
      </c>
      <c r="BI1209">
        <v>1</v>
      </c>
      <c r="BJ1209">
        <v>0.2</v>
      </c>
      <c r="BK1209">
        <v>1</v>
      </c>
      <c r="BL1209">
        <v>69.5</v>
      </c>
      <c r="BM1209">
        <v>10.43</v>
      </c>
      <c r="BN1209">
        <v>79.930000000000007</v>
      </c>
      <c r="BO1209">
        <v>79.930000000000007</v>
      </c>
      <c r="BQ1209" t="s">
        <v>1268</v>
      </c>
      <c r="BR1209" t="s">
        <v>84</v>
      </c>
      <c r="BS1209" s="3">
        <v>45819</v>
      </c>
      <c r="BT1209" s="4">
        <v>0.40972222222222221</v>
      </c>
      <c r="BU1209" t="s">
        <v>925</v>
      </c>
      <c r="BV1209" t="s">
        <v>86</v>
      </c>
      <c r="BY1209">
        <v>1200</v>
      </c>
      <c r="CA1209" t="s">
        <v>271</v>
      </c>
      <c r="CC1209" t="s">
        <v>267</v>
      </c>
      <c r="CD1209">
        <v>6230</v>
      </c>
      <c r="CE1209" t="s">
        <v>215</v>
      </c>
      <c r="CF1209" s="3">
        <v>45819</v>
      </c>
      <c r="CI1209">
        <v>1</v>
      </c>
      <c r="CJ1209">
        <v>1</v>
      </c>
      <c r="CK1209">
        <v>21</v>
      </c>
      <c r="CL1209" t="s">
        <v>90</v>
      </c>
    </row>
    <row r="1210" spans="1:90" x14ac:dyDescent="0.3">
      <c r="A1210" t="s">
        <v>72</v>
      </c>
      <c r="B1210" t="s">
        <v>73</v>
      </c>
      <c r="C1210" t="s">
        <v>74</v>
      </c>
      <c r="E1210" t="str">
        <f>"080065865643"</f>
        <v>080065865643</v>
      </c>
      <c r="F1210" s="3">
        <v>45818</v>
      </c>
      <c r="G1210">
        <v>202603</v>
      </c>
      <c r="H1210" t="s">
        <v>75</v>
      </c>
      <c r="I1210" t="s">
        <v>76</v>
      </c>
      <c r="J1210" t="s">
        <v>77</v>
      </c>
      <c r="K1210" t="s">
        <v>78</v>
      </c>
      <c r="L1210" t="s">
        <v>555</v>
      </c>
      <c r="M1210" t="s">
        <v>556</v>
      </c>
      <c r="N1210" t="s">
        <v>557</v>
      </c>
      <c r="O1210" t="s">
        <v>82</v>
      </c>
      <c r="P1210" t="str">
        <f>"4170043082                    "</f>
        <v xml:space="preserve">4170043082                    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40.49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0</v>
      </c>
      <c r="BE1210">
        <v>0</v>
      </c>
      <c r="BF1210">
        <v>0</v>
      </c>
      <c r="BG1210">
        <v>0</v>
      </c>
      <c r="BH1210">
        <v>1</v>
      </c>
      <c r="BI1210">
        <v>1</v>
      </c>
      <c r="BJ1210">
        <v>1.1000000000000001</v>
      </c>
      <c r="BK1210">
        <v>1.5</v>
      </c>
      <c r="BL1210">
        <v>134.65</v>
      </c>
      <c r="BM1210">
        <v>20.2</v>
      </c>
      <c r="BN1210">
        <v>154.85</v>
      </c>
      <c r="BO1210">
        <v>154.85</v>
      </c>
      <c r="BQ1210" t="s">
        <v>558</v>
      </c>
      <c r="BR1210" t="s">
        <v>84</v>
      </c>
      <c r="BS1210" s="3">
        <v>45819</v>
      </c>
      <c r="BT1210" s="4">
        <v>0.4284722222222222</v>
      </c>
      <c r="BU1210" t="s">
        <v>559</v>
      </c>
      <c r="BV1210" t="s">
        <v>86</v>
      </c>
      <c r="BY1210">
        <v>5320</v>
      </c>
      <c r="CA1210" t="s">
        <v>560</v>
      </c>
      <c r="CC1210" t="s">
        <v>556</v>
      </c>
      <c r="CD1210">
        <v>250</v>
      </c>
      <c r="CE1210" t="s">
        <v>687</v>
      </c>
      <c r="CI1210">
        <v>1</v>
      </c>
      <c r="CJ1210">
        <v>1</v>
      </c>
      <c r="CK1210">
        <v>23</v>
      </c>
      <c r="CL1210" t="s">
        <v>90</v>
      </c>
    </row>
    <row r="1211" spans="1:90" x14ac:dyDescent="0.3">
      <c r="A1211" t="s">
        <v>72</v>
      </c>
      <c r="B1211" t="s">
        <v>73</v>
      </c>
      <c r="C1211" t="s">
        <v>74</v>
      </c>
      <c r="E1211" t="str">
        <f>"080065865661"</f>
        <v>080065865661</v>
      </c>
      <c r="F1211" s="3">
        <v>45818</v>
      </c>
      <c r="G1211">
        <v>202603</v>
      </c>
      <c r="H1211" t="s">
        <v>75</v>
      </c>
      <c r="I1211" t="s">
        <v>76</v>
      </c>
      <c r="J1211" t="s">
        <v>77</v>
      </c>
      <c r="K1211" t="s">
        <v>78</v>
      </c>
      <c r="L1211" t="s">
        <v>331</v>
      </c>
      <c r="M1211" t="s">
        <v>332</v>
      </c>
      <c r="N1211" t="s">
        <v>1499</v>
      </c>
      <c r="O1211" t="s">
        <v>82</v>
      </c>
      <c r="P1211" t="str">
        <f>"4170043056                    "</f>
        <v xml:space="preserve">4170043056                    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20.9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</v>
      </c>
      <c r="BD1211">
        <v>0</v>
      </c>
      <c r="BE1211">
        <v>0</v>
      </c>
      <c r="BF1211">
        <v>0</v>
      </c>
      <c r="BG1211">
        <v>0</v>
      </c>
      <c r="BH1211">
        <v>1</v>
      </c>
      <c r="BI1211">
        <v>1</v>
      </c>
      <c r="BJ1211">
        <v>0.2</v>
      </c>
      <c r="BK1211">
        <v>1</v>
      </c>
      <c r="BL1211">
        <v>69.5</v>
      </c>
      <c r="BM1211">
        <v>10.43</v>
      </c>
      <c r="BN1211">
        <v>79.930000000000007</v>
      </c>
      <c r="BO1211">
        <v>79.930000000000007</v>
      </c>
      <c r="BQ1211" t="s">
        <v>1500</v>
      </c>
      <c r="BR1211" t="s">
        <v>84</v>
      </c>
      <c r="BS1211" s="3">
        <v>45819</v>
      </c>
      <c r="BT1211" s="4">
        <v>0.33541666666666664</v>
      </c>
      <c r="BU1211" t="s">
        <v>716</v>
      </c>
      <c r="BV1211" t="s">
        <v>86</v>
      </c>
      <c r="BY1211">
        <v>1200</v>
      </c>
      <c r="CA1211" t="s">
        <v>336</v>
      </c>
      <c r="CC1211" t="s">
        <v>332</v>
      </c>
      <c r="CD1211">
        <v>4000</v>
      </c>
      <c r="CE1211" t="s">
        <v>215</v>
      </c>
      <c r="CI1211">
        <v>1</v>
      </c>
      <c r="CJ1211">
        <v>1</v>
      </c>
      <c r="CK1211">
        <v>21</v>
      </c>
      <c r="CL1211" t="s">
        <v>90</v>
      </c>
    </row>
    <row r="1212" spans="1:90" x14ac:dyDescent="0.3">
      <c r="A1212" t="s">
        <v>72</v>
      </c>
      <c r="B1212" t="s">
        <v>73</v>
      </c>
      <c r="C1212" t="s">
        <v>74</v>
      </c>
      <c r="E1212" t="str">
        <f>"080065865695"</f>
        <v>080065865695</v>
      </c>
      <c r="F1212" s="3">
        <v>45818</v>
      </c>
      <c r="G1212">
        <v>202603</v>
      </c>
      <c r="H1212" t="s">
        <v>75</v>
      </c>
      <c r="I1212" t="s">
        <v>76</v>
      </c>
      <c r="J1212" t="s">
        <v>77</v>
      </c>
      <c r="K1212" t="s">
        <v>78</v>
      </c>
      <c r="L1212" t="s">
        <v>284</v>
      </c>
      <c r="M1212" t="s">
        <v>285</v>
      </c>
      <c r="N1212" t="s">
        <v>1865</v>
      </c>
      <c r="O1212" t="s">
        <v>82</v>
      </c>
      <c r="P1212" t="str">
        <f>"4170043069                    "</f>
        <v xml:space="preserve">4170043069                    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16.32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0</v>
      </c>
      <c r="BE1212">
        <v>0</v>
      </c>
      <c r="BF1212">
        <v>0</v>
      </c>
      <c r="BG1212">
        <v>0</v>
      </c>
      <c r="BH1212">
        <v>1</v>
      </c>
      <c r="BI1212">
        <v>2</v>
      </c>
      <c r="BJ1212">
        <v>1.1000000000000001</v>
      </c>
      <c r="BK1212">
        <v>2</v>
      </c>
      <c r="BL1212">
        <v>54.28</v>
      </c>
      <c r="BM1212">
        <v>8.14</v>
      </c>
      <c r="BN1212">
        <v>62.42</v>
      </c>
      <c r="BO1212">
        <v>62.42</v>
      </c>
      <c r="BQ1212" t="s">
        <v>1866</v>
      </c>
      <c r="BR1212" t="s">
        <v>84</v>
      </c>
      <c r="BS1212" s="3">
        <v>45819</v>
      </c>
      <c r="BT1212" s="4">
        <v>0.43055555555555558</v>
      </c>
      <c r="BU1212" t="s">
        <v>1867</v>
      </c>
      <c r="BV1212" t="s">
        <v>86</v>
      </c>
      <c r="BY1212">
        <v>5320</v>
      </c>
      <c r="CA1212" t="s">
        <v>971</v>
      </c>
      <c r="CC1212" t="s">
        <v>285</v>
      </c>
      <c r="CD1212">
        <v>1559</v>
      </c>
      <c r="CE1212" t="s">
        <v>687</v>
      </c>
      <c r="CF1212" s="3">
        <v>45820</v>
      </c>
      <c r="CI1212">
        <v>1</v>
      </c>
      <c r="CJ1212">
        <v>1</v>
      </c>
      <c r="CK1212">
        <v>22</v>
      </c>
      <c r="CL1212" t="s">
        <v>90</v>
      </c>
    </row>
    <row r="1213" spans="1:90" x14ac:dyDescent="0.3">
      <c r="A1213" t="s">
        <v>72</v>
      </c>
      <c r="B1213" t="s">
        <v>73</v>
      </c>
      <c r="C1213" t="s">
        <v>74</v>
      </c>
      <c r="E1213" t="str">
        <f>"080065865703"</f>
        <v>080065865703</v>
      </c>
      <c r="F1213" s="3">
        <v>45818</v>
      </c>
      <c r="G1213">
        <v>202603</v>
      </c>
      <c r="H1213" t="s">
        <v>75</v>
      </c>
      <c r="I1213" t="s">
        <v>76</v>
      </c>
      <c r="J1213" t="s">
        <v>77</v>
      </c>
      <c r="K1213" t="s">
        <v>78</v>
      </c>
      <c r="L1213" t="s">
        <v>555</v>
      </c>
      <c r="M1213" t="s">
        <v>556</v>
      </c>
      <c r="N1213" t="s">
        <v>557</v>
      </c>
      <c r="O1213" t="s">
        <v>82</v>
      </c>
      <c r="P1213" t="str">
        <f>"4170043073                    "</f>
        <v xml:space="preserve">4170043073                    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40.49</v>
      </c>
      <c r="AR1213">
        <v>0</v>
      </c>
      <c r="AS1213">
        <v>0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</v>
      </c>
      <c r="BD1213">
        <v>0</v>
      </c>
      <c r="BE1213">
        <v>0</v>
      </c>
      <c r="BF1213">
        <v>0</v>
      </c>
      <c r="BG1213">
        <v>0</v>
      </c>
      <c r="BH1213">
        <v>1</v>
      </c>
      <c r="BI1213">
        <v>1</v>
      </c>
      <c r="BJ1213">
        <v>0.2</v>
      </c>
      <c r="BK1213">
        <v>1</v>
      </c>
      <c r="BL1213">
        <v>134.65</v>
      </c>
      <c r="BM1213">
        <v>20.2</v>
      </c>
      <c r="BN1213">
        <v>154.85</v>
      </c>
      <c r="BO1213">
        <v>154.85</v>
      </c>
      <c r="BQ1213" t="s">
        <v>558</v>
      </c>
      <c r="BR1213" t="s">
        <v>84</v>
      </c>
      <c r="BS1213" s="3">
        <v>45819</v>
      </c>
      <c r="BT1213" s="4">
        <v>0.42916666666666664</v>
      </c>
      <c r="BU1213" t="s">
        <v>559</v>
      </c>
      <c r="BV1213" t="s">
        <v>86</v>
      </c>
      <c r="BY1213">
        <v>1200</v>
      </c>
      <c r="CA1213" t="s">
        <v>560</v>
      </c>
      <c r="CC1213" t="s">
        <v>556</v>
      </c>
      <c r="CD1213">
        <v>250</v>
      </c>
      <c r="CE1213" t="s">
        <v>215</v>
      </c>
      <c r="CI1213">
        <v>1</v>
      </c>
      <c r="CJ1213">
        <v>1</v>
      </c>
      <c r="CK1213">
        <v>23</v>
      </c>
      <c r="CL1213" t="s">
        <v>90</v>
      </c>
    </row>
    <row r="1214" spans="1:90" x14ac:dyDescent="0.3">
      <c r="A1214" t="s">
        <v>72</v>
      </c>
      <c r="B1214" t="s">
        <v>73</v>
      </c>
      <c r="C1214" t="s">
        <v>74</v>
      </c>
      <c r="E1214" t="str">
        <f>"080065865725"</f>
        <v>080065865725</v>
      </c>
      <c r="F1214" s="3">
        <v>45818</v>
      </c>
      <c r="G1214">
        <v>202603</v>
      </c>
      <c r="H1214" t="s">
        <v>75</v>
      </c>
      <c r="I1214" t="s">
        <v>76</v>
      </c>
      <c r="J1214" t="s">
        <v>77</v>
      </c>
      <c r="K1214" t="s">
        <v>78</v>
      </c>
      <c r="L1214" t="s">
        <v>870</v>
      </c>
      <c r="M1214" t="s">
        <v>871</v>
      </c>
      <c r="N1214" t="s">
        <v>872</v>
      </c>
      <c r="O1214" t="s">
        <v>82</v>
      </c>
      <c r="P1214" t="str">
        <f>"4170043051                    "</f>
        <v xml:space="preserve">4170043051                    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40.49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0</v>
      </c>
      <c r="BE1214">
        <v>0</v>
      </c>
      <c r="BF1214">
        <v>0</v>
      </c>
      <c r="BG1214">
        <v>0</v>
      </c>
      <c r="BH1214">
        <v>1</v>
      </c>
      <c r="BI1214">
        <v>1</v>
      </c>
      <c r="BJ1214">
        <v>0.2</v>
      </c>
      <c r="BK1214">
        <v>1</v>
      </c>
      <c r="BL1214">
        <v>134.65</v>
      </c>
      <c r="BM1214">
        <v>20.2</v>
      </c>
      <c r="BN1214">
        <v>154.85</v>
      </c>
      <c r="BO1214">
        <v>154.85</v>
      </c>
      <c r="BQ1214" t="s">
        <v>873</v>
      </c>
      <c r="BR1214" t="s">
        <v>84</v>
      </c>
      <c r="BS1214" s="3">
        <v>45819</v>
      </c>
      <c r="BT1214" s="4">
        <v>0.67361111111111116</v>
      </c>
      <c r="BU1214" t="s">
        <v>1882</v>
      </c>
      <c r="BV1214" t="s">
        <v>86</v>
      </c>
      <c r="BY1214">
        <v>1200</v>
      </c>
      <c r="CC1214" t="s">
        <v>871</v>
      </c>
      <c r="CD1214">
        <v>7299</v>
      </c>
      <c r="CE1214" t="s">
        <v>215</v>
      </c>
      <c r="CI1214">
        <v>1</v>
      </c>
      <c r="CJ1214">
        <v>1</v>
      </c>
      <c r="CK1214">
        <v>23</v>
      </c>
      <c r="CL1214" t="s">
        <v>90</v>
      </c>
    </row>
    <row r="1215" spans="1:90" x14ac:dyDescent="0.3">
      <c r="A1215" t="s">
        <v>72</v>
      </c>
      <c r="B1215" t="s">
        <v>73</v>
      </c>
      <c r="C1215" t="s">
        <v>74</v>
      </c>
      <c r="E1215" t="str">
        <f>"080065865749"</f>
        <v>080065865749</v>
      </c>
      <c r="F1215" s="3">
        <v>45818</v>
      </c>
      <c r="G1215">
        <v>202603</v>
      </c>
      <c r="H1215" t="s">
        <v>75</v>
      </c>
      <c r="I1215" t="s">
        <v>76</v>
      </c>
      <c r="J1215" t="s">
        <v>77</v>
      </c>
      <c r="K1215" t="s">
        <v>78</v>
      </c>
      <c r="L1215" t="s">
        <v>174</v>
      </c>
      <c r="M1215" t="s">
        <v>175</v>
      </c>
      <c r="N1215" t="s">
        <v>926</v>
      </c>
      <c r="O1215" t="s">
        <v>94</v>
      </c>
      <c r="P1215" t="str">
        <f>"4170042999                    "</f>
        <v xml:space="preserve">4170042999                    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73.78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0</v>
      </c>
      <c r="BE1215">
        <v>0</v>
      </c>
      <c r="BF1215">
        <v>0</v>
      </c>
      <c r="BG1215">
        <v>0</v>
      </c>
      <c r="BH1215">
        <v>3</v>
      </c>
      <c r="BI1215">
        <v>20</v>
      </c>
      <c r="BJ1215">
        <v>34.9</v>
      </c>
      <c r="BK1215">
        <v>35</v>
      </c>
      <c r="BL1215">
        <v>250.93</v>
      </c>
      <c r="BM1215">
        <v>37.64</v>
      </c>
      <c r="BN1215">
        <v>288.57</v>
      </c>
      <c r="BO1215">
        <v>288.57</v>
      </c>
      <c r="BQ1215" t="s">
        <v>927</v>
      </c>
      <c r="BR1215" t="s">
        <v>84</v>
      </c>
      <c r="BS1215" s="3">
        <v>45819</v>
      </c>
      <c r="BT1215" s="4">
        <v>0.41666666666666669</v>
      </c>
      <c r="BU1215" t="s">
        <v>1171</v>
      </c>
      <c r="BV1215" t="s">
        <v>86</v>
      </c>
      <c r="BY1215">
        <v>174340</v>
      </c>
      <c r="CA1215" t="s">
        <v>596</v>
      </c>
      <c r="CC1215" t="s">
        <v>175</v>
      </c>
      <c r="CD1215">
        <v>3610</v>
      </c>
      <c r="CE1215" t="s">
        <v>687</v>
      </c>
      <c r="CI1215">
        <v>1</v>
      </c>
      <c r="CJ1215">
        <v>1</v>
      </c>
      <c r="CK1215">
        <v>41</v>
      </c>
      <c r="CL1215" t="s">
        <v>90</v>
      </c>
    </row>
    <row r="1216" spans="1:90" x14ac:dyDescent="0.3">
      <c r="A1216" t="s">
        <v>72</v>
      </c>
      <c r="B1216" t="s">
        <v>73</v>
      </c>
      <c r="C1216" t="s">
        <v>74</v>
      </c>
      <c r="E1216" t="str">
        <f>"080065865762"</f>
        <v>080065865762</v>
      </c>
      <c r="F1216" s="3">
        <v>45818</v>
      </c>
      <c r="G1216">
        <v>202603</v>
      </c>
      <c r="H1216" t="s">
        <v>75</v>
      </c>
      <c r="I1216" t="s">
        <v>76</v>
      </c>
      <c r="J1216" t="s">
        <v>77</v>
      </c>
      <c r="K1216" t="s">
        <v>78</v>
      </c>
      <c r="L1216" t="s">
        <v>100</v>
      </c>
      <c r="M1216" t="s">
        <v>101</v>
      </c>
      <c r="N1216" t="s">
        <v>1467</v>
      </c>
      <c r="O1216" t="s">
        <v>82</v>
      </c>
      <c r="P1216" t="str">
        <f>"4170042972                    "</f>
        <v xml:space="preserve">4170042972                    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20.9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  <c r="AZ1216">
        <v>0</v>
      </c>
      <c r="BA1216">
        <v>0</v>
      </c>
      <c r="BB1216">
        <v>0</v>
      </c>
      <c r="BC1216">
        <v>0</v>
      </c>
      <c r="BD1216">
        <v>0</v>
      </c>
      <c r="BE1216">
        <v>0</v>
      </c>
      <c r="BF1216">
        <v>0</v>
      </c>
      <c r="BG1216">
        <v>0</v>
      </c>
      <c r="BH1216">
        <v>1</v>
      </c>
      <c r="BI1216">
        <v>1</v>
      </c>
      <c r="BJ1216">
        <v>0.2</v>
      </c>
      <c r="BK1216">
        <v>1</v>
      </c>
      <c r="BL1216">
        <v>69.5</v>
      </c>
      <c r="BM1216">
        <v>10.43</v>
      </c>
      <c r="BN1216">
        <v>79.930000000000007</v>
      </c>
      <c r="BO1216">
        <v>79.930000000000007</v>
      </c>
      <c r="BQ1216" t="s">
        <v>1468</v>
      </c>
      <c r="BR1216" t="s">
        <v>84</v>
      </c>
      <c r="BS1216" s="3">
        <v>45819</v>
      </c>
      <c r="BT1216" s="4">
        <v>0.42916666666666664</v>
      </c>
      <c r="BU1216" t="s">
        <v>1883</v>
      </c>
      <c r="BV1216" t="s">
        <v>86</v>
      </c>
      <c r="BY1216">
        <v>1200</v>
      </c>
      <c r="CA1216" t="s">
        <v>235</v>
      </c>
      <c r="CC1216" t="s">
        <v>101</v>
      </c>
      <c r="CD1216">
        <v>6001</v>
      </c>
      <c r="CE1216" t="s">
        <v>215</v>
      </c>
      <c r="CF1216" s="3">
        <v>45819</v>
      </c>
      <c r="CI1216">
        <v>1</v>
      </c>
      <c r="CJ1216">
        <v>1</v>
      </c>
      <c r="CK1216">
        <v>21</v>
      </c>
      <c r="CL1216" t="s">
        <v>90</v>
      </c>
    </row>
    <row r="1217" spans="1:90" x14ac:dyDescent="0.3">
      <c r="A1217" t="s">
        <v>72</v>
      </c>
      <c r="B1217" t="s">
        <v>73</v>
      </c>
      <c r="C1217" t="s">
        <v>74</v>
      </c>
      <c r="E1217" t="str">
        <f>"080065865789"</f>
        <v>080065865789</v>
      </c>
      <c r="F1217" s="3">
        <v>45818</v>
      </c>
      <c r="G1217">
        <v>202603</v>
      </c>
      <c r="H1217" t="s">
        <v>75</v>
      </c>
      <c r="I1217" t="s">
        <v>76</v>
      </c>
      <c r="J1217" t="s">
        <v>77</v>
      </c>
      <c r="K1217" t="s">
        <v>78</v>
      </c>
      <c r="L1217" t="s">
        <v>91</v>
      </c>
      <c r="M1217" t="s">
        <v>92</v>
      </c>
      <c r="N1217" t="s">
        <v>93</v>
      </c>
      <c r="O1217" t="s">
        <v>82</v>
      </c>
      <c r="P1217" t="str">
        <f>"4170043054                    "</f>
        <v xml:space="preserve">4170043054                    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20.9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0</v>
      </c>
      <c r="BE1217">
        <v>0</v>
      </c>
      <c r="BF1217">
        <v>0</v>
      </c>
      <c r="BG1217">
        <v>0</v>
      </c>
      <c r="BH1217">
        <v>1</v>
      </c>
      <c r="BI1217">
        <v>1</v>
      </c>
      <c r="BJ1217">
        <v>1.9</v>
      </c>
      <c r="BK1217">
        <v>2</v>
      </c>
      <c r="BL1217">
        <v>69.5</v>
      </c>
      <c r="BM1217">
        <v>10.43</v>
      </c>
      <c r="BN1217">
        <v>79.930000000000007</v>
      </c>
      <c r="BO1217">
        <v>79.930000000000007</v>
      </c>
      <c r="BQ1217" t="s">
        <v>95</v>
      </c>
      <c r="BR1217" t="s">
        <v>84</v>
      </c>
      <c r="BS1217" s="3">
        <v>45819</v>
      </c>
      <c r="BT1217" s="4">
        <v>0.36805555555555558</v>
      </c>
      <c r="BU1217" t="s">
        <v>1884</v>
      </c>
      <c r="BV1217" t="s">
        <v>86</v>
      </c>
      <c r="BY1217">
        <v>9600</v>
      </c>
      <c r="CA1217" t="s">
        <v>291</v>
      </c>
      <c r="CC1217" t="s">
        <v>92</v>
      </c>
      <c r="CD1217">
        <v>7441</v>
      </c>
      <c r="CE1217" t="s">
        <v>687</v>
      </c>
      <c r="CI1217">
        <v>1</v>
      </c>
      <c r="CJ1217">
        <v>1</v>
      </c>
      <c r="CK1217">
        <v>21</v>
      </c>
      <c r="CL1217" t="s">
        <v>90</v>
      </c>
    </row>
    <row r="1218" spans="1:90" x14ac:dyDescent="0.3">
      <c r="A1218" t="s">
        <v>72</v>
      </c>
      <c r="B1218" t="s">
        <v>73</v>
      </c>
      <c r="C1218" t="s">
        <v>74</v>
      </c>
      <c r="E1218" t="str">
        <f>"080065865830"</f>
        <v>080065865830</v>
      </c>
      <c r="F1218" s="3">
        <v>45818</v>
      </c>
      <c r="G1218">
        <v>202603</v>
      </c>
      <c r="H1218" t="s">
        <v>75</v>
      </c>
      <c r="I1218" t="s">
        <v>76</v>
      </c>
      <c r="J1218" t="s">
        <v>77</v>
      </c>
      <c r="K1218" t="s">
        <v>78</v>
      </c>
      <c r="L1218" t="s">
        <v>266</v>
      </c>
      <c r="M1218" t="s">
        <v>267</v>
      </c>
      <c r="N1218" t="s">
        <v>1597</v>
      </c>
      <c r="O1218" t="s">
        <v>82</v>
      </c>
      <c r="P1218" t="str">
        <f>"4170043055                    "</f>
        <v xml:space="preserve">4170043055                    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20.9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  <c r="AZ1218">
        <v>0</v>
      </c>
      <c r="BA1218">
        <v>0</v>
      </c>
      <c r="BB1218">
        <v>0</v>
      </c>
      <c r="BC1218">
        <v>0</v>
      </c>
      <c r="BD1218">
        <v>0</v>
      </c>
      <c r="BE1218">
        <v>0</v>
      </c>
      <c r="BF1218">
        <v>0</v>
      </c>
      <c r="BG1218">
        <v>0</v>
      </c>
      <c r="BH1218">
        <v>1</v>
      </c>
      <c r="BI1218">
        <v>1</v>
      </c>
      <c r="BJ1218">
        <v>0.6</v>
      </c>
      <c r="BK1218">
        <v>1</v>
      </c>
      <c r="BL1218">
        <v>69.5</v>
      </c>
      <c r="BM1218">
        <v>10.43</v>
      </c>
      <c r="BN1218">
        <v>79.930000000000007</v>
      </c>
      <c r="BO1218">
        <v>79.930000000000007</v>
      </c>
      <c r="BQ1218" t="s">
        <v>1598</v>
      </c>
      <c r="BR1218" t="s">
        <v>84</v>
      </c>
      <c r="BS1218" s="3">
        <v>45819</v>
      </c>
      <c r="BT1218" s="4">
        <v>0.40347222222222223</v>
      </c>
      <c r="BU1218" t="s">
        <v>1885</v>
      </c>
      <c r="BV1218" t="s">
        <v>86</v>
      </c>
      <c r="BY1218">
        <v>3192</v>
      </c>
      <c r="CA1218" t="s">
        <v>271</v>
      </c>
      <c r="CC1218" t="s">
        <v>267</v>
      </c>
      <c r="CD1218">
        <v>6230</v>
      </c>
      <c r="CE1218" t="s">
        <v>687</v>
      </c>
      <c r="CF1218" s="3">
        <v>45819</v>
      </c>
      <c r="CI1218">
        <v>1</v>
      </c>
      <c r="CJ1218">
        <v>1</v>
      </c>
      <c r="CK1218">
        <v>21</v>
      </c>
      <c r="CL1218" t="s">
        <v>90</v>
      </c>
    </row>
    <row r="1219" spans="1:90" x14ac:dyDescent="0.3">
      <c r="A1219" t="s">
        <v>72</v>
      </c>
      <c r="B1219" t="s">
        <v>73</v>
      </c>
      <c r="C1219" t="s">
        <v>74</v>
      </c>
      <c r="E1219" t="str">
        <f>"080065865843"</f>
        <v>080065865843</v>
      </c>
      <c r="F1219" s="3">
        <v>45818</v>
      </c>
      <c r="G1219">
        <v>202603</v>
      </c>
      <c r="H1219" t="s">
        <v>75</v>
      </c>
      <c r="I1219" t="s">
        <v>76</v>
      </c>
      <c r="J1219" t="s">
        <v>77</v>
      </c>
      <c r="K1219" t="s">
        <v>78</v>
      </c>
      <c r="L1219" t="s">
        <v>615</v>
      </c>
      <c r="M1219" t="s">
        <v>616</v>
      </c>
      <c r="N1219" t="s">
        <v>1838</v>
      </c>
      <c r="O1219" t="s">
        <v>82</v>
      </c>
      <c r="P1219" t="str">
        <f>"4170043064                    "</f>
        <v xml:space="preserve">4170043064                    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40.49</v>
      </c>
      <c r="AR1219">
        <v>0</v>
      </c>
      <c r="AS1219">
        <v>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0</v>
      </c>
      <c r="BE1219">
        <v>0</v>
      </c>
      <c r="BF1219">
        <v>0</v>
      </c>
      <c r="BG1219">
        <v>0</v>
      </c>
      <c r="BH1219">
        <v>1</v>
      </c>
      <c r="BI1219">
        <v>1</v>
      </c>
      <c r="BJ1219">
        <v>0.2</v>
      </c>
      <c r="BK1219">
        <v>1</v>
      </c>
      <c r="BL1219">
        <v>134.65</v>
      </c>
      <c r="BM1219">
        <v>20.2</v>
      </c>
      <c r="BN1219">
        <v>154.85</v>
      </c>
      <c r="BO1219">
        <v>154.85</v>
      </c>
      <c r="BQ1219" t="s">
        <v>1839</v>
      </c>
      <c r="BR1219" t="s">
        <v>84</v>
      </c>
      <c r="BS1219" s="3">
        <v>45819</v>
      </c>
      <c r="BT1219" s="4">
        <v>0.58819444444444446</v>
      </c>
      <c r="BU1219" t="s">
        <v>1886</v>
      </c>
      <c r="BV1219" t="s">
        <v>86</v>
      </c>
      <c r="BY1219">
        <v>1200</v>
      </c>
      <c r="CA1219" t="s">
        <v>620</v>
      </c>
      <c r="CC1219" t="s">
        <v>616</v>
      </c>
      <c r="CD1219">
        <v>6849</v>
      </c>
      <c r="CE1219" t="s">
        <v>215</v>
      </c>
      <c r="CI1219">
        <v>2</v>
      </c>
      <c r="CJ1219">
        <v>1</v>
      </c>
      <c r="CK1219">
        <v>23</v>
      </c>
      <c r="CL1219" t="s">
        <v>90</v>
      </c>
    </row>
    <row r="1220" spans="1:90" x14ac:dyDescent="0.3">
      <c r="A1220" t="s">
        <v>72</v>
      </c>
      <c r="B1220" t="s">
        <v>73</v>
      </c>
      <c r="C1220" t="s">
        <v>74</v>
      </c>
      <c r="E1220" t="str">
        <f>"080065865879"</f>
        <v>080065865879</v>
      </c>
      <c r="F1220" s="3">
        <v>45818</v>
      </c>
      <c r="G1220">
        <v>202603</v>
      </c>
      <c r="H1220" t="s">
        <v>75</v>
      </c>
      <c r="I1220" t="s">
        <v>76</v>
      </c>
      <c r="J1220" t="s">
        <v>77</v>
      </c>
      <c r="K1220" t="s">
        <v>78</v>
      </c>
      <c r="L1220" t="s">
        <v>239</v>
      </c>
      <c r="M1220" t="s">
        <v>240</v>
      </c>
      <c r="N1220" t="s">
        <v>241</v>
      </c>
      <c r="O1220" t="s">
        <v>82</v>
      </c>
      <c r="P1220" t="str">
        <f>"4170043094                    "</f>
        <v xml:space="preserve">4170043094                    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40.49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0</v>
      </c>
      <c r="BE1220">
        <v>0</v>
      </c>
      <c r="BF1220">
        <v>0</v>
      </c>
      <c r="BG1220">
        <v>0</v>
      </c>
      <c r="BH1220">
        <v>1</v>
      </c>
      <c r="BI1220">
        <v>1</v>
      </c>
      <c r="BJ1220">
        <v>0.2</v>
      </c>
      <c r="BK1220">
        <v>1</v>
      </c>
      <c r="BL1220">
        <v>134.65</v>
      </c>
      <c r="BM1220">
        <v>20.2</v>
      </c>
      <c r="BN1220">
        <v>154.85</v>
      </c>
      <c r="BO1220">
        <v>154.85</v>
      </c>
      <c r="BQ1220" t="s">
        <v>242</v>
      </c>
      <c r="BR1220" t="s">
        <v>84</v>
      </c>
      <c r="BS1220" s="3">
        <v>45819</v>
      </c>
      <c r="BT1220" s="4">
        <v>0.39166666666666666</v>
      </c>
      <c r="BU1220" t="s">
        <v>584</v>
      </c>
      <c r="BV1220" t="s">
        <v>86</v>
      </c>
      <c r="BY1220">
        <v>1200</v>
      </c>
      <c r="CA1220" t="s">
        <v>244</v>
      </c>
      <c r="CC1220" t="s">
        <v>240</v>
      </c>
      <c r="CD1220">
        <v>2531</v>
      </c>
      <c r="CE1220" t="s">
        <v>215</v>
      </c>
      <c r="CI1220">
        <v>1</v>
      </c>
      <c r="CJ1220">
        <v>1</v>
      </c>
      <c r="CK1220">
        <v>23</v>
      </c>
      <c r="CL1220" t="s">
        <v>90</v>
      </c>
    </row>
    <row r="1221" spans="1:90" x14ac:dyDescent="0.3">
      <c r="A1221" t="s">
        <v>72</v>
      </c>
      <c r="B1221" t="s">
        <v>73</v>
      </c>
      <c r="C1221" t="s">
        <v>74</v>
      </c>
      <c r="E1221" t="str">
        <f>"080065865880"</f>
        <v>080065865880</v>
      </c>
      <c r="F1221" s="3">
        <v>45818</v>
      </c>
      <c r="G1221">
        <v>202603</v>
      </c>
      <c r="H1221" t="s">
        <v>75</v>
      </c>
      <c r="I1221" t="s">
        <v>76</v>
      </c>
      <c r="J1221" t="s">
        <v>77</v>
      </c>
      <c r="K1221" t="s">
        <v>78</v>
      </c>
      <c r="L1221" t="s">
        <v>266</v>
      </c>
      <c r="M1221" t="s">
        <v>267</v>
      </c>
      <c r="N1221" t="s">
        <v>946</v>
      </c>
      <c r="O1221" t="s">
        <v>82</v>
      </c>
      <c r="P1221" t="str">
        <f>"4170042965                    "</f>
        <v xml:space="preserve">4170042965                    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41.78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0</v>
      </c>
      <c r="BE1221">
        <v>0</v>
      </c>
      <c r="BF1221">
        <v>0</v>
      </c>
      <c r="BG1221">
        <v>0</v>
      </c>
      <c r="BH1221">
        <v>1</v>
      </c>
      <c r="BI1221">
        <v>4</v>
      </c>
      <c r="BJ1221">
        <v>1.7</v>
      </c>
      <c r="BK1221">
        <v>4</v>
      </c>
      <c r="BL1221">
        <v>138.94</v>
      </c>
      <c r="BM1221">
        <v>20.84</v>
      </c>
      <c r="BN1221">
        <v>159.78</v>
      </c>
      <c r="BO1221">
        <v>159.78</v>
      </c>
      <c r="BQ1221" t="s">
        <v>947</v>
      </c>
      <c r="BR1221" t="s">
        <v>84</v>
      </c>
      <c r="BS1221" s="3">
        <v>45819</v>
      </c>
      <c r="BT1221" s="4">
        <v>0.41875000000000001</v>
      </c>
      <c r="BU1221" t="s">
        <v>790</v>
      </c>
      <c r="BV1221" t="s">
        <v>86</v>
      </c>
      <c r="BY1221">
        <v>8512</v>
      </c>
      <c r="CA1221" t="s">
        <v>271</v>
      </c>
      <c r="CC1221" t="s">
        <v>267</v>
      </c>
      <c r="CD1221">
        <v>6229</v>
      </c>
      <c r="CE1221" t="s">
        <v>292</v>
      </c>
      <c r="CF1221" s="3">
        <v>45819</v>
      </c>
      <c r="CI1221">
        <v>1</v>
      </c>
      <c r="CJ1221">
        <v>1</v>
      </c>
      <c r="CK1221">
        <v>21</v>
      </c>
      <c r="CL1221" t="s">
        <v>90</v>
      </c>
    </row>
    <row r="1222" spans="1:90" x14ac:dyDescent="0.3">
      <c r="A1222" t="s">
        <v>72</v>
      </c>
      <c r="B1222" t="s">
        <v>73</v>
      </c>
      <c r="C1222" t="s">
        <v>74</v>
      </c>
      <c r="E1222" t="str">
        <f>"080065865913"</f>
        <v>080065865913</v>
      </c>
      <c r="F1222" s="3">
        <v>45818</v>
      </c>
      <c r="G1222">
        <v>202603</v>
      </c>
      <c r="H1222" t="s">
        <v>75</v>
      </c>
      <c r="I1222" t="s">
        <v>76</v>
      </c>
      <c r="J1222" t="s">
        <v>77</v>
      </c>
      <c r="K1222" t="s">
        <v>78</v>
      </c>
      <c r="L1222" t="s">
        <v>75</v>
      </c>
      <c r="M1222" t="s">
        <v>76</v>
      </c>
      <c r="N1222" t="s">
        <v>656</v>
      </c>
      <c r="O1222" t="s">
        <v>82</v>
      </c>
      <c r="P1222" t="str">
        <f>"4170043033                    "</f>
        <v xml:space="preserve">4170043033                    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16.32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0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>
        <v>0</v>
      </c>
      <c r="BD1222">
        <v>0</v>
      </c>
      <c r="BE1222">
        <v>0</v>
      </c>
      <c r="BF1222">
        <v>0</v>
      </c>
      <c r="BG1222">
        <v>0</v>
      </c>
      <c r="BH1222">
        <v>1</v>
      </c>
      <c r="BI1222">
        <v>1</v>
      </c>
      <c r="BJ1222">
        <v>0.2</v>
      </c>
      <c r="BK1222">
        <v>1</v>
      </c>
      <c r="BL1222">
        <v>54.28</v>
      </c>
      <c r="BM1222">
        <v>8.14</v>
      </c>
      <c r="BN1222">
        <v>62.42</v>
      </c>
      <c r="BO1222">
        <v>62.42</v>
      </c>
      <c r="BQ1222" t="s">
        <v>657</v>
      </c>
      <c r="BR1222" t="s">
        <v>84</v>
      </c>
      <c r="BS1222" s="3">
        <v>45819</v>
      </c>
      <c r="BT1222" s="4">
        <v>0.38333333333333336</v>
      </c>
      <c r="BU1222" t="s">
        <v>232</v>
      </c>
      <c r="BV1222" t="s">
        <v>86</v>
      </c>
      <c r="BY1222">
        <v>1200</v>
      </c>
      <c r="CA1222" t="s">
        <v>1087</v>
      </c>
      <c r="CC1222" t="s">
        <v>76</v>
      </c>
      <c r="CD1222">
        <v>1619</v>
      </c>
      <c r="CE1222" t="s">
        <v>215</v>
      </c>
      <c r="CF1222" s="3">
        <v>45819</v>
      </c>
      <c r="CI1222">
        <v>1</v>
      </c>
      <c r="CJ1222">
        <v>1</v>
      </c>
      <c r="CK1222">
        <v>22</v>
      </c>
      <c r="CL1222" t="s">
        <v>90</v>
      </c>
    </row>
    <row r="1223" spans="1:90" x14ac:dyDescent="0.3">
      <c r="A1223" t="s">
        <v>72</v>
      </c>
      <c r="B1223" t="s">
        <v>73</v>
      </c>
      <c r="C1223" t="s">
        <v>74</v>
      </c>
      <c r="E1223" t="str">
        <f>"080065865995"</f>
        <v>080065865995</v>
      </c>
      <c r="F1223" s="3">
        <v>45818</v>
      </c>
      <c r="G1223">
        <v>202603</v>
      </c>
      <c r="H1223" t="s">
        <v>75</v>
      </c>
      <c r="I1223" t="s">
        <v>76</v>
      </c>
      <c r="J1223" t="s">
        <v>77</v>
      </c>
      <c r="K1223" t="s">
        <v>78</v>
      </c>
      <c r="L1223" t="s">
        <v>75</v>
      </c>
      <c r="M1223" t="s">
        <v>76</v>
      </c>
      <c r="N1223" t="s">
        <v>147</v>
      </c>
      <c r="O1223" t="s">
        <v>82</v>
      </c>
      <c r="P1223" t="str">
        <f>"4170042617                    "</f>
        <v xml:space="preserve">4170042617                    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16.32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  <c r="AZ1223">
        <v>0</v>
      </c>
      <c r="BA1223">
        <v>0</v>
      </c>
      <c r="BB1223">
        <v>0</v>
      </c>
      <c r="BC1223">
        <v>0</v>
      </c>
      <c r="BD1223">
        <v>0</v>
      </c>
      <c r="BE1223">
        <v>0</v>
      </c>
      <c r="BF1223">
        <v>0</v>
      </c>
      <c r="BG1223">
        <v>0</v>
      </c>
      <c r="BH1223">
        <v>1</v>
      </c>
      <c r="BI1223">
        <v>3</v>
      </c>
      <c r="BJ1223">
        <v>1.7</v>
      </c>
      <c r="BK1223">
        <v>3</v>
      </c>
      <c r="BL1223">
        <v>54.28</v>
      </c>
      <c r="BM1223">
        <v>8.14</v>
      </c>
      <c r="BN1223">
        <v>62.42</v>
      </c>
      <c r="BO1223">
        <v>62.42</v>
      </c>
      <c r="BQ1223" t="s">
        <v>148</v>
      </c>
      <c r="BR1223" t="s">
        <v>84</v>
      </c>
      <c r="BS1223" s="3">
        <v>45819</v>
      </c>
      <c r="BT1223" s="4">
        <v>0.29166666666666669</v>
      </c>
      <c r="BU1223" t="s">
        <v>1114</v>
      </c>
      <c r="BV1223" t="s">
        <v>86</v>
      </c>
      <c r="BY1223">
        <v>8512</v>
      </c>
      <c r="CA1223" t="s">
        <v>115</v>
      </c>
      <c r="CC1223" t="s">
        <v>76</v>
      </c>
      <c r="CD1223">
        <v>1600</v>
      </c>
      <c r="CE1223" t="s">
        <v>1029</v>
      </c>
      <c r="CF1223" s="3">
        <v>45819</v>
      </c>
      <c r="CI1223">
        <v>1</v>
      </c>
      <c r="CJ1223">
        <v>1</v>
      </c>
      <c r="CK1223">
        <v>22</v>
      </c>
      <c r="CL1223" t="s">
        <v>90</v>
      </c>
    </row>
    <row r="1224" spans="1:90" x14ac:dyDescent="0.3">
      <c r="A1224" t="s">
        <v>72</v>
      </c>
      <c r="B1224" t="s">
        <v>73</v>
      </c>
      <c r="C1224" t="s">
        <v>74</v>
      </c>
      <c r="E1224" t="str">
        <f>"080065866047"</f>
        <v>080065866047</v>
      </c>
      <c r="F1224" s="3">
        <v>45818</v>
      </c>
      <c r="G1224">
        <v>202603</v>
      </c>
      <c r="H1224" t="s">
        <v>75</v>
      </c>
      <c r="I1224" t="s">
        <v>76</v>
      </c>
      <c r="J1224" t="s">
        <v>77</v>
      </c>
      <c r="K1224" t="s">
        <v>78</v>
      </c>
      <c r="L1224" t="s">
        <v>91</v>
      </c>
      <c r="M1224" t="s">
        <v>92</v>
      </c>
      <c r="N1224" t="s">
        <v>763</v>
      </c>
      <c r="O1224" t="s">
        <v>82</v>
      </c>
      <c r="P1224" t="str">
        <f>"4170043003                    "</f>
        <v xml:space="preserve">4170043003                    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>
        <v>47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0</v>
      </c>
      <c r="BE1224">
        <v>0</v>
      </c>
      <c r="BF1224">
        <v>0</v>
      </c>
      <c r="BG1224">
        <v>0</v>
      </c>
      <c r="BH1224">
        <v>1</v>
      </c>
      <c r="BI1224">
        <v>4</v>
      </c>
      <c r="BJ1224">
        <v>4.5</v>
      </c>
      <c r="BK1224">
        <v>4.5</v>
      </c>
      <c r="BL1224">
        <v>156.30000000000001</v>
      </c>
      <c r="BM1224">
        <v>23.45</v>
      </c>
      <c r="BN1224">
        <v>179.75</v>
      </c>
      <c r="BO1224">
        <v>179.75</v>
      </c>
      <c r="BQ1224" t="s">
        <v>764</v>
      </c>
      <c r="BR1224" t="s">
        <v>84</v>
      </c>
      <c r="BS1224" s="3">
        <v>45819</v>
      </c>
      <c r="BT1224" s="4">
        <v>0.50069444444444444</v>
      </c>
      <c r="BU1224" t="s">
        <v>765</v>
      </c>
      <c r="BV1224" t="s">
        <v>90</v>
      </c>
      <c r="BW1224" t="s">
        <v>1209</v>
      </c>
      <c r="BX1224" t="s">
        <v>344</v>
      </c>
      <c r="BY1224">
        <v>22620</v>
      </c>
      <c r="CA1224" t="s">
        <v>767</v>
      </c>
      <c r="CC1224" t="s">
        <v>92</v>
      </c>
      <c r="CD1224">
        <v>7550</v>
      </c>
      <c r="CE1224" t="s">
        <v>1029</v>
      </c>
      <c r="CI1224">
        <v>1</v>
      </c>
      <c r="CJ1224">
        <v>1</v>
      </c>
      <c r="CK1224">
        <v>21</v>
      </c>
      <c r="CL1224" t="s">
        <v>90</v>
      </c>
    </row>
    <row r="1225" spans="1:90" x14ac:dyDescent="0.3">
      <c r="A1225" t="s">
        <v>72</v>
      </c>
      <c r="B1225" t="s">
        <v>73</v>
      </c>
      <c r="C1225" t="s">
        <v>74</v>
      </c>
      <c r="E1225" t="str">
        <f>"080065866122"</f>
        <v>080065866122</v>
      </c>
      <c r="F1225" s="3">
        <v>45818</v>
      </c>
      <c r="G1225">
        <v>202603</v>
      </c>
      <c r="H1225" t="s">
        <v>75</v>
      </c>
      <c r="I1225" t="s">
        <v>76</v>
      </c>
      <c r="J1225" t="s">
        <v>77</v>
      </c>
      <c r="K1225" t="s">
        <v>78</v>
      </c>
      <c r="L1225" t="s">
        <v>251</v>
      </c>
      <c r="M1225" t="s">
        <v>252</v>
      </c>
      <c r="N1225" t="s">
        <v>567</v>
      </c>
      <c r="O1225" t="s">
        <v>82</v>
      </c>
      <c r="P1225" t="str">
        <f>"4170043093                    "</f>
        <v xml:space="preserve">4170043093                    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20.9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  <c r="BE1225">
        <v>0</v>
      </c>
      <c r="BF1225">
        <v>0</v>
      </c>
      <c r="BG1225">
        <v>0</v>
      </c>
      <c r="BH1225">
        <v>1</v>
      </c>
      <c r="BI1225">
        <v>2</v>
      </c>
      <c r="BJ1225">
        <v>0.9</v>
      </c>
      <c r="BK1225">
        <v>2</v>
      </c>
      <c r="BL1225">
        <v>69.5</v>
      </c>
      <c r="BM1225">
        <v>10.43</v>
      </c>
      <c r="BN1225">
        <v>79.930000000000007</v>
      </c>
      <c r="BO1225">
        <v>79.930000000000007</v>
      </c>
      <c r="BQ1225" t="s">
        <v>568</v>
      </c>
      <c r="BR1225" t="s">
        <v>84</v>
      </c>
      <c r="BS1225" s="3">
        <v>45819</v>
      </c>
      <c r="BT1225" s="4">
        <v>0.37569444444444444</v>
      </c>
      <c r="BU1225" t="s">
        <v>569</v>
      </c>
      <c r="BV1225" t="s">
        <v>86</v>
      </c>
      <c r="BY1225">
        <v>4275</v>
      </c>
      <c r="CA1225" t="s">
        <v>570</v>
      </c>
      <c r="CC1225" t="s">
        <v>252</v>
      </c>
      <c r="CD1225">
        <v>4302</v>
      </c>
      <c r="CE1225" t="s">
        <v>292</v>
      </c>
      <c r="CI1225">
        <v>1</v>
      </c>
      <c r="CJ1225">
        <v>1</v>
      </c>
      <c r="CK1225">
        <v>21</v>
      </c>
      <c r="CL1225" t="s">
        <v>90</v>
      </c>
    </row>
    <row r="1226" spans="1:90" x14ac:dyDescent="0.3">
      <c r="A1226" t="s">
        <v>72</v>
      </c>
      <c r="B1226" t="s">
        <v>73</v>
      </c>
      <c r="C1226" t="s">
        <v>74</v>
      </c>
      <c r="E1226" t="str">
        <f>"080065866154"</f>
        <v>080065866154</v>
      </c>
      <c r="F1226" s="3">
        <v>45818</v>
      </c>
      <c r="G1226">
        <v>202603</v>
      </c>
      <c r="H1226" t="s">
        <v>75</v>
      </c>
      <c r="I1226" t="s">
        <v>76</v>
      </c>
      <c r="J1226" t="s">
        <v>77</v>
      </c>
      <c r="K1226" t="s">
        <v>78</v>
      </c>
      <c r="L1226" t="s">
        <v>100</v>
      </c>
      <c r="M1226" t="s">
        <v>101</v>
      </c>
      <c r="N1226" t="s">
        <v>669</v>
      </c>
      <c r="O1226" t="s">
        <v>82</v>
      </c>
      <c r="P1226" t="str">
        <f>"4170043019                    "</f>
        <v xml:space="preserve">4170043019                    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>
        <v>41.78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0</v>
      </c>
      <c r="BE1226">
        <v>0</v>
      </c>
      <c r="BF1226">
        <v>0</v>
      </c>
      <c r="BG1226">
        <v>0</v>
      </c>
      <c r="BH1226">
        <v>1</v>
      </c>
      <c r="BI1226">
        <v>4</v>
      </c>
      <c r="BJ1226">
        <v>3.6</v>
      </c>
      <c r="BK1226">
        <v>4</v>
      </c>
      <c r="BL1226">
        <v>138.94</v>
      </c>
      <c r="BM1226">
        <v>20.84</v>
      </c>
      <c r="BN1226">
        <v>159.78</v>
      </c>
      <c r="BO1226">
        <v>159.78</v>
      </c>
      <c r="BQ1226" t="s">
        <v>670</v>
      </c>
      <c r="BR1226" t="s">
        <v>84</v>
      </c>
      <c r="BS1226" s="3">
        <v>45819</v>
      </c>
      <c r="BT1226" s="4">
        <v>0.41805555555555557</v>
      </c>
      <c r="BU1226" t="s">
        <v>1697</v>
      </c>
      <c r="BV1226" t="s">
        <v>86</v>
      </c>
      <c r="BY1226">
        <v>18096</v>
      </c>
      <c r="CA1226" t="s">
        <v>283</v>
      </c>
      <c r="CC1226" t="s">
        <v>101</v>
      </c>
      <c r="CD1226">
        <v>6012</v>
      </c>
      <c r="CE1226" t="s">
        <v>687</v>
      </c>
      <c r="CF1226" s="3">
        <v>45819</v>
      </c>
      <c r="CI1226">
        <v>1</v>
      </c>
      <c r="CJ1226">
        <v>1</v>
      </c>
      <c r="CK1226">
        <v>21</v>
      </c>
      <c r="CL1226" t="s">
        <v>90</v>
      </c>
    </row>
    <row r="1227" spans="1:90" x14ac:dyDescent="0.3">
      <c r="A1227" t="s">
        <v>72</v>
      </c>
      <c r="B1227" t="s">
        <v>73</v>
      </c>
      <c r="C1227" t="s">
        <v>74</v>
      </c>
      <c r="E1227" t="str">
        <f>"080065866198"</f>
        <v>080065866198</v>
      </c>
      <c r="F1227" s="3">
        <v>45818</v>
      </c>
      <c r="G1227">
        <v>202603</v>
      </c>
      <c r="H1227" t="s">
        <v>75</v>
      </c>
      <c r="I1227" t="s">
        <v>76</v>
      </c>
      <c r="J1227" t="s">
        <v>77</v>
      </c>
      <c r="K1227" t="s">
        <v>78</v>
      </c>
      <c r="L1227" t="s">
        <v>91</v>
      </c>
      <c r="M1227" t="s">
        <v>92</v>
      </c>
      <c r="N1227" t="s">
        <v>763</v>
      </c>
      <c r="O1227" t="s">
        <v>82</v>
      </c>
      <c r="P1227" t="str">
        <f>"4170043002                    "</f>
        <v xml:space="preserve">4170043002                    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67.88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2</v>
      </c>
      <c r="BI1227">
        <v>6</v>
      </c>
      <c r="BJ1227">
        <v>6.2</v>
      </c>
      <c r="BK1227">
        <v>6.5</v>
      </c>
      <c r="BL1227">
        <v>225.74</v>
      </c>
      <c r="BM1227">
        <v>33.86</v>
      </c>
      <c r="BN1227">
        <v>259.60000000000002</v>
      </c>
      <c r="BO1227">
        <v>259.60000000000002</v>
      </c>
      <c r="BQ1227" t="s">
        <v>764</v>
      </c>
      <c r="BR1227" t="s">
        <v>84</v>
      </c>
      <c r="BS1227" s="3">
        <v>45819</v>
      </c>
      <c r="BT1227" s="4">
        <v>0.50069444444444444</v>
      </c>
      <c r="BU1227" t="s">
        <v>765</v>
      </c>
      <c r="BV1227" t="s">
        <v>90</v>
      </c>
      <c r="BW1227" t="s">
        <v>1209</v>
      </c>
      <c r="BX1227" t="s">
        <v>344</v>
      </c>
      <c r="BY1227">
        <v>31132</v>
      </c>
      <c r="CA1227" t="s">
        <v>767</v>
      </c>
      <c r="CC1227" t="s">
        <v>92</v>
      </c>
      <c r="CD1227">
        <v>7550</v>
      </c>
      <c r="CE1227" t="s">
        <v>687</v>
      </c>
      <c r="CI1227">
        <v>1</v>
      </c>
      <c r="CJ1227">
        <v>1</v>
      </c>
      <c r="CK1227">
        <v>21</v>
      </c>
      <c r="CL1227" t="s">
        <v>90</v>
      </c>
    </row>
    <row r="1228" spans="1:90" x14ac:dyDescent="0.3">
      <c r="A1228" t="s">
        <v>72</v>
      </c>
      <c r="B1228" t="s">
        <v>73</v>
      </c>
      <c r="C1228" t="s">
        <v>74</v>
      </c>
      <c r="E1228" t="str">
        <f>"080065866473"</f>
        <v>080065866473</v>
      </c>
      <c r="F1228" s="3">
        <v>45818</v>
      </c>
      <c r="G1228">
        <v>202603</v>
      </c>
      <c r="H1228" t="s">
        <v>75</v>
      </c>
      <c r="I1228" t="s">
        <v>76</v>
      </c>
      <c r="J1228" t="s">
        <v>77</v>
      </c>
      <c r="K1228" t="s">
        <v>78</v>
      </c>
      <c r="L1228" t="s">
        <v>75</v>
      </c>
      <c r="M1228" t="s">
        <v>76</v>
      </c>
      <c r="N1228" t="s">
        <v>656</v>
      </c>
      <c r="O1228" t="s">
        <v>82</v>
      </c>
      <c r="P1228" t="str">
        <f>"4170043050                    "</f>
        <v xml:space="preserve">4170043050                    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16.32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1</v>
      </c>
      <c r="BI1228">
        <v>1</v>
      </c>
      <c r="BJ1228">
        <v>0.2</v>
      </c>
      <c r="BK1228">
        <v>1</v>
      </c>
      <c r="BL1228">
        <v>54.28</v>
      </c>
      <c r="BM1228">
        <v>8.14</v>
      </c>
      <c r="BN1228">
        <v>62.42</v>
      </c>
      <c r="BO1228">
        <v>62.42</v>
      </c>
      <c r="BQ1228" t="s">
        <v>657</v>
      </c>
      <c r="BR1228" t="s">
        <v>84</v>
      </c>
      <c r="BS1228" s="3">
        <v>45819</v>
      </c>
      <c r="BT1228" s="4">
        <v>0.38333333333333336</v>
      </c>
      <c r="BU1228" t="s">
        <v>232</v>
      </c>
      <c r="BV1228" t="s">
        <v>86</v>
      </c>
      <c r="BY1228">
        <v>1200</v>
      </c>
      <c r="CA1228" t="s">
        <v>1087</v>
      </c>
      <c r="CC1228" t="s">
        <v>76</v>
      </c>
      <c r="CD1228">
        <v>1619</v>
      </c>
      <c r="CE1228" t="s">
        <v>215</v>
      </c>
      <c r="CF1228" s="3">
        <v>45819</v>
      </c>
      <c r="CI1228">
        <v>1</v>
      </c>
      <c r="CJ1228">
        <v>1</v>
      </c>
      <c r="CK1228">
        <v>22</v>
      </c>
      <c r="CL1228" t="s">
        <v>90</v>
      </c>
    </row>
    <row r="1229" spans="1:90" x14ac:dyDescent="0.3">
      <c r="A1229" t="s">
        <v>72</v>
      </c>
      <c r="B1229" t="s">
        <v>73</v>
      </c>
      <c r="C1229" t="s">
        <v>74</v>
      </c>
      <c r="E1229" t="str">
        <f>"080065866476"</f>
        <v>080065866476</v>
      </c>
      <c r="F1229" s="3">
        <v>45818</v>
      </c>
      <c r="G1229">
        <v>202603</v>
      </c>
      <c r="H1229" t="s">
        <v>75</v>
      </c>
      <c r="I1229" t="s">
        <v>76</v>
      </c>
      <c r="J1229" t="s">
        <v>77</v>
      </c>
      <c r="K1229" t="s">
        <v>78</v>
      </c>
      <c r="L1229" t="s">
        <v>159</v>
      </c>
      <c r="M1229" t="s">
        <v>160</v>
      </c>
      <c r="N1229" t="s">
        <v>1772</v>
      </c>
      <c r="O1229" t="s">
        <v>82</v>
      </c>
      <c r="P1229" t="str">
        <f>"4170043072                    "</f>
        <v xml:space="preserve">4170043072                    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16.32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1</v>
      </c>
      <c r="BI1229">
        <v>1</v>
      </c>
      <c r="BJ1229">
        <v>1.1000000000000001</v>
      </c>
      <c r="BK1229">
        <v>2</v>
      </c>
      <c r="BL1229">
        <v>54.28</v>
      </c>
      <c r="BM1229">
        <v>8.14</v>
      </c>
      <c r="BN1229">
        <v>62.42</v>
      </c>
      <c r="BO1229">
        <v>62.42</v>
      </c>
      <c r="BQ1229" t="s">
        <v>1773</v>
      </c>
      <c r="BR1229" t="s">
        <v>84</v>
      </c>
      <c r="BS1229" s="3">
        <v>45819</v>
      </c>
      <c r="BT1229" s="4">
        <v>0.41666666666666669</v>
      </c>
      <c r="BU1229" t="s">
        <v>1774</v>
      </c>
      <c r="BV1229" t="s">
        <v>86</v>
      </c>
      <c r="BY1229">
        <v>5320</v>
      </c>
      <c r="CA1229" t="s">
        <v>233</v>
      </c>
      <c r="CC1229" t="s">
        <v>160</v>
      </c>
      <c r="CD1229">
        <v>2094</v>
      </c>
      <c r="CE1229" t="s">
        <v>292</v>
      </c>
      <c r="CF1229" s="3">
        <v>45819</v>
      </c>
      <c r="CI1229">
        <v>1</v>
      </c>
      <c r="CJ1229">
        <v>1</v>
      </c>
      <c r="CK1229">
        <v>22</v>
      </c>
      <c r="CL1229" t="s">
        <v>90</v>
      </c>
    </row>
    <row r="1230" spans="1:90" x14ac:dyDescent="0.3">
      <c r="A1230" t="s">
        <v>72</v>
      </c>
      <c r="B1230" t="s">
        <v>73</v>
      </c>
      <c r="C1230" t="s">
        <v>74</v>
      </c>
      <c r="E1230" t="str">
        <f>"080065866496"</f>
        <v>080065866496</v>
      </c>
      <c r="F1230" s="3">
        <v>45818</v>
      </c>
      <c r="G1230">
        <v>202603</v>
      </c>
      <c r="H1230" t="s">
        <v>75</v>
      </c>
      <c r="I1230" t="s">
        <v>76</v>
      </c>
      <c r="J1230" t="s">
        <v>77</v>
      </c>
      <c r="K1230" t="s">
        <v>78</v>
      </c>
      <c r="L1230" t="s">
        <v>106</v>
      </c>
      <c r="M1230" t="s">
        <v>107</v>
      </c>
      <c r="N1230" t="s">
        <v>1137</v>
      </c>
      <c r="O1230" t="s">
        <v>82</v>
      </c>
      <c r="P1230" t="str">
        <f>"4170043070                    "</f>
        <v xml:space="preserve">4170043070                    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20.9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1</v>
      </c>
      <c r="BI1230">
        <v>1</v>
      </c>
      <c r="BJ1230">
        <v>0.2</v>
      </c>
      <c r="BK1230">
        <v>1</v>
      </c>
      <c r="BL1230">
        <v>69.5</v>
      </c>
      <c r="BM1230">
        <v>10.43</v>
      </c>
      <c r="BN1230">
        <v>79.930000000000007</v>
      </c>
      <c r="BO1230">
        <v>79.930000000000007</v>
      </c>
      <c r="BQ1230" t="s">
        <v>1138</v>
      </c>
      <c r="BR1230" t="s">
        <v>84</v>
      </c>
      <c r="BS1230" s="3">
        <v>45819</v>
      </c>
      <c r="BT1230" s="4">
        <v>0.35138888888888886</v>
      </c>
      <c r="BU1230" t="s">
        <v>1887</v>
      </c>
      <c r="BV1230" t="s">
        <v>86</v>
      </c>
      <c r="BY1230">
        <v>1200</v>
      </c>
      <c r="CA1230" t="s">
        <v>1888</v>
      </c>
      <c r="CC1230" t="s">
        <v>107</v>
      </c>
      <c r="CD1230">
        <v>83</v>
      </c>
      <c r="CE1230" t="s">
        <v>215</v>
      </c>
      <c r="CF1230" s="3">
        <v>45819</v>
      </c>
      <c r="CI1230">
        <v>1</v>
      </c>
      <c r="CJ1230">
        <v>1</v>
      </c>
      <c r="CK1230">
        <v>21</v>
      </c>
      <c r="CL1230" t="s">
        <v>90</v>
      </c>
    </row>
    <row r="1231" spans="1:90" x14ac:dyDescent="0.3">
      <c r="A1231" t="s">
        <v>72</v>
      </c>
      <c r="B1231" t="s">
        <v>73</v>
      </c>
      <c r="C1231" t="s">
        <v>74</v>
      </c>
      <c r="E1231" t="str">
        <f>"080065866503"</f>
        <v>080065866503</v>
      </c>
      <c r="F1231" s="3">
        <v>45818</v>
      </c>
      <c r="G1231">
        <v>202603</v>
      </c>
      <c r="H1231" t="s">
        <v>75</v>
      </c>
      <c r="I1231" t="s">
        <v>76</v>
      </c>
      <c r="J1231" t="s">
        <v>77</v>
      </c>
      <c r="K1231" t="s">
        <v>78</v>
      </c>
      <c r="L1231" t="s">
        <v>555</v>
      </c>
      <c r="M1231" t="s">
        <v>556</v>
      </c>
      <c r="N1231" t="s">
        <v>557</v>
      </c>
      <c r="O1231" t="s">
        <v>82</v>
      </c>
      <c r="P1231" t="str">
        <f>"4170043076                    "</f>
        <v xml:space="preserve">4170043076                    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40.49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0</v>
      </c>
      <c r="BE1231">
        <v>0</v>
      </c>
      <c r="BF1231">
        <v>0</v>
      </c>
      <c r="BG1231">
        <v>0</v>
      </c>
      <c r="BH1231">
        <v>1</v>
      </c>
      <c r="BI1231">
        <v>1</v>
      </c>
      <c r="BJ1231">
        <v>1.9</v>
      </c>
      <c r="BK1231">
        <v>2</v>
      </c>
      <c r="BL1231">
        <v>134.65</v>
      </c>
      <c r="BM1231">
        <v>20.2</v>
      </c>
      <c r="BN1231">
        <v>154.85</v>
      </c>
      <c r="BO1231">
        <v>154.85</v>
      </c>
      <c r="BQ1231" t="s">
        <v>558</v>
      </c>
      <c r="BR1231" t="s">
        <v>84</v>
      </c>
      <c r="BS1231" s="3">
        <v>45819</v>
      </c>
      <c r="BT1231" s="4">
        <v>0.4284722222222222</v>
      </c>
      <c r="BU1231" t="s">
        <v>559</v>
      </c>
      <c r="BV1231" t="s">
        <v>86</v>
      </c>
      <c r="BY1231">
        <v>9600</v>
      </c>
      <c r="CA1231" t="s">
        <v>560</v>
      </c>
      <c r="CC1231" t="s">
        <v>556</v>
      </c>
      <c r="CD1231">
        <v>250</v>
      </c>
      <c r="CE1231" t="s">
        <v>687</v>
      </c>
      <c r="CI1231">
        <v>1</v>
      </c>
      <c r="CJ1231">
        <v>1</v>
      </c>
      <c r="CK1231">
        <v>23</v>
      </c>
      <c r="CL1231" t="s">
        <v>90</v>
      </c>
    </row>
    <row r="1232" spans="1:90" x14ac:dyDescent="0.3">
      <c r="A1232" t="s">
        <v>72</v>
      </c>
      <c r="B1232" t="s">
        <v>73</v>
      </c>
      <c r="C1232" t="s">
        <v>74</v>
      </c>
      <c r="E1232" t="str">
        <f>"080065866535"</f>
        <v>080065866535</v>
      </c>
      <c r="F1232" s="3">
        <v>45818</v>
      </c>
      <c r="G1232">
        <v>202603</v>
      </c>
      <c r="H1232" t="s">
        <v>75</v>
      </c>
      <c r="I1232" t="s">
        <v>76</v>
      </c>
      <c r="J1232" t="s">
        <v>77</v>
      </c>
      <c r="K1232" t="s">
        <v>78</v>
      </c>
      <c r="L1232" t="s">
        <v>91</v>
      </c>
      <c r="M1232" t="s">
        <v>92</v>
      </c>
      <c r="N1232" t="s">
        <v>93</v>
      </c>
      <c r="O1232" t="s">
        <v>82</v>
      </c>
      <c r="P1232" t="str">
        <f>"4170043071                    "</f>
        <v xml:space="preserve">4170043071                    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20.9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</v>
      </c>
      <c r="AX1232">
        <v>0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0</v>
      </c>
      <c r="BE1232">
        <v>0</v>
      </c>
      <c r="BF1232">
        <v>0</v>
      </c>
      <c r="BG1232">
        <v>0</v>
      </c>
      <c r="BH1232">
        <v>1</v>
      </c>
      <c r="BI1232">
        <v>1</v>
      </c>
      <c r="BJ1232">
        <v>0.2</v>
      </c>
      <c r="BK1232">
        <v>1</v>
      </c>
      <c r="BL1232">
        <v>69.5</v>
      </c>
      <c r="BM1232">
        <v>10.43</v>
      </c>
      <c r="BN1232">
        <v>79.930000000000007</v>
      </c>
      <c r="BO1232">
        <v>79.930000000000007</v>
      </c>
      <c r="BQ1232" t="s">
        <v>95</v>
      </c>
      <c r="BR1232" t="s">
        <v>84</v>
      </c>
      <c r="BS1232" s="3">
        <v>45819</v>
      </c>
      <c r="BT1232" s="4">
        <v>0.36805555555555558</v>
      </c>
      <c r="BU1232" t="s">
        <v>1884</v>
      </c>
      <c r="BV1232" t="s">
        <v>86</v>
      </c>
      <c r="BY1232">
        <v>1200</v>
      </c>
      <c r="CA1232" t="s">
        <v>291</v>
      </c>
      <c r="CC1232" t="s">
        <v>92</v>
      </c>
      <c r="CD1232">
        <v>7441</v>
      </c>
      <c r="CE1232" t="s">
        <v>215</v>
      </c>
      <c r="CI1232">
        <v>1</v>
      </c>
      <c r="CJ1232">
        <v>1</v>
      </c>
      <c r="CK1232">
        <v>21</v>
      </c>
      <c r="CL1232" t="s">
        <v>90</v>
      </c>
    </row>
    <row r="1233" spans="1:90" x14ac:dyDescent="0.3">
      <c r="A1233" t="s">
        <v>72</v>
      </c>
      <c r="B1233" t="s">
        <v>73</v>
      </c>
      <c r="C1233" t="s">
        <v>74</v>
      </c>
      <c r="E1233" t="str">
        <f>"080065866555"</f>
        <v>080065866555</v>
      </c>
      <c r="F1233" s="3">
        <v>45818</v>
      </c>
      <c r="G1233">
        <v>202603</v>
      </c>
      <c r="H1233" t="s">
        <v>75</v>
      </c>
      <c r="I1233" t="s">
        <v>76</v>
      </c>
      <c r="J1233" t="s">
        <v>77</v>
      </c>
      <c r="K1233" t="s">
        <v>78</v>
      </c>
      <c r="L1233" t="s">
        <v>116</v>
      </c>
      <c r="M1233" t="s">
        <v>117</v>
      </c>
      <c r="N1233" t="s">
        <v>183</v>
      </c>
      <c r="O1233" t="s">
        <v>94</v>
      </c>
      <c r="P1233" t="str">
        <f>"4170043035                    "</f>
        <v xml:space="preserve">4170043035                    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97.14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>
        <v>0</v>
      </c>
      <c r="BF1233">
        <v>0</v>
      </c>
      <c r="BG1233">
        <v>0</v>
      </c>
      <c r="BH1233">
        <v>2</v>
      </c>
      <c r="BI1233">
        <v>26</v>
      </c>
      <c r="BJ1233">
        <v>48.6</v>
      </c>
      <c r="BK1233">
        <v>49</v>
      </c>
      <c r="BL1233">
        <v>328.61</v>
      </c>
      <c r="BM1233">
        <v>49.29</v>
      </c>
      <c r="BN1233">
        <v>377.9</v>
      </c>
      <c r="BO1233">
        <v>377.9</v>
      </c>
      <c r="BQ1233" t="s">
        <v>184</v>
      </c>
      <c r="BR1233" t="s">
        <v>84</v>
      </c>
      <c r="BS1233" s="3">
        <v>45819</v>
      </c>
      <c r="BT1233" s="4">
        <v>0.57291666666666663</v>
      </c>
      <c r="BU1233" t="s">
        <v>1278</v>
      </c>
      <c r="BV1233" t="s">
        <v>86</v>
      </c>
      <c r="BY1233">
        <v>242880</v>
      </c>
      <c r="CA1233" t="s">
        <v>186</v>
      </c>
      <c r="CC1233" t="s">
        <v>117</v>
      </c>
      <c r="CD1233">
        <v>3212</v>
      </c>
      <c r="CE1233" t="s">
        <v>687</v>
      </c>
      <c r="CF1233" s="3">
        <v>45819</v>
      </c>
      <c r="CI1233">
        <v>3</v>
      </c>
      <c r="CJ1233">
        <v>1</v>
      </c>
      <c r="CK1233">
        <v>41</v>
      </c>
      <c r="CL1233" t="s">
        <v>90</v>
      </c>
    </row>
    <row r="1234" spans="1:90" x14ac:dyDescent="0.3">
      <c r="A1234" t="s">
        <v>72</v>
      </c>
      <c r="B1234" t="s">
        <v>73</v>
      </c>
      <c r="C1234" t="s">
        <v>74</v>
      </c>
      <c r="E1234" t="str">
        <f>"080065866568"</f>
        <v>080065866568</v>
      </c>
      <c r="F1234" s="3">
        <v>45818</v>
      </c>
      <c r="G1234">
        <v>202603</v>
      </c>
      <c r="H1234" t="s">
        <v>75</v>
      </c>
      <c r="I1234" t="s">
        <v>76</v>
      </c>
      <c r="J1234" t="s">
        <v>77</v>
      </c>
      <c r="K1234" t="s">
        <v>78</v>
      </c>
      <c r="L1234" t="s">
        <v>555</v>
      </c>
      <c r="M1234" t="s">
        <v>556</v>
      </c>
      <c r="N1234" t="s">
        <v>557</v>
      </c>
      <c r="O1234" t="s">
        <v>82</v>
      </c>
      <c r="P1234" t="str">
        <f>"4170043077                    "</f>
        <v xml:space="preserve">4170043077                    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40.49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0</v>
      </c>
      <c r="BA1234">
        <v>0</v>
      </c>
      <c r="BB1234">
        <v>0</v>
      </c>
      <c r="BC1234">
        <v>0</v>
      </c>
      <c r="BD1234">
        <v>0</v>
      </c>
      <c r="BE1234">
        <v>0</v>
      </c>
      <c r="BF1234">
        <v>0</v>
      </c>
      <c r="BG1234">
        <v>0</v>
      </c>
      <c r="BH1234">
        <v>1</v>
      </c>
      <c r="BI1234">
        <v>1</v>
      </c>
      <c r="BJ1234">
        <v>0.2</v>
      </c>
      <c r="BK1234">
        <v>1</v>
      </c>
      <c r="BL1234">
        <v>134.65</v>
      </c>
      <c r="BM1234">
        <v>20.2</v>
      </c>
      <c r="BN1234">
        <v>154.85</v>
      </c>
      <c r="BO1234">
        <v>154.85</v>
      </c>
      <c r="BQ1234" t="s">
        <v>558</v>
      </c>
      <c r="BR1234" t="s">
        <v>84</v>
      </c>
      <c r="BS1234" s="3">
        <v>45819</v>
      </c>
      <c r="BT1234" s="4">
        <v>0.42916666666666664</v>
      </c>
      <c r="BU1234" t="s">
        <v>559</v>
      </c>
      <c r="BV1234" t="s">
        <v>86</v>
      </c>
      <c r="BY1234">
        <v>1200</v>
      </c>
      <c r="CA1234" t="s">
        <v>560</v>
      </c>
      <c r="CC1234" t="s">
        <v>556</v>
      </c>
      <c r="CD1234">
        <v>250</v>
      </c>
      <c r="CE1234" t="s">
        <v>215</v>
      </c>
      <c r="CI1234">
        <v>1</v>
      </c>
      <c r="CJ1234">
        <v>1</v>
      </c>
      <c r="CK1234">
        <v>23</v>
      </c>
      <c r="CL1234" t="s">
        <v>90</v>
      </c>
    </row>
    <row r="1235" spans="1:90" x14ac:dyDescent="0.3">
      <c r="A1235" t="s">
        <v>72</v>
      </c>
      <c r="B1235" t="s">
        <v>73</v>
      </c>
      <c r="C1235" t="s">
        <v>74</v>
      </c>
      <c r="E1235" t="str">
        <f>"080065866595"</f>
        <v>080065866595</v>
      </c>
      <c r="F1235" s="3">
        <v>45818</v>
      </c>
      <c r="G1235">
        <v>202603</v>
      </c>
      <c r="H1235" t="s">
        <v>75</v>
      </c>
      <c r="I1235" t="s">
        <v>76</v>
      </c>
      <c r="J1235" t="s">
        <v>77</v>
      </c>
      <c r="K1235" t="s">
        <v>78</v>
      </c>
      <c r="L1235" t="s">
        <v>75</v>
      </c>
      <c r="M1235" t="s">
        <v>76</v>
      </c>
      <c r="N1235" t="s">
        <v>692</v>
      </c>
      <c r="O1235" t="s">
        <v>82</v>
      </c>
      <c r="P1235" t="str">
        <f>"4170043086                    "</f>
        <v xml:space="preserve">4170043086                    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16.32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  <c r="AZ1235">
        <v>0</v>
      </c>
      <c r="BA1235">
        <v>0</v>
      </c>
      <c r="BB1235">
        <v>0</v>
      </c>
      <c r="BC1235">
        <v>0</v>
      </c>
      <c r="BD1235">
        <v>0</v>
      </c>
      <c r="BE1235">
        <v>0</v>
      </c>
      <c r="BF1235">
        <v>0</v>
      </c>
      <c r="BG1235">
        <v>0</v>
      </c>
      <c r="BH1235">
        <v>1</v>
      </c>
      <c r="BI1235">
        <v>1</v>
      </c>
      <c r="BJ1235">
        <v>1.1000000000000001</v>
      </c>
      <c r="BK1235">
        <v>2</v>
      </c>
      <c r="BL1235">
        <v>54.28</v>
      </c>
      <c r="BM1235">
        <v>8.14</v>
      </c>
      <c r="BN1235">
        <v>62.42</v>
      </c>
      <c r="BO1235">
        <v>62.42</v>
      </c>
      <c r="BQ1235" t="s">
        <v>693</v>
      </c>
      <c r="BR1235" t="s">
        <v>84</v>
      </c>
      <c r="BS1235" s="3">
        <v>45819</v>
      </c>
      <c r="BT1235" s="4">
        <v>0.38819444444444445</v>
      </c>
      <c r="BU1235" t="s">
        <v>1422</v>
      </c>
      <c r="BV1235" t="s">
        <v>86</v>
      </c>
      <c r="BY1235">
        <v>5320</v>
      </c>
      <c r="CA1235" t="s">
        <v>193</v>
      </c>
      <c r="CC1235" t="s">
        <v>76</v>
      </c>
      <c r="CD1235">
        <v>1601</v>
      </c>
      <c r="CE1235" t="s">
        <v>687</v>
      </c>
      <c r="CF1235" s="3">
        <v>45819</v>
      </c>
      <c r="CI1235">
        <v>1</v>
      </c>
      <c r="CJ1235">
        <v>1</v>
      </c>
      <c r="CK1235">
        <v>22</v>
      </c>
      <c r="CL1235" t="s">
        <v>90</v>
      </c>
    </row>
    <row r="1236" spans="1:90" x14ac:dyDescent="0.3">
      <c r="A1236" t="s">
        <v>72</v>
      </c>
      <c r="B1236" t="s">
        <v>73</v>
      </c>
      <c r="C1236" t="s">
        <v>74</v>
      </c>
      <c r="E1236" t="str">
        <f>"080065866599"</f>
        <v>080065866599</v>
      </c>
      <c r="F1236" s="3">
        <v>45818</v>
      </c>
      <c r="G1236">
        <v>202603</v>
      </c>
      <c r="H1236" t="s">
        <v>75</v>
      </c>
      <c r="I1236" t="s">
        <v>76</v>
      </c>
      <c r="J1236" t="s">
        <v>77</v>
      </c>
      <c r="K1236" t="s">
        <v>78</v>
      </c>
      <c r="L1236" t="s">
        <v>136</v>
      </c>
      <c r="M1236" t="s">
        <v>137</v>
      </c>
      <c r="N1236" t="s">
        <v>621</v>
      </c>
      <c r="O1236" t="s">
        <v>82</v>
      </c>
      <c r="P1236" t="str">
        <f>"4170043036                    "</f>
        <v xml:space="preserve">4170043036                    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20.9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0</v>
      </c>
      <c r="BA1236">
        <v>0</v>
      </c>
      <c r="BB1236">
        <v>0</v>
      </c>
      <c r="BC1236">
        <v>0</v>
      </c>
      <c r="BD1236">
        <v>0</v>
      </c>
      <c r="BE1236">
        <v>0</v>
      </c>
      <c r="BF1236">
        <v>0</v>
      </c>
      <c r="BG1236">
        <v>0</v>
      </c>
      <c r="BH1236">
        <v>1</v>
      </c>
      <c r="BI1236">
        <v>1</v>
      </c>
      <c r="BJ1236">
        <v>0.2</v>
      </c>
      <c r="BK1236">
        <v>1</v>
      </c>
      <c r="BL1236">
        <v>69.5</v>
      </c>
      <c r="BM1236">
        <v>10.43</v>
      </c>
      <c r="BN1236">
        <v>79.930000000000007</v>
      </c>
      <c r="BO1236">
        <v>79.930000000000007</v>
      </c>
      <c r="BQ1236" t="s">
        <v>622</v>
      </c>
      <c r="BR1236" t="s">
        <v>84</v>
      </c>
      <c r="BS1236" s="3">
        <v>45819</v>
      </c>
      <c r="BT1236" s="4">
        <v>0.58680555555555558</v>
      </c>
      <c r="BU1236" t="s">
        <v>1881</v>
      </c>
      <c r="BV1236" t="s">
        <v>90</v>
      </c>
      <c r="BY1236">
        <v>1200</v>
      </c>
      <c r="CC1236" t="s">
        <v>137</v>
      </c>
      <c r="CD1236">
        <v>5200</v>
      </c>
      <c r="CE1236" t="s">
        <v>215</v>
      </c>
      <c r="CI1236">
        <v>1</v>
      </c>
      <c r="CJ1236">
        <v>1</v>
      </c>
      <c r="CK1236">
        <v>21</v>
      </c>
      <c r="CL1236" t="s">
        <v>90</v>
      </c>
    </row>
    <row r="1237" spans="1:90" x14ac:dyDescent="0.3">
      <c r="A1237" t="s">
        <v>72</v>
      </c>
      <c r="B1237" t="s">
        <v>73</v>
      </c>
      <c r="C1237" t="s">
        <v>74</v>
      </c>
      <c r="E1237" t="str">
        <f>"080065866624"</f>
        <v>080065866624</v>
      </c>
      <c r="F1237" s="3">
        <v>45818</v>
      </c>
      <c r="G1237">
        <v>202603</v>
      </c>
      <c r="H1237" t="s">
        <v>75</v>
      </c>
      <c r="I1237" t="s">
        <v>76</v>
      </c>
      <c r="J1237" t="s">
        <v>77</v>
      </c>
      <c r="K1237" t="s">
        <v>78</v>
      </c>
      <c r="L1237" t="s">
        <v>628</v>
      </c>
      <c r="M1237" t="s">
        <v>629</v>
      </c>
      <c r="N1237" t="s">
        <v>236</v>
      </c>
      <c r="O1237" t="s">
        <v>82</v>
      </c>
      <c r="P1237" t="str">
        <f>"4170043027                    "</f>
        <v xml:space="preserve">4170043027                    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20.9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>
        <v>0</v>
      </c>
      <c r="BD1237">
        <v>0</v>
      </c>
      <c r="BE1237">
        <v>0</v>
      </c>
      <c r="BF1237">
        <v>0</v>
      </c>
      <c r="BG1237">
        <v>0</v>
      </c>
      <c r="BH1237">
        <v>1</v>
      </c>
      <c r="BI1237">
        <v>1</v>
      </c>
      <c r="BJ1237">
        <v>0.6</v>
      </c>
      <c r="BK1237">
        <v>1</v>
      </c>
      <c r="BL1237">
        <v>69.5</v>
      </c>
      <c r="BM1237">
        <v>10.43</v>
      </c>
      <c r="BN1237">
        <v>79.930000000000007</v>
      </c>
      <c r="BO1237">
        <v>79.930000000000007</v>
      </c>
      <c r="BQ1237" t="s">
        <v>1804</v>
      </c>
      <c r="BR1237" t="s">
        <v>84</v>
      </c>
      <c r="BS1237" s="3">
        <v>45819</v>
      </c>
      <c r="BT1237" s="4">
        <v>0.43125000000000002</v>
      </c>
      <c r="BU1237" t="s">
        <v>1805</v>
      </c>
      <c r="BV1237" t="s">
        <v>86</v>
      </c>
      <c r="BY1237">
        <v>3192</v>
      </c>
      <c r="CA1237" t="s">
        <v>223</v>
      </c>
      <c r="CC1237" t="s">
        <v>629</v>
      </c>
      <c r="CD1237">
        <v>6220</v>
      </c>
      <c r="CE1237" t="s">
        <v>292</v>
      </c>
      <c r="CF1237" s="3">
        <v>45819</v>
      </c>
      <c r="CI1237">
        <v>1</v>
      </c>
      <c r="CJ1237">
        <v>1</v>
      </c>
      <c r="CK1237">
        <v>21</v>
      </c>
      <c r="CL1237" t="s">
        <v>90</v>
      </c>
    </row>
    <row r="1238" spans="1:90" x14ac:dyDescent="0.3">
      <c r="A1238" t="s">
        <v>72</v>
      </c>
      <c r="B1238" t="s">
        <v>73</v>
      </c>
      <c r="C1238" t="s">
        <v>74</v>
      </c>
      <c r="E1238" t="str">
        <f>"080065866641"</f>
        <v>080065866641</v>
      </c>
      <c r="F1238" s="3">
        <v>45818</v>
      </c>
      <c r="G1238">
        <v>202603</v>
      </c>
      <c r="H1238" t="s">
        <v>75</v>
      </c>
      <c r="I1238" t="s">
        <v>76</v>
      </c>
      <c r="J1238" t="s">
        <v>77</v>
      </c>
      <c r="K1238" t="s">
        <v>78</v>
      </c>
      <c r="L1238" t="s">
        <v>116</v>
      </c>
      <c r="M1238" t="s">
        <v>117</v>
      </c>
      <c r="N1238" t="s">
        <v>936</v>
      </c>
      <c r="O1238" t="s">
        <v>82</v>
      </c>
      <c r="P1238" t="str">
        <f>"4170043048                    "</f>
        <v xml:space="preserve">4170043048                    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20.9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  <c r="BB1238">
        <v>0</v>
      </c>
      <c r="BC1238">
        <v>0</v>
      </c>
      <c r="BD1238">
        <v>0</v>
      </c>
      <c r="BE1238">
        <v>0</v>
      </c>
      <c r="BF1238">
        <v>0</v>
      </c>
      <c r="BG1238">
        <v>0</v>
      </c>
      <c r="BH1238">
        <v>1</v>
      </c>
      <c r="BI1238">
        <v>1</v>
      </c>
      <c r="BJ1238">
        <v>0.6</v>
      </c>
      <c r="BK1238">
        <v>1</v>
      </c>
      <c r="BL1238">
        <v>69.5</v>
      </c>
      <c r="BM1238">
        <v>10.43</v>
      </c>
      <c r="BN1238">
        <v>79.930000000000007</v>
      </c>
      <c r="BO1238">
        <v>79.930000000000007</v>
      </c>
      <c r="BQ1238" t="s">
        <v>937</v>
      </c>
      <c r="BR1238" t="s">
        <v>84</v>
      </c>
      <c r="BS1238" s="3">
        <v>45819</v>
      </c>
      <c r="BT1238" s="4">
        <v>0.4236111111111111</v>
      </c>
      <c r="BU1238" t="s">
        <v>1889</v>
      </c>
      <c r="BV1238" t="s">
        <v>86</v>
      </c>
      <c r="BY1238">
        <v>3192</v>
      </c>
      <c r="CA1238" t="s">
        <v>939</v>
      </c>
      <c r="CC1238" t="s">
        <v>117</v>
      </c>
      <c r="CD1238">
        <v>3201</v>
      </c>
      <c r="CE1238" t="s">
        <v>292</v>
      </c>
      <c r="CF1238" s="3">
        <v>45819</v>
      </c>
      <c r="CI1238">
        <v>1</v>
      </c>
      <c r="CJ1238">
        <v>1</v>
      </c>
      <c r="CK1238">
        <v>21</v>
      </c>
      <c r="CL1238" t="s">
        <v>90</v>
      </c>
    </row>
    <row r="1239" spans="1:90" x14ac:dyDescent="0.3">
      <c r="A1239" t="s">
        <v>72</v>
      </c>
      <c r="B1239" t="s">
        <v>73</v>
      </c>
      <c r="C1239" t="s">
        <v>74</v>
      </c>
      <c r="E1239" t="str">
        <f>"080065866676"</f>
        <v>080065866676</v>
      </c>
      <c r="F1239" s="3">
        <v>45818</v>
      </c>
      <c r="G1239">
        <v>202603</v>
      </c>
      <c r="H1239" t="s">
        <v>75</v>
      </c>
      <c r="I1239" t="s">
        <v>76</v>
      </c>
      <c r="J1239" t="s">
        <v>77</v>
      </c>
      <c r="K1239" t="s">
        <v>78</v>
      </c>
      <c r="L1239" t="s">
        <v>106</v>
      </c>
      <c r="M1239" t="s">
        <v>107</v>
      </c>
      <c r="N1239" t="s">
        <v>1373</v>
      </c>
      <c r="O1239" t="s">
        <v>94</v>
      </c>
      <c r="P1239" t="str">
        <f>"4170043339                    "</f>
        <v xml:space="preserve">4170043339                    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40.409999999999997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v>0</v>
      </c>
      <c r="BB1239">
        <v>0</v>
      </c>
      <c r="BC1239">
        <v>0</v>
      </c>
      <c r="BD1239">
        <v>0</v>
      </c>
      <c r="BE1239">
        <v>0</v>
      </c>
      <c r="BF1239">
        <v>0</v>
      </c>
      <c r="BG1239">
        <v>0</v>
      </c>
      <c r="BH1239">
        <v>1</v>
      </c>
      <c r="BI1239">
        <v>4</v>
      </c>
      <c r="BJ1239">
        <v>3.1</v>
      </c>
      <c r="BK1239">
        <v>4</v>
      </c>
      <c r="BL1239">
        <v>139.96</v>
      </c>
      <c r="BM1239">
        <v>20.99</v>
      </c>
      <c r="BN1239">
        <v>160.94999999999999</v>
      </c>
      <c r="BO1239">
        <v>160.94999999999999</v>
      </c>
      <c r="BQ1239" t="s">
        <v>1374</v>
      </c>
      <c r="BR1239" t="s">
        <v>84</v>
      </c>
      <c r="BS1239" s="3">
        <v>45819</v>
      </c>
      <c r="BT1239" s="4">
        <v>0.42638888888888887</v>
      </c>
      <c r="BU1239" t="s">
        <v>1890</v>
      </c>
      <c r="BV1239" t="s">
        <v>86</v>
      </c>
      <c r="BY1239">
        <v>15360</v>
      </c>
      <c r="CA1239" t="s">
        <v>1376</v>
      </c>
      <c r="CC1239" t="s">
        <v>107</v>
      </c>
      <c r="CD1239">
        <v>1</v>
      </c>
      <c r="CE1239" t="s">
        <v>687</v>
      </c>
      <c r="CF1239" s="3">
        <v>45819</v>
      </c>
      <c r="CI1239">
        <v>1</v>
      </c>
      <c r="CJ1239">
        <v>1</v>
      </c>
      <c r="CK1239">
        <v>41</v>
      </c>
      <c r="CL1239" t="s">
        <v>90</v>
      </c>
    </row>
    <row r="1240" spans="1:90" x14ac:dyDescent="0.3">
      <c r="A1240" t="s">
        <v>72</v>
      </c>
      <c r="B1240" t="s">
        <v>73</v>
      </c>
      <c r="C1240" t="s">
        <v>74</v>
      </c>
      <c r="E1240" t="str">
        <f>"080065866699"</f>
        <v>080065866699</v>
      </c>
      <c r="F1240" s="3">
        <v>45818</v>
      </c>
      <c r="G1240">
        <v>202603</v>
      </c>
      <c r="H1240" t="s">
        <v>75</v>
      </c>
      <c r="I1240" t="s">
        <v>76</v>
      </c>
      <c r="J1240" t="s">
        <v>77</v>
      </c>
      <c r="K1240" t="s">
        <v>78</v>
      </c>
      <c r="L1240" t="s">
        <v>136</v>
      </c>
      <c r="M1240" t="s">
        <v>137</v>
      </c>
      <c r="N1240" t="s">
        <v>806</v>
      </c>
      <c r="O1240" t="s">
        <v>82</v>
      </c>
      <c r="P1240" t="str">
        <f>"4170043045                    "</f>
        <v xml:space="preserve">4170043045                    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20.9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  <c r="BE1240">
        <v>0</v>
      </c>
      <c r="BF1240">
        <v>0</v>
      </c>
      <c r="BG1240">
        <v>0</v>
      </c>
      <c r="BH1240">
        <v>1</v>
      </c>
      <c r="BI1240">
        <v>1</v>
      </c>
      <c r="BJ1240">
        <v>0.9</v>
      </c>
      <c r="BK1240">
        <v>1</v>
      </c>
      <c r="BL1240">
        <v>69.5</v>
      </c>
      <c r="BM1240">
        <v>10.43</v>
      </c>
      <c r="BN1240">
        <v>79.930000000000007</v>
      </c>
      <c r="BO1240">
        <v>79.930000000000007</v>
      </c>
      <c r="BQ1240" t="s">
        <v>807</v>
      </c>
      <c r="BR1240" t="s">
        <v>84</v>
      </c>
      <c r="BS1240" s="3">
        <v>45819</v>
      </c>
      <c r="BT1240" s="4">
        <v>0.49444444444444446</v>
      </c>
      <c r="BU1240" t="s">
        <v>1891</v>
      </c>
      <c r="BV1240" t="s">
        <v>90</v>
      </c>
      <c r="BY1240">
        <v>4275</v>
      </c>
      <c r="CA1240" t="s">
        <v>320</v>
      </c>
      <c r="CC1240" t="s">
        <v>137</v>
      </c>
      <c r="CD1240">
        <v>5201</v>
      </c>
      <c r="CE1240" t="s">
        <v>292</v>
      </c>
      <c r="CI1240">
        <v>1</v>
      </c>
      <c r="CJ1240">
        <v>1</v>
      </c>
      <c r="CK1240">
        <v>21</v>
      </c>
      <c r="CL1240" t="s">
        <v>90</v>
      </c>
    </row>
    <row r="1241" spans="1:90" x14ac:dyDescent="0.3">
      <c r="A1241" t="s">
        <v>72</v>
      </c>
      <c r="B1241" t="s">
        <v>73</v>
      </c>
      <c r="C1241" t="s">
        <v>74</v>
      </c>
      <c r="E1241" t="str">
        <f>"080065866720"</f>
        <v>080065866720</v>
      </c>
      <c r="F1241" s="3">
        <v>45818</v>
      </c>
      <c r="G1241">
        <v>202603</v>
      </c>
      <c r="H1241" t="s">
        <v>75</v>
      </c>
      <c r="I1241" t="s">
        <v>76</v>
      </c>
      <c r="J1241" t="s">
        <v>77</v>
      </c>
      <c r="K1241" t="s">
        <v>78</v>
      </c>
      <c r="L1241" t="s">
        <v>100</v>
      </c>
      <c r="M1241" t="s">
        <v>101</v>
      </c>
      <c r="N1241" t="s">
        <v>123</v>
      </c>
      <c r="O1241" t="s">
        <v>82</v>
      </c>
      <c r="P1241" t="str">
        <f>"4170043058                    "</f>
        <v xml:space="preserve">4170043058                    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41.78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0</v>
      </c>
      <c r="BA1241">
        <v>0</v>
      </c>
      <c r="BB1241">
        <v>0</v>
      </c>
      <c r="BC1241">
        <v>0</v>
      </c>
      <c r="BD1241">
        <v>0</v>
      </c>
      <c r="BE1241">
        <v>0</v>
      </c>
      <c r="BF1241">
        <v>0</v>
      </c>
      <c r="BG1241">
        <v>0</v>
      </c>
      <c r="BH1241">
        <v>1</v>
      </c>
      <c r="BI1241">
        <v>4</v>
      </c>
      <c r="BJ1241">
        <v>1.7</v>
      </c>
      <c r="BK1241">
        <v>4</v>
      </c>
      <c r="BL1241">
        <v>138.94</v>
      </c>
      <c r="BM1241">
        <v>20.84</v>
      </c>
      <c r="BN1241">
        <v>159.78</v>
      </c>
      <c r="BO1241">
        <v>159.78</v>
      </c>
      <c r="BQ1241" t="s">
        <v>124</v>
      </c>
      <c r="BR1241" t="s">
        <v>84</v>
      </c>
      <c r="BS1241" s="3">
        <v>45819</v>
      </c>
      <c r="BT1241" s="4">
        <v>0.40902777777777777</v>
      </c>
      <c r="BU1241" t="s">
        <v>688</v>
      </c>
      <c r="BV1241" t="s">
        <v>86</v>
      </c>
      <c r="BY1241">
        <v>8512</v>
      </c>
      <c r="CA1241" t="s">
        <v>235</v>
      </c>
      <c r="CC1241" t="s">
        <v>101</v>
      </c>
      <c r="CD1241">
        <v>6001</v>
      </c>
      <c r="CE1241" t="s">
        <v>292</v>
      </c>
      <c r="CF1241" s="3">
        <v>45819</v>
      </c>
      <c r="CI1241">
        <v>1</v>
      </c>
      <c r="CJ1241">
        <v>1</v>
      </c>
      <c r="CK1241">
        <v>21</v>
      </c>
      <c r="CL1241" t="s">
        <v>90</v>
      </c>
    </row>
    <row r="1242" spans="1:90" x14ac:dyDescent="0.3">
      <c r="A1242" t="s">
        <v>72</v>
      </c>
      <c r="B1242" t="s">
        <v>73</v>
      </c>
      <c r="C1242" t="s">
        <v>74</v>
      </c>
      <c r="E1242" t="str">
        <f>"R080065644175"</f>
        <v>R080065644175</v>
      </c>
      <c r="F1242" s="3">
        <v>45818</v>
      </c>
      <c r="G1242">
        <v>202603</v>
      </c>
      <c r="H1242" t="s">
        <v>413</v>
      </c>
      <c r="I1242" t="s">
        <v>414</v>
      </c>
      <c r="J1242" t="s">
        <v>1892</v>
      </c>
      <c r="K1242" t="s">
        <v>78</v>
      </c>
      <c r="L1242" t="s">
        <v>413</v>
      </c>
      <c r="M1242" t="s">
        <v>414</v>
      </c>
      <c r="N1242" t="s">
        <v>1892</v>
      </c>
      <c r="O1242" t="s">
        <v>94</v>
      </c>
      <c r="P1242" t="str">
        <f>"4170041468                    "</f>
        <v xml:space="preserve">4170041468                    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31.18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>
        <v>0</v>
      </c>
      <c r="BD1242">
        <v>0</v>
      </c>
      <c r="BE1242">
        <v>0</v>
      </c>
      <c r="BF1242">
        <v>0</v>
      </c>
      <c r="BG1242">
        <v>0</v>
      </c>
      <c r="BH1242">
        <v>1</v>
      </c>
      <c r="BI1242">
        <v>1</v>
      </c>
      <c r="BJ1242">
        <v>0.2</v>
      </c>
      <c r="BK1242">
        <v>1</v>
      </c>
      <c r="BL1242">
        <v>109.27</v>
      </c>
      <c r="BM1242">
        <v>16.39</v>
      </c>
      <c r="BN1242">
        <v>125.66</v>
      </c>
      <c r="BO1242">
        <v>125.66</v>
      </c>
      <c r="BQ1242" t="s">
        <v>1862</v>
      </c>
      <c r="BR1242" t="s">
        <v>1893</v>
      </c>
      <c r="BS1242" s="3">
        <v>45819</v>
      </c>
      <c r="BT1242" s="4">
        <v>0.4284722222222222</v>
      </c>
      <c r="BU1242" t="s">
        <v>1864</v>
      </c>
      <c r="BV1242" t="s">
        <v>86</v>
      </c>
      <c r="BY1242">
        <v>1200</v>
      </c>
      <c r="BZ1242" t="s">
        <v>97</v>
      </c>
      <c r="CC1242" t="s">
        <v>414</v>
      </c>
      <c r="CD1242">
        <v>4113</v>
      </c>
      <c r="CE1242" t="s">
        <v>215</v>
      </c>
      <c r="CI1242">
        <v>1</v>
      </c>
      <c r="CJ1242">
        <v>1</v>
      </c>
      <c r="CK1242">
        <v>42</v>
      </c>
      <c r="CL1242" t="s">
        <v>90</v>
      </c>
    </row>
    <row r="1243" spans="1:90" x14ac:dyDescent="0.3">
      <c r="A1243" t="s">
        <v>72</v>
      </c>
      <c r="B1243" t="s">
        <v>73</v>
      </c>
      <c r="C1243" t="s">
        <v>74</v>
      </c>
      <c r="E1243" t="str">
        <f>"080065867027"</f>
        <v>080065867027</v>
      </c>
      <c r="F1243" s="3">
        <v>45818</v>
      </c>
      <c r="G1243">
        <v>202603</v>
      </c>
      <c r="H1243" t="s">
        <v>75</v>
      </c>
      <c r="I1243" t="s">
        <v>76</v>
      </c>
      <c r="J1243" t="s">
        <v>77</v>
      </c>
      <c r="K1243" t="s">
        <v>78</v>
      </c>
      <c r="L1243" t="s">
        <v>1618</v>
      </c>
      <c r="M1243" t="s">
        <v>1619</v>
      </c>
      <c r="N1243" t="s">
        <v>1620</v>
      </c>
      <c r="O1243" t="s">
        <v>82</v>
      </c>
      <c r="P1243" t="str">
        <f>"4170043031                    "</f>
        <v xml:space="preserve">4170043031                    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29.39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0</v>
      </c>
      <c r="BA1243">
        <v>0</v>
      </c>
      <c r="BB1243">
        <v>0</v>
      </c>
      <c r="BC1243">
        <v>0</v>
      </c>
      <c r="BD1243">
        <v>0</v>
      </c>
      <c r="BE1243">
        <v>0</v>
      </c>
      <c r="BF1243">
        <v>0</v>
      </c>
      <c r="BG1243">
        <v>0</v>
      </c>
      <c r="BH1243">
        <v>1</v>
      </c>
      <c r="BI1243">
        <v>1</v>
      </c>
      <c r="BJ1243">
        <v>0.2</v>
      </c>
      <c r="BK1243">
        <v>1</v>
      </c>
      <c r="BL1243">
        <v>97.74</v>
      </c>
      <c r="BM1243">
        <v>14.66</v>
      </c>
      <c r="BN1243">
        <v>112.4</v>
      </c>
      <c r="BO1243">
        <v>112.4</v>
      </c>
      <c r="BQ1243" t="s">
        <v>1621</v>
      </c>
      <c r="BR1243" t="s">
        <v>84</v>
      </c>
      <c r="BS1243" s="3">
        <v>45819</v>
      </c>
      <c r="BT1243" s="4">
        <v>0.3</v>
      </c>
      <c r="BU1243" t="s">
        <v>1894</v>
      </c>
      <c r="BV1243" t="s">
        <v>86</v>
      </c>
      <c r="BY1243">
        <v>1200</v>
      </c>
      <c r="BZ1243" t="s">
        <v>87</v>
      </c>
      <c r="CA1243" t="s">
        <v>1622</v>
      </c>
      <c r="CC1243" t="s">
        <v>1619</v>
      </c>
      <c r="CD1243">
        <v>2210</v>
      </c>
      <c r="CE1243" t="s">
        <v>89</v>
      </c>
      <c r="CF1243" s="3">
        <v>45819</v>
      </c>
      <c r="CI1243">
        <v>1</v>
      </c>
      <c r="CJ1243">
        <v>1</v>
      </c>
      <c r="CK1243">
        <v>24</v>
      </c>
      <c r="CL1243" t="s">
        <v>90</v>
      </c>
    </row>
    <row r="1244" spans="1:90" x14ac:dyDescent="0.3">
      <c r="A1244" t="s">
        <v>72</v>
      </c>
      <c r="B1244" t="s">
        <v>73</v>
      </c>
      <c r="C1244" t="s">
        <v>74</v>
      </c>
      <c r="E1244" t="str">
        <f>"080065867053"</f>
        <v>080065867053</v>
      </c>
      <c r="F1244" s="3">
        <v>45818</v>
      </c>
      <c r="G1244">
        <v>202603</v>
      </c>
      <c r="H1244" t="s">
        <v>75</v>
      </c>
      <c r="I1244" t="s">
        <v>76</v>
      </c>
      <c r="J1244" t="s">
        <v>77</v>
      </c>
      <c r="K1244" t="s">
        <v>78</v>
      </c>
      <c r="L1244" t="s">
        <v>116</v>
      </c>
      <c r="M1244" t="s">
        <v>117</v>
      </c>
      <c r="N1244" t="s">
        <v>118</v>
      </c>
      <c r="O1244" t="s">
        <v>82</v>
      </c>
      <c r="P1244" t="str">
        <f>"4170043078                    "</f>
        <v xml:space="preserve">4170043078                    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20.9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0</v>
      </c>
      <c r="BA1244">
        <v>0</v>
      </c>
      <c r="BB1244">
        <v>0</v>
      </c>
      <c r="BC1244">
        <v>0</v>
      </c>
      <c r="BD1244">
        <v>0</v>
      </c>
      <c r="BE1244">
        <v>0</v>
      </c>
      <c r="BF1244">
        <v>0</v>
      </c>
      <c r="BG1244">
        <v>0</v>
      </c>
      <c r="BH1244">
        <v>1</v>
      </c>
      <c r="BI1244">
        <v>1</v>
      </c>
      <c r="BJ1244">
        <v>0.2</v>
      </c>
      <c r="BK1244">
        <v>1</v>
      </c>
      <c r="BL1244">
        <v>69.5</v>
      </c>
      <c r="BM1244">
        <v>10.43</v>
      </c>
      <c r="BN1244">
        <v>79.930000000000007</v>
      </c>
      <c r="BO1244">
        <v>79.930000000000007</v>
      </c>
      <c r="BQ1244" t="s">
        <v>119</v>
      </c>
      <c r="BR1244" t="s">
        <v>84</v>
      </c>
      <c r="BS1244" s="3">
        <v>45819</v>
      </c>
      <c r="BT1244" s="4">
        <v>0.41666666666666669</v>
      </c>
      <c r="BU1244" t="s">
        <v>1895</v>
      </c>
      <c r="BV1244" t="s">
        <v>86</v>
      </c>
      <c r="BY1244">
        <v>1200</v>
      </c>
      <c r="CA1244" t="s">
        <v>121</v>
      </c>
      <c r="CC1244" t="s">
        <v>117</v>
      </c>
      <c r="CD1244">
        <v>3201</v>
      </c>
      <c r="CE1244" t="s">
        <v>215</v>
      </c>
      <c r="CF1244" s="3">
        <v>45819</v>
      </c>
      <c r="CI1244">
        <v>1</v>
      </c>
      <c r="CJ1244">
        <v>1</v>
      </c>
      <c r="CK1244">
        <v>21</v>
      </c>
      <c r="CL1244" t="s">
        <v>90</v>
      </c>
    </row>
    <row r="1245" spans="1:90" x14ac:dyDescent="0.3">
      <c r="A1245" t="s">
        <v>72</v>
      </c>
      <c r="B1245" t="s">
        <v>73</v>
      </c>
      <c r="C1245" t="s">
        <v>74</v>
      </c>
      <c r="E1245" t="str">
        <f>"080065867066"</f>
        <v>080065867066</v>
      </c>
      <c r="F1245" s="3">
        <v>45818</v>
      </c>
      <c r="G1245">
        <v>202603</v>
      </c>
      <c r="H1245" t="s">
        <v>75</v>
      </c>
      <c r="I1245" t="s">
        <v>76</v>
      </c>
      <c r="J1245" t="s">
        <v>77</v>
      </c>
      <c r="K1245" t="s">
        <v>78</v>
      </c>
      <c r="L1245" t="s">
        <v>100</v>
      </c>
      <c r="M1245" t="s">
        <v>101</v>
      </c>
      <c r="N1245" t="s">
        <v>123</v>
      </c>
      <c r="O1245" t="s">
        <v>82</v>
      </c>
      <c r="P1245" t="str">
        <f>"4170043060                    "</f>
        <v xml:space="preserve">4170043060                    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99.2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</v>
      </c>
      <c r="BD1245">
        <v>0</v>
      </c>
      <c r="BE1245">
        <v>0</v>
      </c>
      <c r="BF1245">
        <v>0</v>
      </c>
      <c r="BG1245">
        <v>0</v>
      </c>
      <c r="BH1245">
        <v>2</v>
      </c>
      <c r="BI1245">
        <v>8</v>
      </c>
      <c r="BJ1245">
        <v>9.5</v>
      </c>
      <c r="BK1245">
        <v>9.5</v>
      </c>
      <c r="BL1245">
        <v>329.9</v>
      </c>
      <c r="BM1245">
        <v>49.49</v>
      </c>
      <c r="BN1245">
        <v>379.39</v>
      </c>
      <c r="BO1245">
        <v>379.39</v>
      </c>
      <c r="BQ1245" t="s">
        <v>124</v>
      </c>
      <c r="BR1245" t="s">
        <v>84</v>
      </c>
      <c r="BS1245" s="3">
        <v>45819</v>
      </c>
      <c r="BT1245" s="4">
        <v>0.40902777777777777</v>
      </c>
      <c r="BU1245" t="s">
        <v>688</v>
      </c>
      <c r="BV1245" t="s">
        <v>86</v>
      </c>
      <c r="BY1245">
        <v>47456</v>
      </c>
      <c r="CA1245" t="s">
        <v>235</v>
      </c>
      <c r="CC1245" t="s">
        <v>101</v>
      </c>
      <c r="CD1245">
        <v>6001</v>
      </c>
      <c r="CE1245" t="s">
        <v>687</v>
      </c>
      <c r="CF1245" s="3">
        <v>45819</v>
      </c>
      <c r="CI1245">
        <v>1</v>
      </c>
      <c r="CJ1245">
        <v>1</v>
      </c>
      <c r="CK1245">
        <v>21</v>
      </c>
      <c r="CL1245" t="s">
        <v>90</v>
      </c>
    </row>
    <row r="1246" spans="1:90" x14ac:dyDescent="0.3">
      <c r="A1246" t="s">
        <v>72</v>
      </c>
      <c r="B1246" t="s">
        <v>73</v>
      </c>
      <c r="C1246" t="s">
        <v>74</v>
      </c>
      <c r="E1246" t="str">
        <f>"080065867108"</f>
        <v>080065867108</v>
      </c>
      <c r="F1246" s="3">
        <v>45818</v>
      </c>
      <c r="G1246">
        <v>202603</v>
      </c>
      <c r="H1246" t="s">
        <v>75</v>
      </c>
      <c r="I1246" t="s">
        <v>76</v>
      </c>
      <c r="J1246" t="s">
        <v>77</v>
      </c>
      <c r="K1246" t="s">
        <v>78</v>
      </c>
      <c r="L1246" t="s">
        <v>575</v>
      </c>
      <c r="M1246" t="s">
        <v>576</v>
      </c>
      <c r="N1246" t="s">
        <v>1464</v>
      </c>
      <c r="O1246" t="s">
        <v>82</v>
      </c>
      <c r="P1246" t="str">
        <f>"4170043066                    "</f>
        <v xml:space="preserve">4170043066                    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40.49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</v>
      </c>
      <c r="BD1246">
        <v>0</v>
      </c>
      <c r="BE1246">
        <v>0</v>
      </c>
      <c r="BF1246">
        <v>0</v>
      </c>
      <c r="BG1246">
        <v>0</v>
      </c>
      <c r="BH1246">
        <v>1</v>
      </c>
      <c r="BI1246">
        <v>2</v>
      </c>
      <c r="BJ1246">
        <v>1.9</v>
      </c>
      <c r="BK1246">
        <v>2</v>
      </c>
      <c r="BL1246">
        <v>134.65</v>
      </c>
      <c r="BM1246">
        <v>20.2</v>
      </c>
      <c r="BN1246">
        <v>154.85</v>
      </c>
      <c r="BO1246">
        <v>154.85</v>
      </c>
      <c r="BQ1246" t="s">
        <v>1465</v>
      </c>
      <c r="BR1246" t="s">
        <v>84</v>
      </c>
      <c r="BS1246" s="3">
        <v>45819</v>
      </c>
      <c r="BT1246" s="4">
        <v>0.43055555555555558</v>
      </c>
      <c r="BU1246" t="s">
        <v>1896</v>
      </c>
      <c r="BV1246" t="s">
        <v>86</v>
      </c>
      <c r="BY1246">
        <v>9600</v>
      </c>
      <c r="CA1246" t="s">
        <v>1560</v>
      </c>
      <c r="CC1246" t="s">
        <v>576</v>
      </c>
      <c r="CD1246">
        <v>1961</v>
      </c>
      <c r="CE1246" t="s">
        <v>687</v>
      </c>
      <c r="CF1246" s="3">
        <v>45819</v>
      </c>
      <c r="CI1246">
        <v>1</v>
      </c>
      <c r="CJ1246">
        <v>1</v>
      </c>
      <c r="CK1246">
        <v>23</v>
      </c>
      <c r="CL1246" t="s">
        <v>90</v>
      </c>
    </row>
    <row r="1247" spans="1:90" x14ac:dyDescent="0.3">
      <c r="A1247" t="s">
        <v>72</v>
      </c>
      <c r="B1247" t="s">
        <v>73</v>
      </c>
      <c r="C1247" t="s">
        <v>74</v>
      </c>
      <c r="E1247" t="str">
        <f>"080065867121"</f>
        <v>080065867121</v>
      </c>
      <c r="F1247" s="3">
        <v>45818</v>
      </c>
      <c r="G1247">
        <v>202603</v>
      </c>
      <c r="H1247" t="s">
        <v>75</v>
      </c>
      <c r="I1247" t="s">
        <v>76</v>
      </c>
      <c r="J1247" t="s">
        <v>77</v>
      </c>
      <c r="K1247" t="s">
        <v>78</v>
      </c>
      <c r="L1247" t="s">
        <v>91</v>
      </c>
      <c r="M1247" t="s">
        <v>92</v>
      </c>
      <c r="N1247" t="s">
        <v>1897</v>
      </c>
      <c r="O1247" t="s">
        <v>82</v>
      </c>
      <c r="P1247" t="str">
        <f>"4170043046                    "</f>
        <v xml:space="preserve">4170043046                    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20.9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</v>
      </c>
      <c r="BD1247">
        <v>0</v>
      </c>
      <c r="BE1247">
        <v>0</v>
      </c>
      <c r="BF1247">
        <v>0</v>
      </c>
      <c r="BG1247">
        <v>0</v>
      </c>
      <c r="BH1247">
        <v>1</v>
      </c>
      <c r="BI1247">
        <v>1</v>
      </c>
      <c r="BJ1247">
        <v>0.2</v>
      </c>
      <c r="BK1247">
        <v>1</v>
      </c>
      <c r="BL1247">
        <v>69.5</v>
      </c>
      <c r="BM1247">
        <v>10.43</v>
      </c>
      <c r="BN1247">
        <v>79.930000000000007</v>
      </c>
      <c r="BO1247">
        <v>79.930000000000007</v>
      </c>
      <c r="BQ1247" t="s">
        <v>1898</v>
      </c>
      <c r="BR1247" t="s">
        <v>84</v>
      </c>
      <c r="BS1247" s="3">
        <v>45819</v>
      </c>
      <c r="BT1247" s="4">
        <v>0.56388888888888888</v>
      </c>
      <c r="BU1247" t="s">
        <v>1899</v>
      </c>
      <c r="BV1247" t="s">
        <v>90</v>
      </c>
      <c r="BW1247" t="s">
        <v>1900</v>
      </c>
      <c r="BX1247" t="s">
        <v>344</v>
      </c>
      <c r="BY1247">
        <v>1200</v>
      </c>
      <c r="CC1247" t="s">
        <v>92</v>
      </c>
      <c r="CD1247">
        <v>7535</v>
      </c>
      <c r="CE1247" t="s">
        <v>215</v>
      </c>
      <c r="CI1247">
        <v>1</v>
      </c>
      <c r="CJ1247">
        <v>1</v>
      </c>
      <c r="CK1247">
        <v>21</v>
      </c>
      <c r="CL1247" t="s">
        <v>90</v>
      </c>
    </row>
    <row r="1248" spans="1:90" x14ac:dyDescent="0.3">
      <c r="A1248" t="s">
        <v>72</v>
      </c>
      <c r="B1248" t="s">
        <v>73</v>
      </c>
      <c r="C1248" t="s">
        <v>74</v>
      </c>
      <c r="E1248" t="str">
        <f>"080065867164"</f>
        <v>080065867164</v>
      </c>
      <c r="F1248" s="3">
        <v>45818</v>
      </c>
      <c r="G1248">
        <v>202603</v>
      </c>
      <c r="H1248" t="s">
        <v>75</v>
      </c>
      <c r="I1248" t="s">
        <v>76</v>
      </c>
      <c r="J1248" t="s">
        <v>77</v>
      </c>
      <c r="K1248" t="s">
        <v>78</v>
      </c>
      <c r="L1248" t="s">
        <v>106</v>
      </c>
      <c r="M1248" t="s">
        <v>107</v>
      </c>
      <c r="N1248" t="s">
        <v>236</v>
      </c>
      <c r="O1248" t="s">
        <v>82</v>
      </c>
      <c r="P1248" t="str">
        <f>"4170043087                    "</f>
        <v xml:space="preserve">4170043087                    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20.9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0</v>
      </c>
      <c r="BA1248">
        <v>0</v>
      </c>
      <c r="BB1248">
        <v>0</v>
      </c>
      <c r="BC1248">
        <v>0</v>
      </c>
      <c r="BD1248">
        <v>0</v>
      </c>
      <c r="BE1248">
        <v>0</v>
      </c>
      <c r="BF1248">
        <v>0</v>
      </c>
      <c r="BG1248">
        <v>0</v>
      </c>
      <c r="BH1248">
        <v>1</v>
      </c>
      <c r="BI1248">
        <v>2</v>
      </c>
      <c r="BJ1248">
        <v>1.9</v>
      </c>
      <c r="BK1248">
        <v>2</v>
      </c>
      <c r="BL1248">
        <v>69.5</v>
      </c>
      <c r="BM1248">
        <v>10.43</v>
      </c>
      <c r="BN1248">
        <v>79.930000000000007</v>
      </c>
      <c r="BO1248">
        <v>79.930000000000007</v>
      </c>
      <c r="BQ1248" t="s">
        <v>237</v>
      </c>
      <c r="BR1248" t="s">
        <v>84</v>
      </c>
      <c r="BS1248" s="3">
        <v>45819</v>
      </c>
      <c r="BT1248" s="4">
        <v>0.41319444444444442</v>
      </c>
      <c r="BU1248" t="s">
        <v>238</v>
      </c>
      <c r="BV1248" t="s">
        <v>86</v>
      </c>
      <c r="BY1248">
        <v>9600</v>
      </c>
      <c r="CA1248" t="s">
        <v>111</v>
      </c>
      <c r="CC1248" t="s">
        <v>107</v>
      </c>
      <c r="CD1248">
        <v>200</v>
      </c>
      <c r="CE1248" t="s">
        <v>687</v>
      </c>
      <c r="CF1248" s="3">
        <v>45819</v>
      </c>
      <c r="CI1248">
        <v>1</v>
      </c>
      <c r="CJ1248">
        <v>1</v>
      </c>
      <c r="CK1248">
        <v>21</v>
      </c>
      <c r="CL1248" t="s">
        <v>90</v>
      </c>
    </row>
    <row r="1249" spans="1:90" x14ac:dyDescent="0.3">
      <c r="A1249" t="s">
        <v>72</v>
      </c>
      <c r="B1249" t="s">
        <v>73</v>
      </c>
      <c r="C1249" t="s">
        <v>74</v>
      </c>
      <c r="E1249" t="str">
        <f>"080065867199"</f>
        <v>080065867199</v>
      </c>
      <c r="F1249" s="3">
        <v>45818</v>
      </c>
      <c r="G1249">
        <v>202603</v>
      </c>
      <c r="H1249" t="s">
        <v>75</v>
      </c>
      <c r="I1249" t="s">
        <v>76</v>
      </c>
      <c r="J1249" t="s">
        <v>77</v>
      </c>
      <c r="K1249" t="s">
        <v>78</v>
      </c>
      <c r="L1249" t="s">
        <v>91</v>
      </c>
      <c r="M1249" t="s">
        <v>92</v>
      </c>
      <c r="N1249" t="s">
        <v>1901</v>
      </c>
      <c r="O1249" t="s">
        <v>82</v>
      </c>
      <c r="P1249" t="str">
        <f>"4170043038                    "</f>
        <v xml:space="preserve">4170043038                    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20.9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</v>
      </c>
      <c r="BD1249">
        <v>0</v>
      </c>
      <c r="BE1249">
        <v>0</v>
      </c>
      <c r="BF1249">
        <v>0</v>
      </c>
      <c r="BG1249">
        <v>0</v>
      </c>
      <c r="BH1249">
        <v>1</v>
      </c>
      <c r="BI1249">
        <v>1</v>
      </c>
      <c r="BJ1249">
        <v>1.1000000000000001</v>
      </c>
      <c r="BK1249">
        <v>1.5</v>
      </c>
      <c r="BL1249">
        <v>69.5</v>
      </c>
      <c r="BM1249">
        <v>10.43</v>
      </c>
      <c r="BN1249">
        <v>79.930000000000007</v>
      </c>
      <c r="BO1249">
        <v>79.930000000000007</v>
      </c>
      <c r="BQ1249" t="s">
        <v>1902</v>
      </c>
      <c r="BR1249" t="s">
        <v>84</v>
      </c>
      <c r="BS1249" s="3">
        <v>45819</v>
      </c>
      <c r="BT1249" s="4">
        <v>0.43263888888888891</v>
      </c>
      <c r="BU1249" t="s">
        <v>1903</v>
      </c>
      <c r="BV1249" t="s">
        <v>86</v>
      </c>
      <c r="BY1249">
        <v>5320</v>
      </c>
      <c r="CA1249" t="s">
        <v>613</v>
      </c>
      <c r="CC1249" t="s">
        <v>92</v>
      </c>
      <c r="CD1249">
        <v>7441</v>
      </c>
      <c r="CE1249" t="s">
        <v>292</v>
      </c>
      <c r="CI1249">
        <v>1</v>
      </c>
      <c r="CJ1249">
        <v>1</v>
      </c>
      <c r="CK1249">
        <v>21</v>
      </c>
      <c r="CL1249" t="s">
        <v>90</v>
      </c>
    </row>
    <row r="1250" spans="1:90" x14ac:dyDescent="0.3">
      <c r="A1250" t="s">
        <v>72</v>
      </c>
      <c r="B1250" t="s">
        <v>73</v>
      </c>
      <c r="C1250" t="s">
        <v>74</v>
      </c>
      <c r="E1250" t="str">
        <f>"080065867230"</f>
        <v>080065867230</v>
      </c>
      <c r="F1250" s="3">
        <v>45818</v>
      </c>
      <c r="G1250">
        <v>202603</v>
      </c>
      <c r="H1250" t="s">
        <v>75</v>
      </c>
      <c r="I1250" t="s">
        <v>76</v>
      </c>
      <c r="J1250" t="s">
        <v>77</v>
      </c>
      <c r="K1250" t="s">
        <v>78</v>
      </c>
      <c r="L1250" t="s">
        <v>100</v>
      </c>
      <c r="M1250" t="s">
        <v>101</v>
      </c>
      <c r="N1250" t="s">
        <v>1642</v>
      </c>
      <c r="O1250" t="s">
        <v>82</v>
      </c>
      <c r="P1250" t="str">
        <f>"4170043029                    "</f>
        <v xml:space="preserve">4170043029                    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20.9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</v>
      </c>
      <c r="BD1250">
        <v>0</v>
      </c>
      <c r="BE1250">
        <v>0</v>
      </c>
      <c r="BF1250">
        <v>0</v>
      </c>
      <c r="BG1250">
        <v>0</v>
      </c>
      <c r="BH1250">
        <v>1</v>
      </c>
      <c r="BI1250">
        <v>1</v>
      </c>
      <c r="BJ1250">
        <v>1.1000000000000001</v>
      </c>
      <c r="BK1250">
        <v>1.5</v>
      </c>
      <c r="BL1250">
        <v>69.5</v>
      </c>
      <c r="BM1250">
        <v>10.43</v>
      </c>
      <c r="BN1250">
        <v>79.930000000000007</v>
      </c>
      <c r="BO1250">
        <v>79.930000000000007</v>
      </c>
      <c r="BQ1250" t="s">
        <v>1643</v>
      </c>
      <c r="BR1250" t="s">
        <v>84</v>
      </c>
      <c r="BS1250" s="3">
        <v>45819</v>
      </c>
      <c r="BT1250" s="4">
        <v>0.38750000000000001</v>
      </c>
      <c r="BU1250" t="s">
        <v>518</v>
      </c>
      <c r="BV1250" t="s">
        <v>86</v>
      </c>
      <c r="BY1250">
        <v>5320</v>
      </c>
      <c r="CA1250" t="s">
        <v>283</v>
      </c>
      <c r="CC1250" t="s">
        <v>101</v>
      </c>
      <c r="CD1250">
        <v>6001</v>
      </c>
      <c r="CE1250" t="s">
        <v>292</v>
      </c>
      <c r="CF1250" s="3">
        <v>45819</v>
      </c>
      <c r="CI1250">
        <v>1</v>
      </c>
      <c r="CJ1250">
        <v>1</v>
      </c>
      <c r="CK1250">
        <v>21</v>
      </c>
      <c r="CL1250" t="s">
        <v>90</v>
      </c>
    </row>
    <row r="1251" spans="1:90" x14ac:dyDescent="0.3">
      <c r="A1251" t="s">
        <v>72</v>
      </c>
      <c r="B1251" t="s">
        <v>73</v>
      </c>
      <c r="C1251" t="s">
        <v>74</v>
      </c>
      <c r="E1251" t="str">
        <f>"080065867255"</f>
        <v>080065867255</v>
      </c>
      <c r="F1251" s="3">
        <v>45818</v>
      </c>
      <c r="G1251">
        <v>202603</v>
      </c>
      <c r="H1251" t="s">
        <v>75</v>
      </c>
      <c r="I1251" t="s">
        <v>76</v>
      </c>
      <c r="J1251" t="s">
        <v>77</v>
      </c>
      <c r="K1251" t="s">
        <v>78</v>
      </c>
      <c r="L1251" t="s">
        <v>130</v>
      </c>
      <c r="M1251" t="s">
        <v>131</v>
      </c>
      <c r="N1251" t="s">
        <v>729</v>
      </c>
      <c r="O1251" t="s">
        <v>94</v>
      </c>
      <c r="P1251" t="str">
        <f>"4170043079                    "</f>
        <v xml:space="preserve">4170043079                    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34.83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</v>
      </c>
      <c r="BD1251">
        <v>0</v>
      </c>
      <c r="BE1251">
        <v>0</v>
      </c>
      <c r="BF1251">
        <v>0</v>
      </c>
      <c r="BG1251">
        <v>0</v>
      </c>
      <c r="BH1251">
        <v>1</v>
      </c>
      <c r="BI1251">
        <v>6</v>
      </c>
      <c r="BJ1251">
        <v>18.399999999999999</v>
      </c>
      <c r="BK1251">
        <v>19</v>
      </c>
      <c r="BL1251">
        <v>121.4</v>
      </c>
      <c r="BM1251">
        <v>18.21</v>
      </c>
      <c r="BN1251">
        <v>139.61000000000001</v>
      </c>
      <c r="BO1251">
        <v>139.61000000000001</v>
      </c>
      <c r="BQ1251" t="s">
        <v>730</v>
      </c>
      <c r="BR1251" t="s">
        <v>84</v>
      </c>
      <c r="BS1251" s="3">
        <v>45819</v>
      </c>
      <c r="BT1251" s="4">
        <v>0.4284722222222222</v>
      </c>
      <c r="BU1251" t="s">
        <v>1904</v>
      </c>
      <c r="BV1251" t="s">
        <v>86</v>
      </c>
      <c r="BY1251">
        <v>91936</v>
      </c>
      <c r="CA1251" t="s">
        <v>425</v>
      </c>
      <c r="CC1251" t="s">
        <v>131</v>
      </c>
      <c r="CD1251">
        <v>1459</v>
      </c>
      <c r="CE1251" t="s">
        <v>166</v>
      </c>
      <c r="CF1251" s="3">
        <v>45819</v>
      </c>
      <c r="CI1251">
        <v>1</v>
      </c>
      <c r="CJ1251">
        <v>1</v>
      </c>
      <c r="CK1251">
        <v>42</v>
      </c>
      <c r="CL1251" t="s">
        <v>90</v>
      </c>
    </row>
    <row r="1252" spans="1:90" x14ac:dyDescent="0.3">
      <c r="A1252" t="s">
        <v>72</v>
      </c>
      <c r="B1252" t="s">
        <v>73</v>
      </c>
      <c r="C1252" t="s">
        <v>74</v>
      </c>
      <c r="E1252" t="str">
        <f>"080065867300"</f>
        <v>080065867300</v>
      </c>
      <c r="F1252" s="3">
        <v>45818</v>
      </c>
      <c r="G1252">
        <v>202603</v>
      </c>
      <c r="H1252" t="s">
        <v>75</v>
      </c>
      <c r="I1252" t="s">
        <v>76</v>
      </c>
      <c r="J1252" t="s">
        <v>77</v>
      </c>
      <c r="K1252" t="s">
        <v>78</v>
      </c>
      <c r="L1252" t="s">
        <v>79</v>
      </c>
      <c r="M1252" t="s">
        <v>80</v>
      </c>
      <c r="N1252" t="s">
        <v>236</v>
      </c>
      <c r="O1252" t="s">
        <v>82</v>
      </c>
      <c r="P1252" t="str">
        <f>"4170043081                    "</f>
        <v xml:space="preserve">4170043081                    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72.319999999999993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</v>
      </c>
      <c r="BD1252">
        <v>0</v>
      </c>
      <c r="BE1252">
        <v>0</v>
      </c>
      <c r="BF1252">
        <v>0</v>
      </c>
      <c r="BG1252">
        <v>0</v>
      </c>
      <c r="BH1252">
        <v>1</v>
      </c>
      <c r="BI1252">
        <v>5</v>
      </c>
      <c r="BJ1252">
        <v>3.4</v>
      </c>
      <c r="BK1252">
        <v>5</v>
      </c>
      <c r="BL1252">
        <v>240.51</v>
      </c>
      <c r="BM1252">
        <v>36.08</v>
      </c>
      <c r="BN1252">
        <v>276.58999999999997</v>
      </c>
      <c r="BO1252">
        <v>276.58999999999997</v>
      </c>
      <c r="BQ1252" t="s">
        <v>237</v>
      </c>
      <c r="BR1252" t="s">
        <v>84</v>
      </c>
      <c r="BS1252" s="3">
        <v>45819</v>
      </c>
      <c r="BT1252" s="4">
        <v>0.42708333333333331</v>
      </c>
      <c r="BU1252" t="s">
        <v>1494</v>
      </c>
      <c r="BV1252" t="s">
        <v>86</v>
      </c>
      <c r="BY1252">
        <v>16965</v>
      </c>
      <c r="CA1252" t="s">
        <v>720</v>
      </c>
      <c r="CC1252" t="s">
        <v>80</v>
      </c>
      <c r="CD1252">
        <v>1754</v>
      </c>
      <c r="CE1252" t="s">
        <v>687</v>
      </c>
      <c r="CF1252" s="3">
        <v>45820</v>
      </c>
      <c r="CI1252">
        <v>1</v>
      </c>
      <c r="CJ1252">
        <v>1</v>
      </c>
      <c r="CK1252">
        <v>24</v>
      </c>
      <c r="CL1252" t="s">
        <v>90</v>
      </c>
    </row>
    <row r="1253" spans="1:90" x14ac:dyDescent="0.3">
      <c r="A1253" t="s">
        <v>72</v>
      </c>
      <c r="B1253" t="s">
        <v>73</v>
      </c>
      <c r="C1253" t="s">
        <v>74</v>
      </c>
      <c r="E1253" t="str">
        <f>"080065867338"</f>
        <v>080065867338</v>
      </c>
      <c r="F1253" s="3">
        <v>45818</v>
      </c>
      <c r="G1253">
        <v>202603</v>
      </c>
      <c r="H1253" t="s">
        <v>75</v>
      </c>
      <c r="I1253" t="s">
        <v>76</v>
      </c>
      <c r="J1253" t="s">
        <v>77</v>
      </c>
      <c r="K1253" t="s">
        <v>78</v>
      </c>
      <c r="L1253" t="s">
        <v>1645</v>
      </c>
      <c r="M1253" t="s">
        <v>1646</v>
      </c>
      <c r="N1253" t="s">
        <v>1647</v>
      </c>
      <c r="O1253" t="s">
        <v>82</v>
      </c>
      <c r="P1253" t="str">
        <f>"4170043041                    "</f>
        <v xml:space="preserve">4170043041                    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50.86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0</v>
      </c>
      <c r="BA1253">
        <v>0</v>
      </c>
      <c r="BB1253">
        <v>0</v>
      </c>
      <c r="BC1253">
        <v>0</v>
      </c>
      <c r="BD1253">
        <v>0</v>
      </c>
      <c r="BE1253">
        <v>0</v>
      </c>
      <c r="BF1253">
        <v>0</v>
      </c>
      <c r="BG1253">
        <v>0</v>
      </c>
      <c r="BH1253">
        <v>1</v>
      </c>
      <c r="BI1253">
        <v>2</v>
      </c>
      <c r="BJ1253">
        <v>3.5</v>
      </c>
      <c r="BK1253">
        <v>3.5</v>
      </c>
      <c r="BL1253">
        <v>169.13</v>
      </c>
      <c r="BM1253">
        <v>25.37</v>
      </c>
      <c r="BN1253">
        <v>194.5</v>
      </c>
      <c r="BO1253">
        <v>194.5</v>
      </c>
      <c r="BQ1253" t="s">
        <v>1648</v>
      </c>
      <c r="BR1253" t="s">
        <v>84</v>
      </c>
      <c r="BS1253" t="s">
        <v>189</v>
      </c>
      <c r="BY1253">
        <v>17556</v>
      </c>
      <c r="CC1253" t="s">
        <v>1646</v>
      </c>
      <c r="CD1253">
        <v>2410</v>
      </c>
      <c r="CE1253" t="s">
        <v>166</v>
      </c>
      <c r="CI1253">
        <v>1</v>
      </c>
      <c r="CJ1253" t="s">
        <v>189</v>
      </c>
      <c r="CK1253">
        <v>24</v>
      </c>
      <c r="CL1253" t="s">
        <v>90</v>
      </c>
    </row>
    <row r="1254" spans="1:90" x14ac:dyDescent="0.3">
      <c r="A1254" t="s">
        <v>72</v>
      </c>
      <c r="B1254" t="s">
        <v>73</v>
      </c>
      <c r="C1254" t="s">
        <v>74</v>
      </c>
      <c r="E1254" t="str">
        <f>"080065867396"</f>
        <v>080065867396</v>
      </c>
      <c r="F1254" s="3">
        <v>45818</v>
      </c>
      <c r="G1254">
        <v>202603</v>
      </c>
      <c r="H1254" t="s">
        <v>75</v>
      </c>
      <c r="I1254" t="s">
        <v>76</v>
      </c>
      <c r="J1254" t="s">
        <v>77</v>
      </c>
      <c r="K1254" t="s">
        <v>78</v>
      </c>
      <c r="L1254" t="s">
        <v>136</v>
      </c>
      <c r="M1254" t="s">
        <v>137</v>
      </c>
      <c r="N1254" t="s">
        <v>806</v>
      </c>
      <c r="O1254" t="s">
        <v>82</v>
      </c>
      <c r="P1254" t="str">
        <f>"4170043044                    "</f>
        <v xml:space="preserve">4170043044                    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20.9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</v>
      </c>
      <c r="BD1254">
        <v>0</v>
      </c>
      <c r="BE1254">
        <v>0</v>
      </c>
      <c r="BF1254">
        <v>0</v>
      </c>
      <c r="BG1254">
        <v>0</v>
      </c>
      <c r="BH1254">
        <v>1</v>
      </c>
      <c r="BI1254">
        <v>1</v>
      </c>
      <c r="BJ1254">
        <v>0.2</v>
      </c>
      <c r="BK1254">
        <v>1</v>
      </c>
      <c r="BL1254">
        <v>69.5</v>
      </c>
      <c r="BM1254">
        <v>10.43</v>
      </c>
      <c r="BN1254">
        <v>79.930000000000007</v>
      </c>
      <c r="BO1254">
        <v>79.930000000000007</v>
      </c>
      <c r="BQ1254" t="s">
        <v>807</v>
      </c>
      <c r="BR1254" t="s">
        <v>84</v>
      </c>
      <c r="BS1254" s="3">
        <v>45819</v>
      </c>
      <c r="BT1254" s="4">
        <v>0.49375000000000002</v>
      </c>
      <c r="BU1254" t="s">
        <v>1905</v>
      </c>
      <c r="BV1254" t="s">
        <v>90</v>
      </c>
      <c r="BY1254">
        <v>1200</v>
      </c>
      <c r="CA1254" t="s">
        <v>320</v>
      </c>
      <c r="CC1254" t="s">
        <v>137</v>
      </c>
      <c r="CD1254">
        <v>5200</v>
      </c>
      <c r="CE1254" t="s">
        <v>215</v>
      </c>
      <c r="CI1254">
        <v>1</v>
      </c>
      <c r="CJ1254">
        <v>1</v>
      </c>
      <c r="CK1254">
        <v>21</v>
      </c>
      <c r="CL1254" t="s">
        <v>90</v>
      </c>
    </row>
    <row r="1255" spans="1:90" x14ac:dyDescent="0.3">
      <c r="A1255" t="s">
        <v>72</v>
      </c>
      <c r="B1255" t="s">
        <v>73</v>
      </c>
      <c r="C1255" t="s">
        <v>74</v>
      </c>
      <c r="E1255" t="str">
        <f>"080065867502"</f>
        <v>080065867502</v>
      </c>
      <c r="F1255" s="3">
        <v>45818</v>
      </c>
      <c r="G1255">
        <v>202603</v>
      </c>
      <c r="H1255" t="s">
        <v>75</v>
      </c>
      <c r="I1255" t="s">
        <v>76</v>
      </c>
      <c r="J1255" t="s">
        <v>77</v>
      </c>
      <c r="K1255" t="s">
        <v>78</v>
      </c>
      <c r="L1255" t="s">
        <v>91</v>
      </c>
      <c r="M1255" t="s">
        <v>92</v>
      </c>
      <c r="N1255" t="s">
        <v>540</v>
      </c>
      <c r="O1255" t="s">
        <v>82</v>
      </c>
      <c r="P1255" t="str">
        <f>"4170043097                    "</f>
        <v xml:space="preserve">4170043097                    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52.22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0</v>
      </c>
      <c r="BA1255">
        <v>0</v>
      </c>
      <c r="BB1255">
        <v>0</v>
      </c>
      <c r="BC1255">
        <v>0</v>
      </c>
      <c r="BD1255">
        <v>0</v>
      </c>
      <c r="BE1255">
        <v>0</v>
      </c>
      <c r="BF1255">
        <v>0</v>
      </c>
      <c r="BG1255">
        <v>0</v>
      </c>
      <c r="BH1255">
        <v>1</v>
      </c>
      <c r="BI1255">
        <v>5</v>
      </c>
      <c r="BJ1255">
        <v>4.0999999999999996</v>
      </c>
      <c r="BK1255">
        <v>5</v>
      </c>
      <c r="BL1255">
        <v>173.66</v>
      </c>
      <c r="BM1255">
        <v>26.05</v>
      </c>
      <c r="BN1255">
        <v>199.71</v>
      </c>
      <c r="BO1255">
        <v>199.71</v>
      </c>
      <c r="BQ1255" t="s">
        <v>541</v>
      </c>
      <c r="BR1255" t="s">
        <v>84</v>
      </c>
      <c r="BS1255" s="3">
        <v>45819</v>
      </c>
      <c r="BT1255" s="4">
        <v>0.40277777777777779</v>
      </c>
      <c r="BU1255" t="s">
        <v>1869</v>
      </c>
      <c r="BV1255" t="s">
        <v>86</v>
      </c>
      <c r="BY1255">
        <v>20358</v>
      </c>
      <c r="CA1255" t="s">
        <v>291</v>
      </c>
      <c r="CC1255" t="s">
        <v>92</v>
      </c>
      <c r="CD1255">
        <v>7441</v>
      </c>
      <c r="CE1255" t="s">
        <v>687</v>
      </c>
      <c r="CI1255">
        <v>1</v>
      </c>
      <c r="CJ1255">
        <v>1</v>
      </c>
      <c r="CK1255">
        <v>21</v>
      </c>
      <c r="CL1255" t="s">
        <v>90</v>
      </c>
    </row>
    <row r="1256" spans="1:90" x14ac:dyDescent="0.3">
      <c r="A1256" t="s">
        <v>72</v>
      </c>
      <c r="B1256" t="s">
        <v>73</v>
      </c>
      <c r="C1256" t="s">
        <v>74</v>
      </c>
      <c r="E1256" t="str">
        <f>"080065867577"</f>
        <v>080065867577</v>
      </c>
      <c r="F1256" s="3">
        <v>45818</v>
      </c>
      <c r="G1256">
        <v>202603</v>
      </c>
      <c r="H1256" t="s">
        <v>75</v>
      </c>
      <c r="I1256" t="s">
        <v>76</v>
      </c>
      <c r="J1256" t="s">
        <v>77</v>
      </c>
      <c r="K1256" t="s">
        <v>78</v>
      </c>
      <c r="L1256" t="s">
        <v>116</v>
      </c>
      <c r="M1256" t="s">
        <v>117</v>
      </c>
      <c r="N1256" t="s">
        <v>118</v>
      </c>
      <c r="O1256" t="s">
        <v>82</v>
      </c>
      <c r="P1256" t="str">
        <f>"4170043053                    "</f>
        <v xml:space="preserve">4170043053                    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47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0</v>
      </c>
      <c r="BA1256">
        <v>0</v>
      </c>
      <c r="BB1256">
        <v>0</v>
      </c>
      <c r="BC1256">
        <v>0</v>
      </c>
      <c r="BD1256">
        <v>0</v>
      </c>
      <c r="BE1256">
        <v>0</v>
      </c>
      <c r="BF1256">
        <v>0</v>
      </c>
      <c r="BG1256">
        <v>0</v>
      </c>
      <c r="BH1256">
        <v>1</v>
      </c>
      <c r="BI1256">
        <v>2</v>
      </c>
      <c r="BJ1256">
        <v>4.0999999999999996</v>
      </c>
      <c r="BK1256">
        <v>4.5</v>
      </c>
      <c r="BL1256">
        <v>156.30000000000001</v>
      </c>
      <c r="BM1256">
        <v>23.45</v>
      </c>
      <c r="BN1256">
        <v>179.75</v>
      </c>
      <c r="BO1256">
        <v>179.75</v>
      </c>
      <c r="BQ1256" t="s">
        <v>119</v>
      </c>
      <c r="BR1256" t="s">
        <v>84</v>
      </c>
      <c r="BS1256" s="3">
        <v>45819</v>
      </c>
      <c r="BT1256" s="4">
        <v>0.41666666666666669</v>
      </c>
      <c r="BU1256" t="s">
        <v>1895</v>
      </c>
      <c r="BV1256" t="s">
        <v>86</v>
      </c>
      <c r="BY1256">
        <v>20358</v>
      </c>
      <c r="CA1256" t="s">
        <v>121</v>
      </c>
      <c r="CC1256" t="s">
        <v>117</v>
      </c>
      <c r="CD1256">
        <v>3201</v>
      </c>
      <c r="CE1256" t="s">
        <v>687</v>
      </c>
      <c r="CF1256" s="3">
        <v>45819</v>
      </c>
      <c r="CI1256">
        <v>1</v>
      </c>
      <c r="CJ1256">
        <v>1</v>
      </c>
      <c r="CK1256">
        <v>21</v>
      </c>
      <c r="CL1256" t="s">
        <v>90</v>
      </c>
    </row>
    <row r="1257" spans="1:90" x14ac:dyDescent="0.3">
      <c r="A1257" t="s">
        <v>72</v>
      </c>
      <c r="B1257" t="s">
        <v>73</v>
      </c>
      <c r="C1257" t="s">
        <v>74</v>
      </c>
      <c r="E1257" t="str">
        <f>"080065867604"</f>
        <v>080065867604</v>
      </c>
      <c r="F1257" s="3">
        <v>45818</v>
      </c>
      <c r="G1257">
        <v>202603</v>
      </c>
      <c r="H1257" t="s">
        <v>75</v>
      </c>
      <c r="I1257" t="s">
        <v>76</v>
      </c>
      <c r="J1257" t="s">
        <v>77</v>
      </c>
      <c r="K1257" t="s">
        <v>78</v>
      </c>
      <c r="L1257" t="s">
        <v>116</v>
      </c>
      <c r="M1257" t="s">
        <v>117</v>
      </c>
      <c r="N1257" t="s">
        <v>183</v>
      </c>
      <c r="O1257" t="s">
        <v>82</v>
      </c>
      <c r="P1257" t="str">
        <f>"4170043025                    "</f>
        <v xml:space="preserve">4170043025                    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187.94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>
        <v>0</v>
      </c>
      <c r="BD1257">
        <v>0</v>
      </c>
      <c r="BE1257">
        <v>0</v>
      </c>
      <c r="BF1257">
        <v>0</v>
      </c>
      <c r="BG1257">
        <v>0</v>
      </c>
      <c r="BH1257">
        <v>2</v>
      </c>
      <c r="BI1257">
        <v>18</v>
      </c>
      <c r="BJ1257">
        <v>8.1</v>
      </c>
      <c r="BK1257">
        <v>18</v>
      </c>
      <c r="BL1257">
        <v>625.02</v>
      </c>
      <c r="BM1257">
        <v>93.75</v>
      </c>
      <c r="BN1257">
        <v>718.77</v>
      </c>
      <c r="BO1257">
        <v>718.77</v>
      </c>
      <c r="BQ1257" t="s">
        <v>184</v>
      </c>
      <c r="BR1257" t="s">
        <v>84</v>
      </c>
      <c r="BS1257" s="3">
        <v>45819</v>
      </c>
      <c r="BT1257" s="4">
        <v>0.57291666666666663</v>
      </c>
      <c r="BU1257" t="s">
        <v>1278</v>
      </c>
      <c r="BV1257" t="s">
        <v>90</v>
      </c>
      <c r="BY1257">
        <v>20358</v>
      </c>
      <c r="CA1257" t="s">
        <v>186</v>
      </c>
      <c r="CC1257" t="s">
        <v>117</v>
      </c>
      <c r="CD1257">
        <v>3212</v>
      </c>
      <c r="CE1257" t="s">
        <v>687</v>
      </c>
      <c r="CF1257" s="3">
        <v>45819</v>
      </c>
      <c r="CI1257">
        <v>2</v>
      </c>
      <c r="CJ1257">
        <v>1</v>
      </c>
      <c r="CK1257">
        <v>21</v>
      </c>
      <c r="CL1257" t="s">
        <v>90</v>
      </c>
    </row>
    <row r="1258" spans="1:90" x14ac:dyDescent="0.3">
      <c r="A1258" t="s">
        <v>72</v>
      </c>
      <c r="B1258" t="s">
        <v>73</v>
      </c>
      <c r="C1258" t="s">
        <v>74</v>
      </c>
      <c r="E1258" t="str">
        <f>"080065867691"</f>
        <v>080065867691</v>
      </c>
      <c r="F1258" s="3">
        <v>45818</v>
      </c>
      <c r="G1258">
        <v>202603</v>
      </c>
      <c r="H1258" t="s">
        <v>75</v>
      </c>
      <c r="I1258" t="s">
        <v>76</v>
      </c>
      <c r="J1258" t="s">
        <v>77</v>
      </c>
      <c r="K1258" t="s">
        <v>78</v>
      </c>
      <c r="L1258" t="s">
        <v>159</v>
      </c>
      <c r="M1258" t="s">
        <v>160</v>
      </c>
      <c r="N1258" t="s">
        <v>409</v>
      </c>
      <c r="O1258" t="s">
        <v>82</v>
      </c>
      <c r="P1258" t="str">
        <f>"4170043174                    "</f>
        <v xml:space="preserve">4170043174                    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16.32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0</v>
      </c>
      <c r="BA1258">
        <v>0</v>
      </c>
      <c r="BB1258">
        <v>0</v>
      </c>
      <c r="BC1258">
        <v>0</v>
      </c>
      <c r="BD1258">
        <v>0</v>
      </c>
      <c r="BE1258">
        <v>0</v>
      </c>
      <c r="BF1258">
        <v>0</v>
      </c>
      <c r="BG1258">
        <v>0</v>
      </c>
      <c r="BH1258">
        <v>1</v>
      </c>
      <c r="BI1258">
        <v>1</v>
      </c>
      <c r="BJ1258">
        <v>0.2</v>
      </c>
      <c r="BK1258">
        <v>1</v>
      </c>
      <c r="BL1258">
        <v>54.28</v>
      </c>
      <c r="BM1258">
        <v>8.14</v>
      </c>
      <c r="BN1258">
        <v>62.42</v>
      </c>
      <c r="BO1258">
        <v>62.42</v>
      </c>
      <c r="BQ1258" t="s">
        <v>410</v>
      </c>
      <c r="BR1258" t="s">
        <v>84</v>
      </c>
      <c r="BS1258" s="3">
        <v>45819</v>
      </c>
      <c r="BT1258" s="4">
        <v>0.375</v>
      </c>
      <c r="BU1258" t="s">
        <v>967</v>
      </c>
      <c r="BV1258" t="s">
        <v>86</v>
      </c>
      <c r="BY1258">
        <v>1200</v>
      </c>
      <c r="CA1258" t="s">
        <v>444</v>
      </c>
      <c r="CC1258" t="s">
        <v>160</v>
      </c>
      <c r="CD1258">
        <v>2091</v>
      </c>
      <c r="CE1258" t="s">
        <v>215</v>
      </c>
      <c r="CF1258" s="3">
        <v>45820</v>
      </c>
      <c r="CI1258">
        <v>1</v>
      </c>
      <c r="CJ1258">
        <v>1</v>
      </c>
      <c r="CK1258">
        <v>22</v>
      </c>
      <c r="CL1258" t="s">
        <v>90</v>
      </c>
    </row>
    <row r="1259" spans="1:90" x14ac:dyDescent="0.3">
      <c r="A1259" t="s">
        <v>72</v>
      </c>
      <c r="B1259" t="s">
        <v>73</v>
      </c>
      <c r="C1259" t="s">
        <v>74</v>
      </c>
      <c r="E1259" t="str">
        <f>"080065867731"</f>
        <v>080065867731</v>
      </c>
      <c r="F1259" s="3">
        <v>45818</v>
      </c>
      <c r="G1259">
        <v>202603</v>
      </c>
      <c r="H1259" t="s">
        <v>75</v>
      </c>
      <c r="I1259" t="s">
        <v>76</v>
      </c>
      <c r="J1259" t="s">
        <v>77</v>
      </c>
      <c r="K1259" t="s">
        <v>78</v>
      </c>
      <c r="L1259" t="s">
        <v>130</v>
      </c>
      <c r="M1259" t="s">
        <v>131</v>
      </c>
      <c r="N1259" t="s">
        <v>519</v>
      </c>
      <c r="O1259" t="s">
        <v>82</v>
      </c>
      <c r="P1259" t="str">
        <f>"4170043215                    "</f>
        <v xml:space="preserve">4170043215                    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16.32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</v>
      </c>
      <c r="BD1259">
        <v>0</v>
      </c>
      <c r="BE1259">
        <v>0</v>
      </c>
      <c r="BF1259">
        <v>0</v>
      </c>
      <c r="BG1259">
        <v>0</v>
      </c>
      <c r="BH1259">
        <v>1</v>
      </c>
      <c r="BI1259">
        <v>1</v>
      </c>
      <c r="BJ1259">
        <v>0.2</v>
      </c>
      <c r="BK1259">
        <v>1</v>
      </c>
      <c r="BL1259">
        <v>54.28</v>
      </c>
      <c r="BM1259">
        <v>8.14</v>
      </c>
      <c r="BN1259">
        <v>62.42</v>
      </c>
      <c r="BO1259">
        <v>62.42</v>
      </c>
      <c r="BQ1259" t="s">
        <v>520</v>
      </c>
      <c r="BR1259" t="s">
        <v>84</v>
      </c>
      <c r="BS1259" s="3">
        <v>45819</v>
      </c>
      <c r="BT1259" s="4">
        <v>0.31180555555555556</v>
      </c>
      <c r="BU1259" t="s">
        <v>1906</v>
      </c>
      <c r="BV1259" t="s">
        <v>86</v>
      </c>
      <c r="BY1259">
        <v>1200</v>
      </c>
      <c r="CA1259" t="s">
        <v>425</v>
      </c>
      <c r="CC1259" t="s">
        <v>131</v>
      </c>
      <c r="CD1259">
        <v>1459</v>
      </c>
      <c r="CE1259" t="s">
        <v>215</v>
      </c>
      <c r="CF1259" s="3">
        <v>45819</v>
      </c>
      <c r="CI1259">
        <v>1</v>
      </c>
      <c r="CJ1259">
        <v>1</v>
      </c>
      <c r="CK1259">
        <v>22</v>
      </c>
      <c r="CL1259" t="s">
        <v>90</v>
      </c>
    </row>
    <row r="1260" spans="1:90" x14ac:dyDescent="0.3">
      <c r="A1260" t="s">
        <v>72</v>
      </c>
      <c r="B1260" t="s">
        <v>73</v>
      </c>
      <c r="C1260" t="s">
        <v>74</v>
      </c>
      <c r="E1260" t="str">
        <f>"080065867750"</f>
        <v>080065867750</v>
      </c>
      <c r="F1260" s="3">
        <v>45818</v>
      </c>
      <c r="G1260">
        <v>202603</v>
      </c>
      <c r="H1260" t="s">
        <v>75</v>
      </c>
      <c r="I1260" t="s">
        <v>76</v>
      </c>
      <c r="J1260" t="s">
        <v>77</v>
      </c>
      <c r="K1260" t="s">
        <v>78</v>
      </c>
      <c r="L1260" t="s">
        <v>100</v>
      </c>
      <c r="M1260" t="s">
        <v>101</v>
      </c>
      <c r="N1260" t="s">
        <v>726</v>
      </c>
      <c r="O1260" t="s">
        <v>82</v>
      </c>
      <c r="P1260" t="str">
        <f>"4170043084                    "</f>
        <v xml:space="preserve">4170043084                    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20.9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>
        <v>0</v>
      </c>
      <c r="BD1260">
        <v>0</v>
      </c>
      <c r="BE1260">
        <v>0</v>
      </c>
      <c r="BF1260">
        <v>0</v>
      </c>
      <c r="BG1260">
        <v>0</v>
      </c>
      <c r="BH1260">
        <v>1</v>
      </c>
      <c r="BI1260">
        <v>1</v>
      </c>
      <c r="BJ1260">
        <v>0.2</v>
      </c>
      <c r="BK1260">
        <v>1</v>
      </c>
      <c r="BL1260">
        <v>69.5</v>
      </c>
      <c r="BM1260">
        <v>10.43</v>
      </c>
      <c r="BN1260">
        <v>79.930000000000007</v>
      </c>
      <c r="BO1260">
        <v>79.930000000000007</v>
      </c>
      <c r="BQ1260" t="s">
        <v>727</v>
      </c>
      <c r="BR1260" t="s">
        <v>84</v>
      </c>
      <c r="BS1260" s="3">
        <v>45819</v>
      </c>
      <c r="BT1260" s="4">
        <v>0.41805555555555557</v>
      </c>
      <c r="BU1260" t="s">
        <v>1721</v>
      </c>
      <c r="BV1260" t="s">
        <v>86</v>
      </c>
      <c r="BY1260">
        <v>1200</v>
      </c>
      <c r="CA1260" t="s">
        <v>223</v>
      </c>
      <c r="CC1260" t="s">
        <v>101</v>
      </c>
      <c r="CD1260">
        <v>6001</v>
      </c>
      <c r="CE1260" t="s">
        <v>215</v>
      </c>
      <c r="CF1260" s="3">
        <v>45819</v>
      </c>
      <c r="CI1260">
        <v>1</v>
      </c>
      <c r="CJ1260">
        <v>1</v>
      </c>
      <c r="CK1260">
        <v>21</v>
      </c>
      <c r="CL1260" t="s">
        <v>90</v>
      </c>
    </row>
    <row r="1261" spans="1:90" x14ac:dyDescent="0.3">
      <c r="A1261" t="s">
        <v>72</v>
      </c>
      <c r="B1261" t="s">
        <v>73</v>
      </c>
      <c r="C1261" t="s">
        <v>74</v>
      </c>
      <c r="E1261" t="str">
        <f>"080065867875"</f>
        <v>080065867875</v>
      </c>
      <c r="F1261" s="3">
        <v>45818</v>
      </c>
      <c r="G1261">
        <v>202603</v>
      </c>
      <c r="H1261" t="s">
        <v>75</v>
      </c>
      <c r="I1261" t="s">
        <v>76</v>
      </c>
      <c r="J1261" t="s">
        <v>77</v>
      </c>
      <c r="K1261" t="s">
        <v>78</v>
      </c>
      <c r="L1261" t="s">
        <v>159</v>
      </c>
      <c r="M1261" t="s">
        <v>160</v>
      </c>
      <c r="N1261" t="s">
        <v>409</v>
      </c>
      <c r="O1261" t="s">
        <v>82</v>
      </c>
      <c r="P1261" t="str">
        <f>"4170043039                    "</f>
        <v xml:space="preserve">4170043039                    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16.32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</v>
      </c>
      <c r="BD1261">
        <v>0</v>
      </c>
      <c r="BE1261">
        <v>0</v>
      </c>
      <c r="BF1261">
        <v>0</v>
      </c>
      <c r="BG1261">
        <v>0</v>
      </c>
      <c r="BH1261">
        <v>1</v>
      </c>
      <c r="BI1261">
        <v>1</v>
      </c>
      <c r="BJ1261">
        <v>1.9</v>
      </c>
      <c r="BK1261">
        <v>2</v>
      </c>
      <c r="BL1261">
        <v>54.28</v>
      </c>
      <c r="BM1261">
        <v>8.14</v>
      </c>
      <c r="BN1261">
        <v>62.42</v>
      </c>
      <c r="BO1261">
        <v>62.42</v>
      </c>
      <c r="BQ1261" t="s">
        <v>410</v>
      </c>
      <c r="BR1261" t="s">
        <v>84</v>
      </c>
      <c r="BS1261" s="3">
        <v>45819</v>
      </c>
      <c r="BT1261" s="4">
        <v>0.375</v>
      </c>
      <c r="BU1261" t="s">
        <v>967</v>
      </c>
      <c r="BV1261" t="s">
        <v>86</v>
      </c>
      <c r="BY1261">
        <v>9600</v>
      </c>
      <c r="CA1261" t="s">
        <v>444</v>
      </c>
      <c r="CC1261" t="s">
        <v>160</v>
      </c>
      <c r="CD1261">
        <v>2091</v>
      </c>
      <c r="CE1261" t="s">
        <v>687</v>
      </c>
      <c r="CF1261" s="3">
        <v>45820</v>
      </c>
      <c r="CI1261">
        <v>1</v>
      </c>
      <c r="CJ1261">
        <v>1</v>
      </c>
      <c r="CK1261">
        <v>22</v>
      </c>
      <c r="CL1261" t="s">
        <v>90</v>
      </c>
    </row>
    <row r="1262" spans="1:90" x14ac:dyDescent="0.3">
      <c r="A1262" t="s">
        <v>72</v>
      </c>
      <c r="B1262" t="s">
        <v>73</v>
      </c>
      <c r="C1262" t="s">
        <v>74</v>
      </c>
      <c r="E1262" t="str">
        <f>"080065867921"</f>
        <v>080065867921</v>
      </c>
      <c r="F1262" s="3">
        <v>45818</v>
      </c>
      <c r="G1262">
        <v>202603</v>
      </c>
      <c r="H1262" t="s">
        <v>75</v>
      </c>
      <c r="I1262" t="s">
        <v>76</v>
      </c>
      <c r="J1262" t="s">
        <v>77</v>
      </c>
      <c r="K1262" t="s">
        <v>78</v>
      </c>
      <c r="L1262" t="s">
        <v>413</v>
      </c>
      <c r="M1262" t="s">
        <v>414</v>
      </c>
      <c r="N1262" t="s">
        <v>236</v>
      </c>
      <c r="O1262" t="s">
        <v>82</v>
      </c>
      <c r="P1262" t="str">
        <f>"4170043075                    "</f>
        <v xml:space="preserve">4170043075                    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20.9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>
        <v>0</v>
      </c>
      <c r="BD1262">
        <v>0</v>
      </c>
      <c r="BE1262">
        <v>0</v>
      </c>
      <c r="BF1262">
        <v>0</v>
      </c>
      <c r="BG1262">
        <v>0</v>
      </c>
      <c r="BH1262">
        <v>1</v>
      </c>
      <c r="BI1262">
        <v>1</v>
      </c>
      <c r="BJ1262">
        <v>1.9</v>
      </c>
      <c r="BK1262">
        <v>2</v>
      </c>
      <c r="BL1262">
        <v>69.5</v>
      </c>
      <c r="BM1262">
        <v>10.43</v>
      </c>
      <c r="BN1262">
        <v>79.930000000000007</v>
      </c>
      <c r="BO1262">
        <v>79.930000000000007</v>
      </c>
      <c r="BQ1262" t="s">
        <v>237</v>
      </c>
      <c r="BR1262" t="s">
        <v>84</v>
      </c>
      <c r="BS1262" s="3">
        <v>45819</v>
      </c>
      <c r="BT1262" s="4">
        <v>0.43402777777777779</v>
      </c>
      <c r="BU1262" t="s">
        <v>415</v>
      </c>
      <c r="BV1262" t="s">
        <v>86</v>
      </c>
      <c r="BY1262">
        <v>9600</v>
      </c>
      <c r="CA1262" t="s">
        <v>418</v>
      </c>
      <c r="CC1262" t="s">
        <v>414</v>
      </c>
      <c r="CD1262">
        <v>4133</v>
      </c>
      <c r="CE1262" t="s">
        <v>687</v>
      </c>
      <c r="CI1262">
        <v>1</v>
      </c>
      <c r="CJ1262">
        <v>1</v>
      </c>
      <c r="CK1262">
        <v>21</v>
      </c>
      <c r="CL1262" t="s">
        <v>90</v>
      </c>
    </row>
    <row r="1263" spans="1:90" x14ac:dyDescent="0.3">
      <c r="A1263" t="s">
        <v>72</v>
      </c>
      <c r="B1263" t="s">
        <v>73</v>
      </c>
      <c r="C1263" t="s">
        <v>74</v>
      </c>
      <c r="E1263" t="str">
        <f>"080065867944"</f>
        <v>080065867944</v>
      </c>
      <c r="F1263" s="3">
        <v>45818</v>
      </c>
      <c r="G1263">
        <v>202603</v>
      </c>
      <c r="H1263" t="s">
        <v>75</v>
      </c>
      <c r="I1263" t="s">
        <v>76</v>
      </c>
      <c r="J1263" t="s">
        <v>77</v>
      </c>
      <c r="K1263" t="s">
        <v>78</v>
      </c>
      <c r="L1263" t="s">
        <v>91</v>
      </c>
      <c r="M1263" t="s">
        <v>92</v>
      </c>
      <c r="N1263" t="s">
        <v>1667</v>
      </c>
      <c r="O1263" t="s">
        <v>82</v>
      </c>
      <c r="P1263" t="str">
        <f>"4170043092                    "</f>
        <v xml:space="preserve">4170043092                    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20.9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0</v>
      </c>
      <c r="BE1263">
        <v>0</v>
      </c>
      <c r="BF1263">
        <v>0</v>
      </c>
      <c r="BG1263">
        <v>0</v>
      </c>
      <c r="BH1263">
        <v>1</v>
      </c>
      <c r="BI1263">
        <v>1</v>
      </c>
      <c r="BJ1263">
        <v>1.9</v>
      </c>
      <c r="BK1263">
        <v>2</v>
      </c>
      <c r="BL1263">
        <v>69.5</v>
      </c>
      <c r="BM1263">
        <v>10.43</v>
      </c>
      <c r="BN1263">
        <v>79.930000000000007</v>
      </c>
      <c r="BO1263">
        <v>79.930000000000007</v>
      </c>
      <c r="BQ1263" t="s">
        <v>1668</v>
      </c>
      <c r="BR1263" t="s">
        <v>84</v>
      </c>
      <c r="BS1263" s="3">
        <v>45819</v>
      </c>
      <c r="BT1263" s="4">
        <v>0.3263888888888889</v>
      </c>
      <c r="BU1263" t="s">
        <v>938</v>
      </c>
      <c r="BV1263" t="s">
        <v>86</v>
      </c>
      <c r="BY1263">
        <v>9600</v>
      </c>
      <c r="CA1263" t="s">
        <v>330</v>
      </c>
      <c r="CC1263" t="s">
        <v>92</v>
      </c>
      <c r="CD1263">
        <v>7530</v>
      </c>
      <c r="CE1263" t="s">
        <v>687</v>
      </c>
      <c r="CI1263">
        <v>1</v>
      </c>
      <c r="CJ1263">
        <v>1</v>
      </c>
      <c r="CK1263">
        <v>21</v>
      </c>
      <c r="CL1263" t="s">
        <v>90</v>
      </c>
    </row>
    <row r="1264" spans="1:90" x14ac:dyDescent="0.3">
      <c r="A1264" t="s">
        <v>72</v>
      </c>
      <c r="B1264" t="s">
        <v>73</v>
      </c>
      <c r="C1264" t="s">
        <v>74</v>
      </c>
      <c r="E1264" t="str">
        <f>"080065867995"</f>
        <v>080065867995</v>
      </c>
      <c r="F1264" s="3">
        <v>45818</v>
      </c>
      <c r="G1264">
        <v>202603</v>
      </c>
      <c r="H1264" t="s">
        <v>75</v>
      </c>
      <c r="I1264" t="s">
        <v>76</v>
      </c>
      <c r="J1264" t="s">
        <v>77</v>
      </c>
      <c r="K1264" t="s">
        <v>78</v>
      </c>
      <c r="L1264" t="s">
        <v>75</v>
      </c>
      <c r="M1264" t="s">
        <v>76</v>
      </c>
      <c r="N1264" t="s">
        <v>525</v>
      </c>
      <c r="O1264" t="s">
        <v>276</v>
      </c>
      <c r="P1264" t="str">
        <f>"4170043085                    "</f>
        <v xml:space="preserve">4170043085                    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18.16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0</v>
      </c>
      <c r="BA1264">
        <v>0</v>
      </c>
      <c r="BB1264">
        <v>0</v>
      </c>
      <c r="BC1264">
        <v>0</v>
      </c>
      <c r="BD1264">
        <v>0</v>
      </c>
      <c r="BE1264">
        <v>0</v>
      </c>
      <c r="BF1264">
        <v>0</v>
      </c>
      <c r="BG1264">
        <v>0</v>
      </c>
      <c r="BH1264">
        <v>1</v>
      </c>
      <c r="BI1264">
        <v>4</v>
      </c>
      <c r="BJ1264">
        <v>8.4</v>
      </c>
      <c r="BK1264">
        <v>9</v>
      </c>
      <c r="BL1264">
        <v>60.39</v>
      </c>
      <c r="BM1264">
        <v>9.06</v>
      </c>
      <c r="BN1264">
        <v>69.45</v>
      </c>
      <c r="BO1264">
        <v>69.45</v>
      </c>
      <c r="BQ1264" t="s">
        <v>526</v>
      </c>
      <c r="BR1264" t="s">
        <v>84</v>
      </c>
      <c r="BS1264" s="3">
        <v>45819</v>
      </c>
      <c r="BT1264" s="4">
        <v>0.33333333333333331</v>
      </c>
      <c r="BU1264" t="s">
        <v>1907</v>
      </c>
      <c r="BV1264" t="s">
        <v>86</v>
      </c>
      <c r="BY1264">
        <v>41820</v>
      </c>
      <c r="CA1264" t="s">
        <v>1022</v>
      </c>
      <c r="CC1264" t="s">
        <v>76</v>
      </c>
      <c r="CD1264">
        <v>1645</v>
      </c>
      <c r="CE1264" t="s">
        <v>166</v>
      </c>
      <c r="CF1264" s="3">
        <v>45819</v>
      </c>
      <c r="CI1264">
        <v>1</v>
      </c>
      <c r="CJ1264">
        <v>1</v>
      </c>
      <c r="CK1264">
        <v>32</v>
      </c>
      <c r="CL1264" t="s">
        <v>90</v>
      </c>
    </row>
    <row r="1265" spans="1:90" x14ac:dyDescent="0.3">
      <c r="A1265" t="s">
        <v>72</v>
      </c>
      <c r="B1265" t="s">
        <v>73</v>
      </c>
      <c r="C1265" t="s">
        <v>74</v>
      </c>
      <c r="E1265" t="str">
        <f>"080065868030"</f>
        <v>080065868030</v>
      </c>
      <c r="F1265" s="3">
        <v>45818</v>
      </c>
      <c r="G1265">
        <v>202603</v>
      </c>
      <c r="H1265" t="s">
        <v>75</v>
      </c>
      <c r="I1265" t="s">
        <v>76</v>
      </c>
      <c r="J1265" t="s">
        <v>77</v>
      </c>
      <c r="K1265" t="s">
        <v>78</v>
      </c>
      <c r="L1265" t="s">
        <v>555</v>
      </c>
      <c r="M1265" t="s">
        <v>556</v>
      </c>
      <c r="N1265" t="s">
        <v>557</v>
      </c>
      <c r="O1265" t="s">
        <v>82</v>
      </c>
      <c r="P1265" t="str">
        <f>"4170043074                    "</f>
        <v xml:space="preserve">4170043074                    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95.34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0</v>
      </c>
      <c r="BA1265">
        <v>0</v>
      </c>
      <c r="BB1265">
        <v>0</v>
      </c>
      <c r="BC1265">
        <v>0</v>
      </c>
      <c r="BD1265">
        <v>0</v>
      </c>
      <c r="BE1265">
        <v>0</v>
      </c>
      <c r="BF1265">
        <v>0</v>
      </c>
      <c r="BG1265">
        <v>0</v>
      </c>
      <c r="BH1265">
        <v>1</v>
      </c>
      <c r="BI1265">
        <v>5</v>
      </c>
      <c r="BJ1265">
        <v>3.8</v>
      </c>
      <c r="BK1265">
        <v>5</v>
      </c>
      <c r="BL1265">
        <v>317.06</v>
      </c>
      <c r="BM1265">
        <v>47.56</v>
      </c>
      <c r="BN1265">
        <v>364.62</v>
      </c>
      <c r="BO1265">
        <v>364.62</v>
      </c>
      <c r="BQ1265" t="s">
        <v>558</v>
      </c>
      <c r="BR1265" t="s">
        <v>84</v>
      </c>
      <c r="BS1265" s="3">
        <v>45819</v>
      </c>
      <c r="BT1265" s="4">
        <v>0.42777777777777776</v>
      </c>
      <c r="BU1265" t="s">
        <v>559</v>
      </c>
      <c r="BV1265" t="s">
        <v>86</v>
      </c>
      <c r="BY1265">
        <v>18792</v>
      </c>
      <c r="CA1265" t="s">
        <v>560</v>
      </c>
      <c r="CC1265" t="s">
        <v>556</v>
      </c>
      <c r="CD1265">
        <v>250</v>
      </c>
      <c r="CE1265" t="s">
        <v>166</v>
      </c>
      <c r="CI1265">
        <v>1</v>
      </c>
      <c r="CJ1265">
        <v>1</v>
      </c>
      <c r="CK1265">
        <v>23</v>
      </c>
      <c r="CL1265" t="s">
        <v>90</v>
      </c>
    </row>
    <row r="1266" spans="1:90" x14ac:dyDescent="0.3">
      <c r="A1266" t="s">
        <v>72</v>
      </c>
      <c r="B1266" t="s">
        <v>73</v>
      </c>
      <c r="C1266" t="s">
        <v>74</v>
      </c>
      <c r="E1266" t="str">
        <f>"080065868078"</f>
        <v>080065868078</v>
      </c>
      <c r="F1266" s="3">
        <v>45818</v>
      </c>
      <c r="G1266">
        <v>202603</v>
      </c>
      <c r="H1266" t="s">
        <v>75</v>
      </c>
      <c r="I1266" t="s">
        <v>76</v>
      </c>
      <c r="J1266" t="s">
        <v>77</v>
      </c>
      <c r="K1266" t="s">
        <v>78</v>
      </c>
      <c r="L1266" t="s">
        <v>75</v>
      </c>
      <c r="M1266" t="s">
        <v>76</v>
      </c>
      <c r="N1266" t="s">
        <v>1908</v>
      </c>
      <c r="O1266" t="s">
        <v>82</v>
      </c>
      <c r="P1266" t="str">
        <f>"4170043183                    "</f>
        <v xml:space="preserve">4170043183                    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16.32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0</v>
      </c>
      <c r="BE1266">
        <v>0</v>
      </c>
      <c r="BF1266">
        <v>0</v>
      </c>
      <c r="BG1266">
        <v>0</v>
      </c>
      <c r="BH1266">
        <v>1</v>
      </c>
      <c r="BI1266">
        <v>5</v>
      </c>
      <c r="BJ1266">
        <v>2.6</v>
      </c>
      <c r="BK1266">
        <v>5</v>
      </c>
      <c r="BL1266">
        <v>54.28</v>
      </c>
      <c r="BM1266">
        <v>8.14</v>
      </c>
      <c r="BN1266">
        <v>62.42</v>
      </c>
      <c r="BO1266">
        <v>62.42</v>
      </c>
      <c r="BQ1266" t="s">
        <v>1909</v>
      </c>
      <c r="BR1266" t="s">
        <v>84</v>
      </c>
      <c r="BS1266" s="3">
        <v>45819</v>
      </c>
      <c r="BT1266" s="4">
        <v>0.3263888888888889</v>
      </c>
      <c r="BU1266" t="s">
        <v>1910</v>
      </c>
      <c r="BV1266" t="s">
        <v>86</v>
      </c>
      <c r="BY1266">
        <v>12800</v>
      </c>
      <c r="CA1266" t="s">
        <v>193</v>
      </c>
      <c r="CC1266" t="s">
        <v>76</v>
      </c>
      <c r="CD1266">
        <v>1600</v>
      </c>
      <c r="CE1266" t="s">
        <v>166</v>
      </c>
      <c r="CF1266" s="3">
        <v>45819</v>
      </c>
      <c r="CI1266">
        <v>1</v>
      </c>
      <c r="CJ1266">
        <v>1</v>
      </c>
      <c r="CK1266">
        <v>22</v>
      </c>
      <c r="CL1266" t="s">
        <v>90</v>
      </c>
    </row>
    <row r="1267" spans="1:90" x14ac:dyDescent="0.3">
      <c r="A1267" t="s">
        <v>72</v>
      </c>
      <c r="B1267" t="s">
        <v>73</v>
      </c>
      <c r="C1267" t="s">
        <v>74</v>
      </c>
      <c r="E1267" t="str">
        <f>"080065868337"</f>
        <v>080065868337</v>
      </c>
      <c r="F1267" s="3">
        <v>45818</v>
      </c>
      <c r="G1267">
        <v>202603</v>
      </c>
      <c r="H1267" t="s">
        <v>75</v>
      </c>
      <c r="I1267" t="s">
        <v>76</v>
      </c>
      <c r="J1267" t="s">
        <v>77</v>
      </c>
      <c r="K1267" t="s">
        <v>78</v>
      </c>
      <c r="L1267" t="s">
        <v>106</v>
      </c>
      <c r="M1267" t="s">
        <v>107</v>
      </c>
      <c r="N1267" t="s">
        <v>108</v>
      </c>
      <c r="O1267" t="s">
        <v>82</v>
      </c>
      <c r="P1267" t="str">
        <f>"4170043088                    "</f>
        <v xml:space="preserve">4170043088                    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36.56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0</v>
      </c>
      <c r="BE1267">
        <v>0</v>
      </c>
      <c r="BF1267">
        <v>0</v>
      </c>
      <c r="BG1267">
        <v>0</v>
      </c>
      <c r="BH1267">
        <v>1</v>
      </c>
      <c r="BI1267">
        <v>2</v>
      </c>
      <c r="BJ1267">
        <v>3.4</v>
      </c>
      <c r="BK1267">
        <v>3.5</v>
      </c>
      <c r="BL1267">
        <v>121.58</v>
      </c>
      <c r="BM1267">
        <v>18.239999999999998</v>
      </c>
      <c r="BN1267">
        <v>139.82</v>
      </c>
      <c r="BO1267">
        <v>139.82</v>
      </c>
      <c r="BQ1267" t="s">
        <v>109</v>
      </c>
      <c r="BR1267" t="s">
        <v>84</v>
      </c>
      <c r="BS1267" s="3">
        <v>45819</v>
      </c>
      <c r="BT1267" s="4">
        <v>0.37847222222222221</v>
      </c>
      <c r="BU1267" t="s">
        <v>636</v>
      </c>
      <c r="BV1267" t="s">
        <v>86</v>
      </c>
      <c r="BY1267">
        <v>16965</v>
      </c>
      <c r="CA1267" t="s">
        <v>111</v>
      </c>
      <c r="CC1267" t="s">
        <v>107</v>
      </c>
      <c r="CD1267">
        <v>200</v>
      </c>
      <c r="CE1267" t="s">
        <v>687</v>
      </c>
      <c r="CF1267" s="3">
        <v>45819</v>
      </c>
      <c r="CI1267">
        <v>1</v>
      </c>
      <c r="CJ1267">
        <v>1</v>
      </c>
      <c r="CK1267">
        <v>21</v>
      </c>
      <c r="CL1267" t="s">
        <v>90</v>
      </c>
    </row>
    <row r="1268" spans="1:90" x14ac:dyDescent="0.3">
      <c r="A1268" t="s">
        <v>72</v>
      </c>
      <c r="B1268" t="s">
        <v>73</v>
      </c>
      <c r="C1268" t="s">
        <v>74</v>
      </c>
      <c r="E1268" t="str">
        <f>"080065868345"</f>
        <v>080065868345</v>
      </c>
      <c r="F1268" s="3">
        <v>45818</v>
      </c>
      <c r="G1268">
        <v>202603</v>
      </c>
      <c r="H1268" t="s">
        <v>75</v>
      </c>
      <c r="I1268" t="s">
        <v>76</v>
      </c>
      <c r="J1268" t="s">
        <v>77</v>
      </c>
      <c r="K1268" t="s">
        <v>78</v>
      </c>
      <c r="L1268" t="s">
        <v>1097</v>
      </c>
      <c r="M1268" t="s">
        <v>1098</v>
      </c>
      <c r="N1268" t="s">
        <v>1911</v>
      </c>
      <c r="O1268" t="s">
        <v>82</v>
      </c>
      <c r="P1268" t="str">
        <f>"4170043209                    "</f>
        <v xml:space="preserve">4170043209                    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16.32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0</v>
      </c>
      <c r="BA1268">
        <v>0</v>
      </c>
      <c r="BB1268">
        <v>0</v>
      </c>
      <c r="BC1268">
        <v>0</v>
      </c>
      <c r="BD1268">
        <v>0</v>
      </c>
      <c r="BE1268">
        <v>0</v>
      </c>
      <c r="BF1268">
        <v>0</v>
      </c>
      <c r="BG1268">
        <v>0</v>
      </c>
      <c r="BH1268">
        <v>1</v>
      </c>
      <c r="BI1268">
        <v>1</v>
      </c>
      <c r="BJ1268">
        <v>0.2</v>
      </c>
      <c r="BK1268">
        <v>1</v>
      </c>
      <c r="BL1268">
        <v>54.28</v>
      </c>
      <c r="BM1268">
        <v>8.14</v>
      </c>
      <c r="BN1268">
        <v>62.42</v>
      </c>
      <c r="BO1268">
        <v>62.42</v>
      </c>
      <c r="BQ1268" t="s">
        <v>1912</v>
      </c>
      <c r="BR1268" t="s">
        <v>84</v>
      </c>
      <c r="BS1268" s="3">
        <v>45819</v>
      </c>
      <c r="BT1268" s="4">
        <v>0.3972222222222222</v>
      </c>
      <c r="BU1268" t="s">
        <v>1795</v>
      </c>
      <c r="BV1268" t="s">
        <v>86</v>
      </c>
      <c r="BY1268">
        <v>1200</v>
      </c>
      <c r="CA1268" t="s">
        <v>1102</v>
      </c>
      <c r="CC1268" t="s">
        <v>1098</v>
      </c>
      <c r="CD1268">
        <v>1451</v>
      </c>
      <c r="CE1268" t="s">
        <v>215</v>
      </c>
      <c r="CF1268" s="3">
        <v>45820</v>
      </c>
      <c r="CI1268">
        <v>1</v>
      </c>
      <c r="CJ1268">
        <v>1</v>
      </c>
      <c r="CK1268">
        <v>22</v>
      </c>
      <c r="CL1268" t="s">
        <v>90</v>
      </c>
    </row>
    <row r="1269" spans="1:90" x14ac:dyDescent="0.3">
      <c r="A1269" t="s">
        <v>72</v>
      </c>
      <c r="B1269" t="s">
        <v>73</v>
      </c>
      <c r="C1269" t="s">
        <v>74</v>
      </c>
      <c r="E1269" t="str">
        <f>"080065868382"</f>
        <v>080065868382</v>
      </c>
      <c r="F1269" s="3">
        <v>45818</v>
      </c>
      <c r="G1269">
        <v>202603</v>
      </c>
      <c r="H1269" t="s">
        <v>75</v>
      </c>
      <c r="I1269" t="s">
        <v>76</v>
      </c>
      <c r="J1269" t="s">
        <v>77</v>
      </c>
      <c r="K1269" t="s">
        <v>78</v>
      </c>
      <c r="L1269" t="s">
        <v>100</v>
      </c>
      <c r="M1269" t="s">
        <v>101</v>
      </c>
      <c r="N1269" t="s">
        <v>123</v>
      </c>
      <c r="O1269" t="s">
        <v>82</v>
      </c>
      <c r="P1269" t="str">
        <f>"4170043057                    "</f>
        <v xml:space="preserve">4170043057                    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20.9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0</v>
      </c>
      <c r="BA1269">
        <v>0</v>
      </c>
      <c r="BB1269">
        <v>0</v>
      </c>
      <c r="BC1269">
        <v>0</v>
      </c>
      <c r="BD1269">
        <v>0</v>
      </c>
      <c r="BE1269">
        <v>0</v>
      </c>
      <c r="BF1269">
        <v>0</v>
      </c>
      <c r="BG1269">
        <v>0</v>
      </c>
      <c r="BH1269">
        <v>1</v>
      </c>
      <c r="BI1269">
        <v>1</v>
      </c>
      <c r="BJ1269">
        <v>1.1000000000000001</v>
      </c>
      <c r="BK1269">
        <v>1.5</v>
      </c>
      <c r="BL1269">
        <v>69.5</v>
      </c>
      <c r="BM1269">
        <v>10.43</v>
      </c>
      <c r="BN1269">
        <v>79.930000000000007</v>
      </c>
      <c r="BO1269">
        <v>79.930000000000007</v>
      </c>
      <c r="BQ1269" t="s">
        <v>124</v>
      </c>
      <c r="BR1269" t="s">
        <v>84</v>
      </c>
      <c r="BS1269" s="3">
        <v>45819</v>
      </c>
      <c r="BT1269" s="4">
        <v>0.40902777777777777</v>
      </c>
      <c r="BU1269" t="s">
        <v>688</v>
      </c>
      <c r="BV1269" t="s">
        <v>86</v>
      </c>
      <c r="BY1269">
        <v>5320</v>
      </c>
      <c r="CA1269" t="s">
        <v>235</v>
      </c>
      <c r="CC1269" t="s">
        <v>101</v>
      </c>
      <c r="CD1269">
        <v>6001</v>
      </c>
      <c r="CE1269" t="s">
        <v>292</v>
      </c>
      <c r="CF1269" s="3">
        <v>45819</v>
      </c>
      <c r="CI1269">
        <v>1</v>
      </c>
      <c r="CJ1269">
        <v>1</v>
      </c>
      <c r="CK1269">
        <v>21</v>
      </c>
      <c r="CL1269" t="s">
        <v>90</v>
      </c>
    </row>
    <row r="1270" spans="1:90" x14ac:dyDescent="0.3">
      <c r="A1270" t="s">
        <v>72</v>
      </c>
      <c r="B1270" t="s">
        <v>73</v>
      </c>
      <c r="C1270" t="s">
        <v>74</v>
      </c>
      <c r="E1270" t="str">
        <f>"080065868434"</f>
        <v>080065868434</v>
      </c>
      <c r="F1270" s="3">
        <v>45818</v>
      </c>
      <c r="G1270">
        <v>202603</v>
      </c>
      <c r="H1270" t="s">
        <v>75</v>
      </c>
      <c r="I1270" t="s">
        <v>76</v>
      </c>
      <c r="J1270" t="s">
        <v>77</v>
      </c>
      <c r="K1270" t="s">
        <v>78</v>
      </c>
      <c r="L1270" t="s">
        <v>413</v>
      </c>
      <c r="M1270" t="s">
        <v>414</v>
      </c>
      <c r="N1270" t="s">
        <v>236</v>
      </c>
      <c r="O1270" t="s">
        <v>82</v>
      </c>
      <c r="P1270" t="str">
        <f>"4170043061                    "</f>
        <v xml:space="preserve">4170043061                    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20.9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0</v>
      </c>
      <c r="BE1270">
        <v>0</v>
      </c>
      <c r="BF1270">
        <v>0</v>
      </c>
      <c r="BG1270">
        <v>0</v>
      </c>
      <c r="BH1270">
        <v>1</v>
      </c>
      <c r="BI1270">
        <v>1</v>
      </c>
      <c r="BJ1270">
        <v>0.2</v>
      </c>
      <c r="BK1270">
        <v>1</v>
      </c>
      <c r="BL1270">
        <v>69.5</v>
      </c>
      <c r="BM1270">
        <v>10.43</v>
      </c>
      <c r="BN1270">
        <v>79.930000000000007</v>
      </c>
      <c r="BO1270">
        <v>79.930000000000007</v>
      </c>
      <c r="BQ1270" t="s">
        <v>237</v>
      </c>
      <c r="BR1270" t="s">
        <v>84</v>
      </c>
      <c r="BS1270" s="3">
        <v>45819</v>
      </c>
      <c r="BT1270" s="4">
        <v>0.54791666666666672</v>
      </c>
      <c r="BU1270" t="s">
        <v>415</v>
      </c>
      <c r="BV1270" t="s">
        <v>90</v>
      </c>
      <c r="BW1270" t="s">
        <v>212</v>
      </c>
      <c r="BX1270" t="s">
        <v>837</v>
      </c>
      <c r="BY1270">
        <v>1200</v>
      </c>
      <c r="CA1270" t="s">
        <v>418</v>
      </c>
      <c r="CC1270" t="s">
        <v>414</v>
      </c>
      <c r="CD1270">
        <v>4133</v>
      </c>
      <c r="CE1270" t="s">
        <v>215</v>
      </c>
      <c r="CI1270">
        <v>1</v>
      </c>
      <c r="CJ1270">
        <v>1</v>
      </c>
      <c r="CK1270">
        <v>21</v>
      </c>
      <c r="CL1270" t="s">
        <v>90</v>
      </c>
    </row>
    <row r="1271" spans="1:90" x14ac:dyDescent="0.3">
      <c r="A1271" t="s">
        <v>72</v>
      </c>
      <c r="B1271" t="s">
        <v>73</v>
      </c>
      <c r="C1271" t="s">
        <v>74</v>
      </c>
      <c r="E1271" t="str">
        <f>"080065868450"</f>
        <v>080065868450</v>
      </c>
      <c r="F1271" s="3">
        <v>45818</v>
      </c>
      <c r="G1271">
        <v>202603</v>
      </c>
      <c r="H1271" t="s">
        <v>75</v>
      </c>
      <c r="I1271" t="s">
        <v>76</v>
      </c>
      <c r="J1271" t="s">
        <v>77</v>
      </c>
      <c r="K1271" t="s">
        <v>78</v>
      </c>
      <c r="L1271" t="s">
        <v>331</v>
      </c>
      <c r="M1271" t="s">
        <v>332</v>
      </c>
      <c r="N1271" t="s">
        <v>1499</v>
      </c>
      <c r="O1271" t="s">
        <v>82</v>
      </c>
      <c r="P1271" t="str">
        <f>"4170043028                    "</f>
        <v xml:space="preserve">4170043028                    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20.9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0</v>
      </c>
      <c r="BE1271">
        <v>0</v>
      </c>
      <c r="BF1271">
        <v>0</v>
      </c>
      <c r="BG1271">
        <v>0</v>
      </c>
      <c r="BH1271">
        <v>1</v>
      </c>
      <c r="BI1271">
        <v>1</v>
      </c>
      <c r="BJ1271">
        <v>0.2</v>
      </c>
      <c r="BK1271">
        <v>1</v>
      </c>
      <c r="BL1271">
        <v>69.5</v>
      </c>
      <c r="BM1271">
        <v>10.43</v>
      </c>
      <c r="BN1271">
        <v>79.930000000000007</v>
      </c>
      <c r="BO1271">
        <v>79.930000000000007</v>
      </c>
      <c r="BQ1271" t="s">
        <v>1500</v>
      </c>
      <c r="BR1271" t="s">
        <v>84</v>
      </c>
      <c r="BS1271" s="3">
        <v>45819</v>
      </c>
      <c r="BT1271" s="4">
        <v>0.33541666666666664</v>
      </c>
      <c r="BU1271" t="s">
        <v>716</v>
      </c>
      <c r="BV1271" t="s">
        <v>86</v>
      </c>
      <c r="BY1271">
        <v>1200</v>
      </c>
      <c r="CA1271" t="s">
        <v>336</v>
      </c>
      <c r="CC1271" t="s">
        <v>332</v>
      </c>
      <c r="CD1271">
        <v>4000</v>
      </c>
      <c r="CE1271" t="s">
        <v>215</v>
      </c>
      <c r="CI1271">
        <v>1</v>
      </c>
      <c r="CJ1271">
        <v>1</v>
      </c>
      <c r="CK1271">
        <v>21</v>
      </c>
      <c r="CL1271" t="s">
        <v>90</v>
      </c>
    </row>
    <row r="1272" spans="1:90" x14ac:dyDescent="0.3">
      <c r="A1272" t="s">
        <v>72</v>
      </c>
      <c r="B1272" t="s">
        <v>73</v>
      </c>
      <c r="C1272" t="s">
        <v>74</v>
      </c>
      <c r="E1272" t="str">
        <f>"080065868466"</f>
        <v>080065868466</v>
      </c>
      <c r="F1272" s="3">
        <v>45818</v>
      </c>
      <c r="G1272">
        <v>202603</v>
      </c>
      <c r="H1272" t="s">
        <v>75</v>
      </c>
      <c r="I1272" t="s">
        <v>76</v>
      </c>
      <c r="J1272" t="s">
        <v>77</v>
      </c>
      <c r="K1272" t="s">
        <v>78</v>
      </c>
      <c r="L1272" t="s">
        <v>106</v>
      </c>
      <c r="M1272" t="s">
        <v>107</v>
      </c>
      <c r="N1272" t="s">
        <v>1913</v>
      </c>
      <c r="O1272" t="s">
        <v>82</v>
      </c>
      <c r="P1272" t="str">
        <f>"4170043224                    "</f>
        <v xml:space="preserve">4170043224                    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20.9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0</v>
      </c>
      <c r="BA1272">
        <v>0</v>
      </c>
      <c r="BB1272">
        <v>0</v>
      </c>
      <c r="BC1272">
        <v>0</v>
      </c>
      <c r="BD1272">
        <v>0</v>
      </c>
      <c r="BE1272">
        <v>0</v>
      </c>
      <c r="BF1272">
        <v>0</v>
      </c>
      <c r="BG1272">
        <v>0</v>
      </c>
      <c r="BH1272">
        <v>1</v>
      </c>
      <c r="BI1272">
        <v>1</v>
      </c>
      <c r="BJ1272">
        <v>0.2</v>
      </c>
      <c r="BK1272">
        <v>1</v>
      </c>
      <c r="BL1272">
        <v>69.5</v>
      </c>
      <c r="BM1272">
        <v>10.43</v>
      </c>
      <c r="BN1272">
        <v>79.930000000000007</v>
      </c>
      <c r="BO1272">
        <v>79.930000000000007</v>
      </c>
      <c r="BQ1272" t="s">
        <v>1914</v>
      </c>
      <c r="BR1272" t="s">
        <v>84</v>
      </c>
      <c r="BS1272" s="3">
        <v>45819</v>
      </c>
      <c r="BT1272" s="4">
        <v>0.39930555555555558</v>
      </c>
      <c r="BU1272" t="s">
        <v>1915</v>
      </c>
      <c r="BV1272" t="s">
        <v>86</v>
      </c>
      <c r="BY1272">
        <v>1200</v>
      </c>
      <c r="CA1272" t="s">
        <v>111</v>
      </c>
      <c r="CC1272" t="s">
        <v>107</v>
      </c>
      <c r="CD1272">
        <v>200</v>
      </c>
      <c r="CE1272" t="s">
        <v>215</v>
      </c>
      <c r="CF1272" s="3">
        <v>45819</v>
      </c>
      <c r="CI1272">
        <v>1</v>
      </c>
      <c r="CJ1272">
        <v>1</v>
      </c>
      <c r="CK1272">
        <v>21</v>
      </c>
      <c r="CL1272" t="s">
        <v>90</v>
      </c>
    </row>
    <row r="1273" spans="1:90" x14ac:dyDescent="0.3">
      <c r="A1273" t="s">
        <v>72</v>
      </c>
      <c r="B1273" t="s">
        <v>73</v>
      </c>
      <c r="C1273" t="s">
        <v>74</v>
      </c>
      <c r="E1273" t="str">
        <f>"080065868582"</f>
        <v>080065868582</v>
      </c>
      <c r="F1273" s="3">
        <v>45818</v>
      </c>
      <c r="G1273">
        <v>202603</v>
      </c>
      <c r="H1273" t="s">
        <v>75</v>
      </c>
      <c r="I1273" t="s">
        <v>76</v>
      </c>
      <c r="J1273" t="s">
        <v>77</v>
      </c>
      <c r="K1273" t="s">
        <v>78</v>
      </c>
      <c r="L1273" t="s">
        <v>375</v>
      </c>
      <c r="M1273" t="s">
        <v>376</v>
      </c>
      <c r="N1273" t="s">
        <v>386</v>
      </c>
      <c r="O1273" t="s">
        <v>82</v>
      </c>
      <c r="P1273" t="str">
        <f>"4170043217                    "</f>
        <v xml:space="preserve">4170043217                    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16.32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>
        <v>0</v>
      </c>
      <c r="BD1273">
        <v>0</v>
      </c>
      <c r="BE1273">
        <v>0</v>
      </c>
      <c r="BF1273">
        <v>0</v>
      </c>
      <c r="BG1273">
        <v>0</v>
      </c>
      <c r="BH1273">
        <v>1</v>
      </c>
      <c r="BI1273">
        <v>1</v>
      </c>
      <c r="BJ1273">
        <v>0.2</v>
      </c>
      <c r="BK1273">
        <v>1</v>
      </c>
      <c r="BL1273">
        <v>54.28</v>
      </c>
      <c r="BM1273">
        <v>8.14</v>
      </c>
      <c r="BN1273">
        <v>62.42</v>
      </c>
      <c r="BO1273">
        <v>62.42</v>
      </c>
      <c r="BQ1273" t="s">
        <v>387</v>
      </c>
      <c r="BR1273" t="s">
        <v>84</v>
      </c>
      <c r="BS1273" s="3">
        <v>45819</v>
      </c>
      <c r="BT1273" s="4">
        <v>0.43472222222222223</v>
      </c>
      <c r="BU1273" t="s">
        <v>1916</v>
      </c>
      <c r="BV1273" t="s">
        <v>86</v>
      </c>
      <c r="BY1273">
        <v>1200</v>
      </c>
      <c r="CA1273" t="s">
        <v>1917</v>
      </c>
      <c r="CC1273" t="s">
        <v>376</v>
      </c>
      <c r="CD1273">
        <v>1401</v>
      </c>
      <c r="CE1273" t="s">
        <v>215</v>
      </c>
      <c r="CF1273" s="3">
        <v>45820</v>
      </c>
      <c r="CI1273">
        <v>1</v>
      </c>
      <c r="CJ1273">
        <v>1</v>
      </c>
      <c r="CK1273">
        <v>22</v>
      </c>
      <c r="CL1273" t="s">
        <v>90</v>
      </c>
    </row>
    <row r="1274" spans="1:90" x14ac:dyDescent="0.3">
      <c r="A1274" t="s">
        <v>72</v>
      </c>
      <c r="B1274" t="s">
        <v>73</v>
      </c>
      <c r="C1274" t="s">
        <v>74</v>
      </c>
      <c r="E1274" t="str">
        <f>"080065868625"</f>
        <v>080065868625</v>
      </c>
      <c r="F1274" s="3">
        <v>45818</v>
      </c>
      <c r="G1274">
        <v>202603</v>
      </c>
      <c r="H1274" t="s">
        <v>75</v>
      </c>
      <c r="I1274" t="s">
        <v>76</v>
      </c>
      <c r="J1274" t="s">
        <v>77</v>
      </c>
      <c r="K1274" t="s">
        <v>78</v>
      </c>
      <c r="L1274" t="s">
        <v>375</v>
      </c>
      <c r="M1274" t="s">
        <v>376</v>
      </c>
      <c r="N1274" t="s">
        <v>1918</v>
      </c>
      <c r="O1274" t="s">
        <v>82</v>
      </c>
      <c r="P1274" t="str">
        <f>"4170043239                    "</f>
        <v xml:space="preserve">4170043239                    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16.32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0</v>
      </c>
      <c r="BA1274">
        <v>0</v>
      </c>
      <c r="BB1274">
        <v>0</v>
      </c>
      <c r="BC1274">
        <v>0</v>
      </c>
      <c r="BD1274">
        <v>0</v>
      </c>
      <c r="BE1274">
        <v>0</v>
      </c>
      <c r="BF1274">
        <v>0</v>
      </c>
      <c r="BG1274">
        <v>0</v>
      </c>
      <c r="BH1274">
        <v>1</v>
      </c>
      <c r="BI1274">
        <v>1</v>
      </c>
      <c r="BJ1274">
        <v>0.2</v>
      </c>
      <c r="BK1274">
        <v>1</v>
      </c>
      <c r="BL1274">
        <v>54.28</v>
      </c>
      <c r="BM1274">
        <v>8.14</v>
      </c>
      <c r="BN1274">
        <v>62.42</v>
      </c>
      <c r="BO1274">
        <v>62.42</v>
      </c>
      <c r="BQ1274" t="s">
        <v>1919</v>
      </c>
      <c r="BR1274" t="s">
        <v>84</v>
      </c>
      <c r="BS1274" s="3">
        <v>45819</v>
      </c>
      <c r="BT1274" s="4">
        <v>0.38194444444444442</v>
      </c>
      <c r="BU1274" t="s">
        <v>1920</v>
      </c>
      <c r="BV1274" t="s">
        <v>86</v>
      </c>
      <c r="BY1274">
        <v>1200</v>
      </c>
      <c r="CA1274" t="s">
        <v>501</v>
      </c>
      <c r="CC1274" t="s">
        <v>376</v>
      </c>
      <c r="CD1274">
        <v>1422</v>
      </c>
      <c r="CE1274" t="s">
        <v>215</v>
      </c>
      <c r="CF1274" s="3">
        <v>45820</v>
      </c>
      <c r="CI1274">
        <v>1</v>
      </c>
      <c r="CJ1274">
        <v>1</v>
      </c>
      <c r="CK1274">
        <v>22</v>
      </c>
      <c r="CL1274" t="s">
        <v>90</v>
      </c>
    </row>
    <row r="1275" spans="1:90" x14ac:dyDescent="0.3">
      <c r="A1275" t="s">
        <v>72</v>
      </c>
      <c r="B1275" t="s">
        <v>73</v>
      </c>
      <c r="C1275" t="s">
        <v>74</v>
      </c>
      <c r="E1275" t="str">
        <f>"080065868645"</f>
        <v>080065868645</v>
      </c>
      <c r="F1275" s="3">
        <v>45818</v>
      </c>
      <c r="G1275">
        <v>202603</v>
      </c>
      <c r="H1275" t="s">
        <v>75</v>
      </c>
      <c r="I1275" t="s">
        <v>76</v>
      </c>
      <c r="J1275" t="s">
        <v>77</v>
      </c>
      <c r="K1275" t="s">
        <v>78</v>
      </c>
      <c r="L1275" t="s">
        <v>159</v>
      </c>
      <c r="M1275" t="s">
        <v>160</v>
      </c>
      <c r="N1275" t="s">
        <v>1248</v>
      </c>
      <c r="O1275" t="s">
        <v>82</v>
      </c>
      <c r="P1275" t="str">
        <f>"4170043235                    "</f>
        <v xml:space="preserve">4170043235                    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16.32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  <c r="BE1275">
        <v>0</v>
      </c>
      <c r="BF1275">
        <v>0</v>
      </c>
      <c r="BG1275">
        <v>0</v>
      </c>
      <c r="BH1275">
        <v>1</v>
      </c>
      <c r="BI1275">
        <v>1</v>
      </c>
      <c r="BJ1275">
        <v>0.2</v>
      </c>
      <c r="BK1275">
        <v>1</v>
      </c>
      <c r="BL1275">
        <v>54.28</v>
      </c>
      <c r="BM1275">
        <v>8.14</v>
      </c>
      <c r="BN1275">
        <v>62.42</v>
      </c>
      <c r="BO1275">
        <v>62.42</v>
      </c>
      <c r="BQ1275" t="s">
        <v>1249</v>
      </c>
      <c r="BR1275" t="s">
        <v>84</v>
      </c>
      <c r="BS1275" s="3">
        <v>45819</v>
      </c>
      <c r="BT1275" s="4">
        <v>0.41111111111111109</v>
      </c>
      <c r="BU1275" t="s">
        <v>1250</v>
      </c>
      <c r="BV1275" t="s">
        <v>86</v>
      </c>
      <c r="BY1275">
        <v>1200</v>
      </c>
      <c r="CA1275" t="s">
        <v>233</v>
      </c>
      <c r="CC1275" t="s">
        <v>160</v>
      </c>
      <c r="CD1275">
        <v>2022</v>
      </c>
      <c r="CE1275" t="s">
        <v>215</v>
      </c>
      <c r="CF1275" s="3">
        <v>45819</v>
      </c>
      <c r="CI1275">
        <v>1</v>
      </c>
      <c r="CJ1275">
        <v>1</v>
      </c>
      <c r="CK1275">
        <v>22</v>
      </c>
      <c r="CL1275" t="s">
        <v>90</v>
      </c>
    </row>
    <row r="1276" spans="1:90" x14ac:dyDescent="0.3">
      <c r="A1276" t="s">
        <v>72</v>
      </c>
      <c r="B1276" t="s">
        <v>73</v>
      </c>
      <c r="C1276" t="s">
        <v>74</v>
      </c>
      <c r="E1276" t="str">
        <f>"080065868670"</f>
        <v>080065868670</v>
      </c>
      <c r="F1276" s="3">
        <v>45818</v>
      </c>
      <c r="G1276">
        <v>202603</v>
      </c>
      <c r="H1276" t="s">
        <v>75</v>
      </c>
      <c r="I1276" t="s">
        <v>76</v>
      </c>
      <c r="J1276" t="s">
        <v>77</v>
      </c>
      <c r="K1276" t="s">
        <v>78</v>
      </c>
      <c r="L1276" t="s">
        <v>266</v>
      </c>
      <c r="M1276" t="s">
        <v>267</v>
      </c>
      <c r="N1276" t="s">
        <v>1921</v>
      </c>
      <c r="O1276" t="s">
        <v>82</v>
      </c>
      <c r="P1276" t="str">
        <f>"4170043068                    "</f>
        <v xml:space="preserve">4170043068                    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20.9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0</v>
      </c>
      <c r="BA1276">
        <v>0</v>
      </c>
      <c r="BB1276">
        <v>0</v>
      </c>
      <c r="BC1276">
        <v>0</v>
      </c>
      <c r="BD1276">
        <v>0</v>
      </c>
      <c r="BE1276">
        <v>0</v>
      </c>
      <c r="BF1276">
        <v>0</v>
      </c>
      <c r="BG1276">
        <v>0</v>
      </c>
      <c r="BH1276">
        <v>1</v>
      </c>
      <c r="BI1276">
        <v>1</v>
      </c>
      <c r="BJ1276">
        <v>0.2</v>
      </c>
      <c r="BK1276">
        <v>1</v>
      </c>
      <c r="BL1276">
        <v>69.5</v>
      </c>
      <c r="BM1276">
        <v>10.43</v>
      </c>
      <c r="BN1276">
        <v>79.930000000000007</v>
      </c>
      <c r="BO1276">
        <v>79.930000000000007</v>
      </c>
      <c r="BQ1276" t="s">
        <v>1922</v>
      </c>
      <c r="BR1276" t="s">
        <v>84</v>
      </c>
      <c r="BS1276" s="3">
        <v>45819</v>
      </c>
      <c r="BT1276" s="4">
        <v>0.56180555555555556</v>
      </c>
      <c r="BU1276" t="s">
        <v>1923</v>
      </c>
      <c r="BV1276" t="s">
        <v>90</v>
      </c>
      <c r="BW1276" t="s">
        <v>416</v>
      </c>
      <c r="BX1276" t="s">
        <v>614</v>
      </c>
      <c r="BY1276">
        <v>1200</v>
      </c>
      <c r="CA1276" t="s">
        <v>271</v>
      </c>
      <c r="CC1276" t="s">
        <v>267</v>
      </c>
      <c r="CD1276">
        <v>6230</v>
      </c>
      <c r="CE1276" t="s">
        <v>215</v>
      </c>
      <c r="CF1276" s="3">
        <v>45819</v>
      </c>
      <c r="CI1276">
        <v>1</v>
      </c>
      <c r="CJ1276">
        <v>1</v>
      </c>
      <c r="CK1276">
        <v>21</v>
      </c>
      <c r="CL1276" t="s">
        <v>90</v>
      </c>
    </row>
    <row r="1277" spans="1:90" x14ac:dyDescent="0.3">
      <c r="A1277" t="s">
        <v>72</v>
      </c>
      <c r="B1277" t="s">
        <v>73</v>
      </c>
      <c r="C1277" t="s">
        <v>74</v>
      </c>
      <c r="E1277" t="str">
        <f>"080065869079"</f>
        <v>080065869079</v>
      </c>
      <c r="F1277" s="3">
        <v>45818</v>
      </c>
      <c r="G1277">
        <v>202603</v>
      </c>
      <c r="H1277" t="s">
        <v>75</v>
      </c>
      <c r="I1277" t="s">
        <v>76</v>
      </c>
      <c r="J1277" t="s">
        <v>77</v>
      </c>
      <c r="K1277" t="s">
        <v>78</v>
      </c>
      <c r="L1277" t="s">
        <v>136</v>
      </c>
      <c r="M1277" t="s">
        <v>137</v>
      </c>
      <c r="N1277" t="s">
        <v>317</v>
      </c>
      <c r="O1277" t="s">
        <v>94</v>
      </c>
      <c r="P1277" t="str">
        <f>"4170043091                    "</f>
        <v xml:space="preserve">4170043091                    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67.11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0</v>
      </c>
      <c r="BA1277">
        <v>0</v>
      </c>
      <c r="BB1277">
        <v>0</v>
      </c>
      <c r="BC1277">
        <v>0</v>
      </c>
      <c r="BD1277">
        <v>0</v>
      </c>
      <c r="BE1277">
        <v>0</v>
      </c>
      <c r="BF1277">
        <v>0</v>
      </c>
      <c r="BG1277">
        <v>0</v>
      </c>
      <c r="BH1277">
        <v>1</v>
      </c>
      <c r="BI1277">
        <v>16</v>
      </c>
      <c r="BJ1277">
        <v>30.9</v>
      </c>
      <c r="BK1277">
        <v>31</v>
      </c>
      <c r="BL1277">
        <v>228.74</v>
      </c>
      <c r="BM1277">
        <v>34.31</v>
      </c>
      <c r="BN1277">
        <v>263.05</v>
      </c>
      <c r="BO1277">
        <v>263.05</v>
      </c>
      <c r="BQ1277" t="s">
        <v>318</v>
      </c>
      <c r="BR1277" t="s">
        <v>84</v>
      </c>
      <c r="BS1277" t="s">
        <v>189</v>
      </c>
      <c r="BY1277">
        <v>154560</v>
      </c>
      <c r="CC1277" t="s">
        <v>137</v>
      </c>
      <c r="CD1277">
        <v>5201</v>
      </c>
      <c r="CE1277" t="s">
        <v>687</v>
      </c>
      <c r="CI1277">
        <v>3</v>
      </c>
      <c r="CJ1277" t="s">
        <v>189</v>
      </c>
      <c r="CK1277">
        <v>41</v>
      </c>
      <c r="CL1277" t="s">
        <v>90</v>
      </c>
    </row>
    <row r="1278" spans="1:90" x14ac:dyDescent="0.3">
      <c r="A1278" t="s">
        <v>72</v>
      </c>
      <c r="B1278" t="s">
        <v>73</v>
      </c>
      <c r="C1278" t="s">
        <v>74</v>
      </c>
      <c r="E1278" t="str">
        <f>"080065869098"</f>
        <v>080065869098</v>
      </c>
      <c r="F1278" s="3">
        <v>45818</v>
      </c>
      <c r="G1278">
        <v>202603</v>
      </c>
      <c r="H1278" t="s">
        <v>75</v>
      </c>
      <c r="I1278" t="s">
        <v>76</v>
      </c>
      <c r="J1278" t="s">
        <v>77</v>
      </c>
      <c r="K1278" t="s">
        <v>78</v>
      </c>
      <c r="L1278" t="s">
        <v>100</v>
      </c>
      <c r="M1278" t="s">
        <v>101</v>
      </c>
      <c r="N1278" t="s">
        <v>585</v>
      </c>
      <c r="O1278" t="s">
        <v>82</v>
      </c>
      <c r="P1278" t="str">
        <f>"4170043220                    "</f>
        <v xml:space="preserve">4170043220                    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20.9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0</v>
      </c>
      <c r="BA1278">
        <v>0</v>
      </c>
      <c r="BB1278">
        <v>0</v>
      </c>
      <c r="BC1278">
        <v>0</v>
      </c>
      <c r="BD1278">
        <v>0</v>
      </c>
      <c r="BE1278">
        <v>0</v>
      </c>
      <c r="BF1278">
        <v>0</v>
      </c>
      <c r="BG1278">
        <v>0</v>
      </c>
      <c r="BH1278">
        <v>1</v>
      </c>
      <c r="BI1278">
        <v>1</v>
      </c>
      <c r="BJ1278">
        <v>0.2</v>
      </c>
      <c r="BK1278">
        <v>1</v>
      </c>
      <c r="BL1278">
        <v>69.5</v>
      </c>
      <c r="BM1278">
        <v>10.43</v>
      </c>
      <c r="BN1278">
        <v>79.930000000000007</v>
      </c>
      <c r="BO1278">
        <v>79.930000000000007</v>
      </c>
      <c r="BQ1278" t="s">
        <v>586</v>
      </c>
      <c r="BR1278" t="s">
        <v>84</v>
      </c>
      <c r="BS1278" s="3">
        <v>45819</v>
      </c>
      <c r="BT1278" s="4">
        <v>0.40208333333333335</v>
      </c>
      <c r="BU1278" t="s">
        <v>783</v>
      </c>
      <c r="BV1278" t="s">
        <v>86</v>
      </c>
      <c r="BY1278">
        <v>1200</v>
      </c>
      <c r="CA1278" t="s">
        <v>589</v>
      </c>
      <c r="CC1278" t="s">
        <v>101</v>
      </c>
      <c r="CD1278">
        <v>6001</v>
      </c>
      <c r="CE1278" t="s">
        <v>215</v>
      </c>
      <c r="CF1278" s="3">
        <v>45819</v>
      </c>
      <c r="CI1278">
        <v>1</v>
      </c>
      <c r="CJ1278">
        <v>1</v>
      </c>
      <c r="CK1278">
        <v>21</v>
      </c>
      <c r="CL1278" t="s">
        <v>90</v>
      </c>
    </row>
    <row r="1279" spans="1:90" x14ac:dyDescent="0.3">
      <c r="A1279" t="s">
        <v>72</v>
      </c>
      <c r="B1279" t="s">
        <v>73</v>
      </c>
      <c r="C1279" t="s">
        <v>74</v>
      </c>
      <c r="E1279" t="str">
        <f>"080065869108"</f>
        <v>080065869108</v>
      </c>
      <c r="F1279" s="3">
        <v>45818</v>
      </c>
      <c r="G1279">
        <v>202603</v>
      </c>
      <c r="H1279" t="s">
        <v>75</v>
      </c>
      <c r="I1279" t="s">
        <v>76</v>
      </c>
      <c r="J1279" t="s">
        <v>77</v>
      </c>
      <c r="K1279" t="s">
        <v>78</v>
      </c>
      <c r="L1279" t="s">
        <v>100</v>
      </c>
      <c r="M1279" t="s">
        <v>101</v>
      </c>
      <c r="N1279" t="s">
        <v>1013</v>
      </c>
      <c r="O1279" t="s">
        <v>82</v>
      </c>
      <c r="P1279" t="str">
        <f>"4170043213                    "</f>
        <v xml:space="preserve">4170043213                    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20.9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  <c r="BB1279">
        <v>0</v>
      </c>
      <c r="BC1279">
        <v>0</v>
      </c>
      <c r="BD1279">
        <v>0</v>
      </c>
      <c r="BE1279">
        <v>0</v>
      </c>
      <c r="BF1279">
        <v>0</v>
      </c>
      <c r="BG1279">
        <v>0</v>
      </c>
      <c r="BH1279">
        <v>1</v>
      </c>
      <c r="BI1279">
        <v>1</v>
      </c>
      <c r="BJ1279">
        <v>0.2</v>
      </c>
      <c r="BK1279">
        <v>1</v>
      </c>
      <c r="BL1279">
        <v>69.5</v>
      </c>
      <c r="BM1279">
        <v>10.43</v>
      </c>
      <c r="BN1279">
        <v>79.930000000000007</v>
      </c>
      <c r="BO1279">
        <v>79.930000000000007</v>
      </c>
      <c r="BQ1279" t="s">
        <v>1014</v>
      </c>
      <c r="BR1279" t="s">
        <v>84</v>
      </c>
      <c r="BS1279" s="3">
        <v>45819</v>
      </c>
      <c r="BT1279" s="4">
        <v>0.42499999999999999</v>
      </c>
      <c r="BU1279" t="s">
        <v>1792</v>
      </c>
      <c r="BV1279" t="s">
        <v>86</v>
      </c>
      <c r="BY1279">
        <v>1200</v>
      </c>
      <c r="CA1279" t="s">
        <v>235</v>
      </c>
      <c r="CC1279" t="s">
        <v>101</v>
      </c>
      <c r="CD1279">
        <v>6001</v>
      </c>
      <c r="CE1279" t="s">
        <v>215</v>
      </c>
      <c r="CF1279" s="3">
        <v>45819</v>
      </c>
      <c r="CI1279">
        <v>1</v>
      </c>
      <c r="CJ1279">
        <v>1</v>
      </c>
      <c r="CK1279">
        <v>21</v>
      </c>
      <c r="CL1279" t="s">
        <v>90</v>
      </c>
    </row>
    <row r="1280" spans="1:90" x14ac:dyDescent="0.3">
      <c r="A1280" t="s">
        <v>72</v>
      </c>
      <c r="B1280" t="s">
        <v>73</v>
      </c>
      <c r="C1280" t="s">
        <v>74</v>
      </c>
      <c r="E1280" t="str">
        <f>"080065869127"</f>
        <v>080065869127</v>
      </c>
      <c r="F1280" s="3">
        <v>45818</v>
      </c>
      <c r="G1280">
        <v>202603</v>
      </c>
      <c r="H1280" t="s">
        <v>75</v>
      </c>
      <c r="I1280" t="s">
        <v>76</v>
      </c>
      <c r="J1280" t="s">
        <v>77</v>
      </c>
      <c r="K1280" t="s">
        <v>78</v>
      </c>
      <c r="L1280" t="s">
        <v>266</v>
      </c>
      <c r="M1280" t="s">
        <v>267</v>
      </c>
      <c r="N1280" t="s">
        <v>1130</v>
      </c>
      <c r="O1280" t="s">
        <v>82</v>
      </c>
      <c r="P1280" t="str">
        <f>"4170043203                    "</f>
        <v xml:space="preserve">4170043203                    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52.22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0</v>
      </c>
      <c r="BA1280">
        <v>0</v>
      </c>
      <c r="BB1280">
        <v>0</v>
      </c>
      <c r="BC1280">
        <v>0</v>
      </c>
      <c r="BD1280">
        <v>0</v>
      </c>
      <c r="BE1280">
        <v>0</v>
      </c>
      <c r="BF1280">
        <v>0</v>
      </c>
      <c r="BG1280">
        <v>0</v>
      </c>
      <c r="BH1280">
        <v>1</v>
      </c>
      <c r="BI1280">
        <v>5</v>
      </c>
      <c r="BJ1280">
        <v>1.6</v>
      </c>
      <c r="BK1280">
        <v>5</v>
      </c>
      <c r="BL1280">
        <v>173.66</v>
      </c>
      <c r="BM1280">
        <v>26.05</v>
      </c>
      <c r="BN1280">
        <v>199.71</v>
      </c>
      <c r="BO1280">
        <v>199.71</v>
      </c>
      <c r="BQ1280" t="s">
        <v>1131</v>
      </c>
      <c r="BR1280" t="s">
        <v>84</v>
      </c>
      <c r="BS1280" s="3">
        <v>45819</v>
      </c>
      <c r="BT1280" s="4">
        <v>0.43402777777777779</v>
      </c>
      <c r="BU1280" t="s">
        <v>1924</v>
      </c>
      <c r="BV1280" t="s">
        <v>86</v>
      </c>
      <c r="BY1280">
        <v>8064</v>
      </c>
      <c r="CA1280" t="s">
        <v>271</v>
      </c>
      <c r="CC1280" t="s">
        <v>267</v>
      </c>
      <c r="CD1280">
        <v>6229</v>
      </c>
      <c r="CE1280" t="s">
        <v>166</v>
      </c>
      <c r="CF1280" s="3">
        <v>45819</v>
      </c>
      <c r="CI1280">
        <v>1</v>
      </c>
      <c r="CJ1280">
        <v>1</v>
      </c>
      <c r="CK1280">
        <v>21</v>
      </c>
      <c r="CL1280" t="s">
        <v>90</v>
      </c>
    </row>
    <row r="1281" spans="1:90" x14ac:dyDescent="0.3">
      <c r="A1281" t="s">
        <v>72</v>
      </c>
      <c r="B1281" t="s">
        <v>73</v>
      </c>
      <c r="C1281" t="s">
        <v>74</v>
      </c>
      <c r="E1281" t="str">
        <f>"080065869150"</f>
        <v>080065869150</v>
      </c>
      <c r="F1281" s="3">
        <v>45818</v>
      </c>
      <c r="G1281">
        <v>202603</v>
      </c>
      <c r="H1281" t="s">
        <v>75</v>
      </c>
      <c r="I1281" t="s">
        <v>76</v>
      </c>
      <c r="J1281" t="s">
        <v>77</v>
      </c>
      <c r="K1281" t="s">
        <v>78</v>
      </c>
      <c r="L1281" t="s">
        <v>1355</v>
      </c>
      <c r="M1281" t="s">
        <v>1356</v>
      </c>
      <c r="N1281" t="s">
        <v>1357</v>
      </c>
      <c r="O1281" t="s">
        <v>82</v>
      </c>
      <c r="P1281" t="str">
        <f>"4170043201                    "</f>
        <v xml:space="preserve">4170043201                    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58.77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  <c r="BB1281">
        <v>0</v>
      </c>
      <c r="BC1281">
        <v>0</v>
      </c>
      <c r="BD1281">
        <v>0</v>
      </c>
      <c r="BE1281">
        <v>0</v>
      </c>
      <c r="BF1281">
        <v>0</v>
      </c>
      <c r="BG1281">
        <v>0</v>
      </c>
      <c r="BH1281">
        <v>1</v>
      </c>
      <c r="BI1281">
        <v>3</v>
      </c>
      <c r="BJ1281">
        <v>1.6</v>
      </c>
      <c r="BK1281">
        <v>3</v>
      </c>
      <c r="BL1281">
        <v>195.45</v>
      </c>
      <c r="BM1281">
        <v>29.32</v>
      </c>
      <c r="BN1281">
        <v>224.77</v>
      </c>
      <c r="BO1281">
        <v>224.77</v>
      </c>
      <c r="BQ1281" t="s">
        <v>1358</v>
      </c>
      <c r="BR1281" t="s">
        <v>84</v>
      </c>
      <c r="BS1281" s="3">
        <v>45819</v>
      </c>
      <c r="BT1281" s="4">
        <v>0.50972222222222219</v>
      </c>
      <c r="BU1281" t="s">
        <v>1359</v>
      </c>
      <c r="BV1281" t="s">
        <v>86</v>
      </c>
      <c r="BY1281">
        <v>7840</v>
      </c>
      <c r="CA1281" t="s">
        <v>1360</v>
      </c>
      <c r="CC1281" t="s">
        <v>1356</v>
      </c>
      <c r="CD1281">
        <v>3370</v>
      </c>
      <c r="CE1281" t="s">
        <v>166</v>
      </c>
      <c r="CI1281">
        <v>2</v>
      </c>
      <c r="CJ1281">
        <v>1</v>
      </c>
      <c r="CK1281">
        <v>23</v>
      </c>
      <c r="CL1281" t="s">
        <v>90</v>
      </c>
    </row>
    <row r="1282" spans="1:90" x14ac:dyDescent="0.3">
      <c r="A1282" t="s">
        <v>72</v>
      </c>
      <c r="B1282" t="s">
        <v>73</v>
      </c>
      <c r="C1282" t="s">
        <v>74</v>
      </c>
      <c r="E1282" t="str">
        <f>"080065869169"</f>
        <v>080065869169</v>
      </c>
      <c r="F1282" s="3">
        <v>45818</v>
      </c>
      <c r="G1282">
        <v>202603</v>
      </c>
      <c r="H1282" t="s">
        <v>75</v>
      </c>
      <c r="I1282" t="s">
        <v>76</v>
      </c>
      <c r="J1282" t="s">
        <v>77</v>
      </c>
      <c r="K1282" t="s">
        <v>78</v>
      </c>
      <c r="L1282" t="s">
        <v>91</v>
      </c>
      <c r="M1282" t="s">
        <v>92</v>
      </c>
      <c r="N1282" t="s">
        <v>341</v>
      </c>
      <c r="O1282" t="s">
        <v>82</v>
      </c>
      <c r="P1282" t="str">
        <f>"4170043172                    "</f>
        <v xml:space="preserve">4170043172                    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83.54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  <c r="BB1282">
        <v>0</v>
      </c>
      <c r="BC1282">
        <v>0</v>
      </c>
      <c r="BD1282">
        <v>0</v>
      </c>
      <c r="BE1282">
        <v>0</v>
      </c>
      <c r="BF1282">
        <v>0</v>
      </c>
      <c r="BG1282">
        <v>0</v>
      </c>
      <c r="BH1282">
        <v>1</v>
      </c>
      <c r="BI1282">
        <v>7</v>
      </c>
      <c r="BJ1282">
        <v>7.7</v>
      </c>
      <c r="BK1282">
        <v>8</v>
      </c>
      <c r="BL1282">
        <v>277.82</v>
      </c>
      <c r="BM1282">
        <v>41.67</v>
      </c>
      <c r="BN1282">
        <v>319.49</v>
      </c>
      <c r="BO1282">
        <v>319.49</v>
      </c>
      <c r="BQ1282" t="s">
        <v>342</v>
      </c>
      <c r="BR1282" t="s">
        <v>84</v>
      </c>
      <c r="BS1282" s="3">
        <v>45819</v>
      </c>
      <c r="BT1282" s="4">
        <v>0.42152777777777778</v>
      </c>
      <c r="BU1282" t="s">
        <v>1925</v>
      </c>
      <c r="BV1282" t="s">
        <v>86</v>
      </c>
      <c r="BY1282">
        <v>38454</v>
      </c>
      <c r="CA1282" t="s">
        <v>1350</v>
      </c>
      <c r="CC1282" t="s">
        <v>92</v>
      </c>
      <c r="CD1282">
        <v>7535</v>
      </c>
      <c r="CE1282" t="s">
        <v>687</v>
      </c>
      <c r="CF1282" s="3">
        <v>45820</v>
      </c>
      <c r="CI1282">
        <v>1</v>
      </c>
      <c r="CJ1282">
        <v>1</v>
      </c>
      <c r="CK1282">
        <v>21</v>
      </c>
      <c r="CL1282" t="s">
        <v>90</v>
      </c>
    </row>
    <row r="1283" spans="1:90" x14ac:dyDescent="0.3">
      <c r="A1283" t="s">
        <v>72</v>
      </c>
      <c r="B1283" t="s">
        <v>73</v>
      </c>
      <c r="C1283" t="s">
        <v>74</v>
      </c>
      <c r="E1283" t="str">
        <f>"080065869303"</f>
        <v>080065869303</v>
      </c>
      <c r="F1283" s="3">
        <v>45818</v>
      </c>
      <c r="G1283">
        <v>202603</v>
      </c>
      <c r="H1283" t="s">
        <v>75</v>
      </c>
      <c r="I1283" t="s">
        <v>76</v>
      </c>
      <c r="J1283" t="s">
        <v>77</v>
      </c>
      <c r="K1283" t="s">
        <v>78</v>
      </c>
      <c r="L1283" t="s">
        <v>555</v>
      </c>
      <c r="M1283" t="s">
        <v>556</v>
      </c>
      <c r="N1283" t="s">
        <v>557</v>
      </c>
      <c r="O1283" t="s">
        <v>82</v>
      </c>
      <c r="P1283" t="str">
        <f>"4170043080                    "</f>
        <v xml:space="preserve">4170043080                    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150.19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2</v>
      </c>
      <c r="BI1283">
        <v>8</v>
      </c>
      <c r="BJ1283">
        <v>6.8</v>
      </c>
      <c r="BK1283">
        <v>8</v>
      </c>
      <c r="BL1283">
        <v>499.47</v>
      </c>
      <c r="BM1283">
        <v>74.92</v>
      </c>
      <c r="BN1283">
        <v>574.39</v>
      </c>
      <c r="BO1283">
        <v>574.39</v>
      </c>
      <c r="BQ1283" t="s">
        <v>558</v>
      </c>
      <c r="BR1283" t="s">
        <v>84</v>
      </c>
      <c r="BS1283" s="3">
        <v>45819</v>
      </c>
      <c r="BT1283" s="4">
        <v>0.42916666666666664</v>
      </c>
      <c r="BU1283" t="s">
        <v>559</v>
      </c>
      <c r="BV1283" t="s">
        <v>86</v>
      </c>
      <c r="BY1283">
        <v>33930</v>
      </c>
      <c r="CA1283" t="s">
        <v>560</v>
      </c>
      <c r="CC1283" t="s">
        <v>556</v>
      </c>
      <c r="CD1283">
        <v>250</v>
      </c>
      <c r="CE1283" t="s">
        <v>687</v>
      </c>
      <c r="CI1283">
        <v>1</v>
      </c>
      <c r="CJ1283">
        <v>1</v>
      </c>
      <c r="CK1283">
        <v>23</v>
      </c>
      <c r="CL1283" t="s">
        <v>90</v>
      </c>
    </row>
    <row r="1284" spans="1:90" x14ac:dyDescent="0.3">
      <c r="A1284" t="s">
        <v>72</v>
      </c>
      <c r="B1284" t="s">
        <v>73</v>
      </c>
      <c r="C1284" t="s">
        <v>74</v>
      </c>
      <c r="E1284" t="str">
        <f>"080065869319"</f>
        <v>080065869319</v>
      </c>
      <c r="F1284" s="3">
        <v>45818</v>
      </c>
      <c r="G1284">
        <v>202603</v>
      </c>
      <c r="H1284" t="s">
        <v>75</v>
      </c>
      <c r="I1284" t="s">
        <v>76</v>
      </c>
      <c r="J1284" t="s">
        <v>77</v>
      </c>
      <c r="K1284" t="s">
        <v>78</v>
      </c>
      <c r="L1284" t="s">
        <v>106</v>
      </c>
      <c r="M1284" t="s">
        <v>107</v>
      </c>
      <c r="N1284" t="s">
        <v>509</v>
      </c>
      <c r="O1284" t="s">
        <v>82</v>
      </c>
      <c r="P1284" t="str">
        <f>"4170043059                    "</f>
        <v xml:space="preserve">4170043059                    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20.9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0</v>
      </c>
      <c r="BA1284">
        <v>0</v>
      </c>
      <c r="BB1284">
        <v>0</v>
      </c>
      <c r="BC1284">
        <v>0</v>
      </c>
      <c r="BD1284">
        <v>0</v>
      </c>
      <c r="BE1284">
        <v>0</v>
      </c>
      <c r="BF1284">
        <v>0</v>
      </c>
      <c r="BG1284">
        <v>0</v>
      </c>
      <c r="BH1284">
        <v>1</v>
      </c>
      <c r="BI1284">
        <v>1</v>
      </c>
      <c r="BJ1284">
        <v>0.2</v>
      </c>
      <c r="BK1284">
        <v>1</v>
      </c>
      <c r="BL1284">
        <v>69.5</v>
      </c>
      <c r="BM1284">
        <v>10.43</v>
      </c>
      <c r="BN1284">
        <v>79.930000000000007</v>
      </c>
      <c r="BO1284">
        <v>79.930000000000007</v>
      </c>
      <c r="BQ1284" t="s">
        <v>510</v>
      </c>
      <c r="BR1284" t="s">
        <v>84</v>
      </c>
      <c r="BS1284" s="3">
        <v>45819</v>
      </c>
      <c r="BT1284" s="4">
        <v>0.37986111111111109</v>
      </c>
      <c r="BU1284" t="s">
        <v>1926</v>
      </c>
      <c r="BV1284" t="s">
        <v>86</v>
      </c>
      <c r="BY1284">
        <v>1200</v>
      </c>
      <c r="CA1284" t="s">
        <v>355</v>
      </c>
      <c r="CC1284" t="s">
        <v>107</v>
      </c>
      <c r="CD1284">
        <v>2</v>
      </c>
      <c r="CE1284" t="s">
        <v>215</v>
      </c>
      <c r="CF1284" s="3">
        <v>45819</v>
      </c>
      <c r="CI1284">
        <v>1</v>
      </c>
      <c r="CJ1284">
        <v>1</v>
      </c>
      <c r="CK1284">
        <v>21</v>
      </c>
      <c r="CL1284" t="s">
        <v>90</v>
      </c>
    </row>
    <row r="1285" spans="1:90" x14ac:dyDescent="0.3">
      <c r="A1285" t="s">
        <v>72</v>
      </c>
      <c r="B1285" t="s">
        <v>73</v>
      </c>
      <c r="C1285" t="s">
        <v>74</v>
      </c>
      <c r="E1285" t="str">
        <f>"080065869332"</f>
        <v>080065869332</v>
      </c>
      <c r="F1285" s="3">
        <v>45818</v>
      </c>
      <c r="G1285">
        <v>202603</v>
      </c>
      <c r="H1285" t="s">
        <v>75</v>
      </c>
      <c r="I1285" t="s">
        <v>76</v>
      </c>
      <c r="J1285" t="s">
        <v>77</v>
      </c>
      <c r="K1285" t="s">
        <v>78</v>
      </c>
      <c r="L1285" t="s">
        <v>75</v>
      </c>
      <c r="M1285" t="s">
        <v>76</v>
      </c>
      <c r="N1285" t="s">
        <v>1927</v>
      </c>
      <c r="O1285" t="s">
        <v>82</v>
      </c>
      <c r="P1285" t="str">
        <f>"4170043236                    "</f>
        <v xml:space="preserve">4170043236                    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16.32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1</v>
      </c>
      <c r="BI1285">
        <v>2</v>
      </c>
      <c r="BJ1285">
        <v>1.1000000000000001</v>
      </c>
      <c r="BK1285">
        <v>2</v>
      </c>
      <c r="BL1285">
        <v>54.28</v>
      </c>
      <c r="BM1285">
        <v>8.14</v>
      </c>
      <c r="BN1285">
        <v>62.42</v>
      </c>
      <c r="BO1285">
        <v>62.42</v>
      </c>
      <c r="BQ1285" t="s">
        <v>1928</v>
      </c>
      <c r="BR1285" t="s">
        <v>84</v>
      </c>
      <c r="BS1285" s="3">
        <v>45819</v>
      </c>
      <c r="BT1285" s="4">
        <v>0.41875000000000001</v>
      </c>
      <c r="BU1285" t="s">
        <v>1929</v>
      </c>
      <c r="BV1285" t="s">
        <v>86</v>
      </c>
      <c r="BY1285">
        <v>5320</v>
      </c>
      <c r="CA1285" t="s">
        <v>193</v>
      </c>
      <c r="CC1285" t="s">
        <v>76</v>
      </c>
      <c r="CD1285">
        <v>1601</v>
      </c>
      <c r="CE1285" t="s">
        <v>292</v>
      </c>
      <c r="CF1285" s="3">
        <v>45819</v>
      </c>
      <c r="CI1285">
        <v>1</v>
      </c>
      <c r="CJ1285">
        <v>1</v>
      </c>
      <c r="CK1285">
        <v>22</v>
      </c>
      <c r="CL1285" t="s">
        <v>90</v>
      </c>
    </row>
    <row r="1286" spans="1:90" x14ac:dyDescent="0.3">
      <c r="A1286" t="s">
        <v>72</v>
      </c>
      <c r="B1286" t="s">
        <v>73</v>
      </c>
      <c r="C1286" t="s">
        <v>74</v>
      </c>
      <c r="E1286" t="str">
        <f>"080065869362"</f>
        <v>080065869362</v>
      </c>
      <c r="F1286" s="3">
        <v>45818</v>
      </c>
      <c r="G1286">
        <v>202603</v>
      </c>
      <c r="H1286" t="s">
        <v>75</v>
      </c>
      <c r="I1286" t="s">
        <v>76</v>
      </c>
      <c r="J1286" t="s">
        <v>77</v>
      </c>
      <c r="K1286" t="s">
        <v>78</v>
      </c>
      <c r="L1286" t="s">
        <v>284</v>
      </c>
      <c r="M1286" t="s">
        <v>285</v>
      </c>
      <c r="N1286" t="s">
        <v>1930</v>
      </c>
      <c r="O1286" t="s">
        <v>82</v>
      </c>
      <c r="P1286" t="str">
        <f>"4170043030                    "</f>
        <v xml:space="preserve">4170043030                    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16.32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0</v>
      </c>
      <c r="BA1286">
        <v>0</v>
      </c>
      <c r="BB1286">
        <v>0</v>
      </c>
      <c r="BC1286">
        <v>0</v>
      </c>
      <c r="BD1286">
        <v>0</v>
      </c>
      <c r="BE1286">
        <v>0</v>
      </c>
      <c r="BF1286">
        <v>0</v>
      </c>
      <c r="BG1286">
        <v>0</v>
      </c>
      <c r="BH1286">
        <v>1</v>
      </c>
      <c r="BI1286">
        <v>1</v>
      </c>
      <c r="BJ1286">
        <v>0.2</v>
      </c>
      <c r="BK1286">
        <v>1</v>
      </c>
      <c r="BL1286">
        <v>54.28</v>
      </c>
      <c r="BM1286">
        <v>8.14</v>
      </c>
      <c r="BN1286">
        <v>62.42</v>
      </c>
      <c r="BO1286">
        <v>62.42</v>
      </c>
      <c r="BQ1286" t="s">
        <v>1931</v>
      </c>
      <c r="BR1286" t="s">
        <v>84</v>
      </c>
      <c r="BS1286" s="3">
        <v>45819</v>
      </c>
      <c r="BT1286" s="4">
        <v>0.31597222222222221</v>
      </c>
      <c r="BU1286" t="s">
        <v>1932</v>
      </c>
      <c r="BV1286" t="s">
        <v>86</v>
      </c>
      <c r="BY1286">
        <v>1200</v>
      </c>
      <c r="CA1286" t="s">
        <v>971</v>
      </c>
      <c r="CC1286" t="s">
        <v>285</v>
      </c>
      <c r="CD1286">
        <v>1559</v>
      </c>
      <c r="CE1286" t="s">
        <v>215</v>
      </c>
      <c r="CF1286" s="3">
        <v>45820</v>
      </c>
      <c r="CI1286">
        <v>1</v>
      </c>
      <c r="CJ1286">
        <v>1</v>
      </c>
      <c r="CK1286">
        <v>22</v>
      </c>
      <c r="CL1286" t="s">
        <v>90</v>
      </c>
    </row>
    <row r="1287" spans="1:90" x14ac:dyDescent="0.3">
      <c r="A1287" t="s">
        <v>72</v>
      </c>
      <c r="B1287" t="s">
        <v>73</v>
      </c>
      <c r="C1287" t="s">
        <v>74</v>
      </c>
      <c r="E1287" t="str">
        <f>"080065869378"</f>
        <v>080065869378</v>
      </c>
      <c r="F1287" s="3">
        <v>45818</v>
      </c>
      <c r="G1287">
        <v>202603</v>
      </c>
      <c r="H1287" t="s">
        <v>75</v>
      </c>
      <c r="I1287" t="s">
        <v>76</v>
      </c>
      <c r="J1287" t="s">
        <v>77</v>
      </c>
      <c r="K1287" t="s">
        <v>78</v>
      </c>
      <c r="L1287" t="s">
        <v>663</v>
      </c>
      <c r="M1287" t="s">
        <v>664</v>
      </c>
      <c r="N1287" t="s">
        <v>665</v>
      </c>
      <c r="O1287" t="s">
        <v>82</v>
      </c>
      <c r="P1287" t="str">
        <f>"4170043298                    "</f>
        <v xml:space="preserve">4170043298                    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40.49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1</v>
      </c>
      <c r="BI1287">
        <v>1</v>
      </c>
      <c r="BJ1287">
        <v>1.1000000000000001</v>
      </c>
      <c r="BK1287">
        <v>1.5</v>
      </c>
      <c r="BL1287">
        <v>134.65</v>
      </c>
      <c r="BM1287">
        <v>20.2</v>
      </c>
      <c r="BN1287">
        <v>154.85</v>
      </c>
      <c r="BO1287">
        <v>154.85</v>
      </c>
      <c r="BQ1287" t="s">
        <v>1933</v>
      </c>
      <c r="BR1287" t="s">
        <v>84</v>
      </c>
      <c r="BS1287" s="3">
        <v>45819</v>
      </c>
      <c r="BT1287" s="4">
        <v>0.43055555555555558</v>
      </c>
      <c r="BU1287" t="s">
        <v>1934</v>
      </c>
      <c r="BV1287" t="s">
        <v>86</v>
      </c>
      <c r="BY1287">
        <v>5600</v>
      </c>
      <c r="CA1287" t="s">
        <v>668</v>
      </c>
      <c r="CC1287" t="s">
        <v>664</v>
      </c>
      <c r="CD1287">
        <v>1947</v>
      </c>
      <c r="CE1287" t="s">
        <v>292</v>
      </c>
      <c r="CF1287" s="3">
        <v>45819</v>
      </c>
      <c r="CI1287">
        <v>1</v>
      </c>
      <c r="CJ1287">
        <v>1</v>
      </c>
      <c r="CK1287">
        <v>23</v>
      </c>
      <c r="CL1287" t="s">
        <v>90</v>
      </c>
    </row>
    <row r="1288" spans="1:90" x14ac:dyDescent="0.3">
      <c r="A1288" t="s">
        <v>72</v>
      </c>
      <c r="B1288" t="s">
        <v>73</v>
      </c>
      <c r="C1288" t="s">
        <v>74</v>
      </c>
      <c r="E1288" t="str">
        <f>"080065869392"</f>
        <v>080065869392</v>
      </c>
      <c r="F1288" s="3">
        <v>45818</v>
      </c>
      <c r="G1288">
        <v>202603</v>
      </c>
      <c r="H1288" t="s">
        <v>75</v>
      </c>
      <c r="I1288" t="s">
        <v>76</v>
      </c>
      <c r="J1288" t="s">
        <v>77</v>
      </c>
      <c r="K1288" t="s">
        <v>78</v>
      </c>
      <c r="L1288" t="s">
        <v>106</v>
      </c>
      <c r="M1288" t="s">
        <v>107</v>
      </c>
      <c r="N1288" t="s">
        <v>1935</v>
      </c>
      <c r="O1288" t="s">
        <v>82</v>
      </c>
      <c r="P1288" t="str">
        <f>"4170043026                    "</f>
        <v xml:space="preserve">4170043026                    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20.9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  <c r="BE1288">
        <v>0</v>
      </c>
      <c r="BF1288">
        <v>0</v>
      </c>
      <c r="BG1288">
        <v>0</v>
      </c>
      <c r="BH1288">
        <v>1</v>
      </c>
      <c r="BI1288">
        <v>1</v>
      </c>
      <c r="BJ1288">
        <v>0.2</v>
      </c>
      <c r="BK1288">
        <v>1</v>
      </c>
      <c r="BL1288">
        <v>69.5</v>
      </c>
      <c r="BM1288">
        <v>10.43</v>
      </c>
      <c r="BN1288">
        <v>79.930000000000007</v>
      </c>
      <c r="BO1288">
        <v>79.930000000000007</v>
      </c>
      <c r="BQ1288" t="s">
        <v>1936</v>
      </c>
      <c r="BR1288" t="s">
        <v>84</v>
      </c>
      <c r="BS1288" s="3">
        <v>45819</v>
      </c>
      <c r="BT1288" s="4">
        <v>0.50902777777777775</v>
      </c>
      <c r="BU1288" t="s">
        <v>1937</v>
      </c>
      <c r="BV1288" t="s">
        <v>90</v>
      </c>
      <c r="BY1288">
        <v>1200</v>
      </c>
      <c r="CA1288" t="s">
        <v>1938</v>
      </c>
      <c r="CC1288" t="s">
        <v>107</v>
      </c>
      <c r="CD1288">
        <v>183</v>
      </c>
      <c r="CE1288" t="s">
        <v>215</v>
      </c>
      <c r="CF1288" s="3">
        <v>45819</v>
      </c>
      <c r="CI1288">
        <v>1</v>
      </c>
      <c r="CJ1288">
        <v>1</v>
      </c>
      <c r="CK1288">
        <v>21</v>
      </c>
      <c r="CL1288" t="s">
        <v>90</v>
      </c>
    </row>
    <row r="1289" spans="1:90" x14ac:dyDescent="0.3">
      <c r="A1289" t="s">
        <v>72</v>
      </c>
      <c r="B1289" t="s">
        <v>73</v>
      </c>
      <c r="C1289" t="s">
        <v>74</v>
      </c>
      <c r="E1289" t="str">
        <f>"080065869429"</f>
        <v>080065869429</v>
      </c>
      <c r="F1289" s="3">
        <v>45818</v>
      </c>
      <c r="G1289">
        <v>202603</v>
      </c>
      <c r="H1289" t="s">
        <v>75</v>
      </c>
      <c r="I1289" t="s">
        <v>76</v>
      </c>
      <c r="J1289" t="s">
        <v>77</v>
      </c>
      <c r="K1289" t="s">
        <v>78</v>
      </c>
      <c r="L1289" t="s">
        <v>1939</v>
      </c>
      <c r="M1289" t="s">
        <v>1940</v>
      </c>
      <c r="N1289" t="s">
        <v>1941</v>
      </c>
      <c r="O1289" t="s">
        <v>82</v>
      </c>
      <c r="P1289" t="str">
        <f>"4170043047                    "</f>
        <v xml:space="preserve">4170043047                    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40.49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>
        <v>0</v>
      </c>
      <c r="BF1289">
        <v>0</v>
      </c>
      <c r="BG1289">
        <v>0</v>
      </c>
      <c r="BH1289">
        <v>1</v>
      </c>
      <c r="BI1289">
        <v>1</v>
      </c>
      <c r="BJ1289">
        <v>1.1000000000000001</v>
      </c>
      <c r="BK1289">
        <v>1.5</v>
      </c>
      <c r="BL1289">
        <v>134.65</v>
      </c>
      <c r="BM1289">
        <v>20.2</v>
      </c>
      <c r="BN1289">
        <v>154.85</v>
      </c>
      <c r="BO1289">
        <v>154.85</v>
      </c>
      <c r="BQ1289" t="s">
        <v>1942</v>
      </c>
      <c r="BR1289" t="s">
        <v>84</v>
      </c>
      <c r="BS1289" s="3">
        <v>45819</v>
      </c>
      <c r="BT1289" s="4">
        <v>0.58750000000000002</v>
      </c>
      <c r="BU1289" t="s">
        <v>1943</v>
      </c>
      <c r="BV1289" t="s">
        <v>86</v>
      </c>
      <c r="BY1289">
        <v>5320</v>
      </c>
      <c r="CA1289" t="s">
        <v>1944</v>
      </c>
      <c r="CC1289" t="s">
        <v>1940</v>
      </c>
      <c r="CD1289">
        <v>2380</v>
      </c>
      <c r="CE1289" t="s">
        <v>292</v>
      </c>
      <c r="CI1289">
        <v>1</v>
      </c>
      <c r="CJ1289">
        <v>1</v>
      </c>
      <c r="CK1289">
        <v>23</v>
      </c>
      <c r="CL1289" t="s">
        <v>90</v>
      </c>
    </row>
    <row r="1290" spans="1:90" x14ac:dyDescent="0.3">
      <c r="A1290" t="s">
        <v>72</v>
      </c>
      <c r="B1290" t="s">
        <v>73</v>
      </c>
      <c r="C1290" t="s">
        <v>74</v>
      </c>
      <c r="E1290" t="str">
        <f>"080065869456"</f>
        <v>080065869456</v>
      </c>
      <c r="F1290" s="3">
        <v>45818</v>
      </c>
      <c r="G1290">
        <v>202603</v>
      </c>
      <c r="H1290" t="s">
        <v>75</v>
      </c>
      <c r="I1290" t="s">
        <v>76</v>
      </c>
      <c r="J1290" t="s">
        <v>77</v>
      </c>
      <c r="K1290" t="s">
        <v>78</v>
      </c>
      <c r="L1290" t="s">
        <v>75</v>
      </c>
      <c r="M1290" t="s">
        <v>76</v>
      </c>
      <c r="N1290" t="s">
        <v>1945</v>
      </c>
      <c r="O1290" t="s">
        <v>82</v>
      </c>
      <c r="P1290" t="str">
        <f>"4170043216                    "</f>
        <v xml:space="preserve">4170043216                    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16.32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</v>
      </c>
      <c r="AX1290">
        <v>0</v>
      </c>
      <c r="AY1290">
        <v>0</v>
      </c>
      <c r="AZ1290">
        <v>0</v>
      </c>
      <c r="BA1290">
        <v>0</v>
      </c>
      <c r="BB1290">
        <v>0</v>
      </c>
      <c r="BC1290">
        <v>0</v>
      </c>
      <c r="BD1290">
        <v>0</v>
      </c>
      <c r="BE1290">
        <v>0</v>
      </c>
      <c r="BF1290">
        <v>0</v>
      </c>
      <c r="BG1290">
        <v>0</v>
      </c>
      <c r="BH1290">
        <v>1</v>
      </c>
      <c r="BI1290">
        <v>1</v>
      </c>
      <c r="BJ1290">
        <v>0.2</v>
      </c>
      <c r="BK1290">
        <v>1</v>
      </c>
      <c r="BL1290">
        <v>54.28</v>
      </c>
      <c r="BM1290">
        <v>8.14</v>
      </c>
      <c r="BN1290">
        <v>62.42</v>
      </c>
      <c r="BO1290">
        <v>62.42</v>
      </c>
      <c r="BQ1290" t="s">
        <v>1946</v>
      </c>
      <c r="BR1290" t="s">
        <v>84</v>
      </c>
      <c r="BS1290" s="3">
        <v>45819</v>
      </c>
      <c r="BT1290" s="4">
        <v>0.30208333333333331</v>
      </c>
      <c r="BU1290" t="s">
        <v>1947</v>
      </c>
      <c r="BV1290" t="s">
        <v>86</v>
      </c>
      <c r="BY1290">
        <v>1200</v>
      </c>
      <c r="CA1290" t="s">
        <v>115</v>
      </c>
      <c r="CC1290" t="s">
        <v>76</v>
      </c>
      <c r="CD1290">
        <v>1600</v>
      </c>
      <c r="CE1290" t="s">
        <v>215</v>
      </c>
      <c r="CF1290" s="3">
        <v>45819</v>
      </c>
      <c r="CI1290">
        <v>1</v>
      </c>
      <c r="CJ1290">
        <v>1</v>
      </c>
      <c r="CK1290">
        <v>22</v>
      </c>
      <c r="CL1290" t="s">
        <v>90</v>
      </c>
    </row>
    <row r="1291" spans="1:90" x14ac:dyDescent="0.3">
      <c r="A1291" t="s">
        <v>72</v>
      </c>
      <c r="B1291" t="s">
        <v>73</v>
      </c>
      <c r="C1291" t="s">
        <v>74</v>
      </c>
      <c r="E1291" t="str">
        <f>"080065869507"</f>
        <v>080065869507</v>
      </c>
      <c r="F1291" s="3">
        <v>45818</v>
      </c>
      <c r="G1291">
        <v>202603</v>
      </c>
      <c r="H1291" t="s">
        <v>75</v>
      </c>
      <c r="I1291" t="s">
        <v>76</v>
      </c>
      <c r="J1291" t="s">
        <v>77</v>
      </c>
      <c r="K1291" t="s">
        <v>78</v>
      </c>
      <c r="L1291" t="s">
        <v>266</v>
      </c>
      <c r="M1291" t="s">
        <v>267</v>
      </c>
      <c r="N1291" t="s">
        <v>1948</v>
      </c>
      <c r="O1291" t="s">
        <v>82</v>
      </c>
      <c r="P1291" t="str">
        <f>"4170043042                    "</f>
        <v xml:space="preserve">4170043042                    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20.9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>
        <v>0</v>
      </c>
      <c r="BF1291">
        <v>0</v>
      </c>
      <c r="BG1291">
        <v>0</v>
      </c>
      <c r="BH1291">
        <v>1</v>
      </c>
      <c r="BI1291">
        <v>1</v>
      </c>
      <c r="BJ1291">
        <v>0.2</v>
      </c>
      <c r="BK1291">
        <v>1</v>
      </c>
      <c r="BL1291">
        <v>69.5</v>
      </c>
      <c r="BM1291">
        <v>10.43</v>
      </c>
      <c r="BN1291">
        <v>79.930000000000007</v>
      </c>
      <c r="BO1291">
        <v>79.930000000000007</v>
      </c>
      <c r="BQ1291" t="s">
        <v>1949</v>
      </c>
      <c r="BR1291" t="s">
        <v>84</v>
      </c>
      <c r="BS1291" s="3">
        <v>45819</v>
      </c>
      <c r="BT1291" s="4">
        <v>0.43680555555555556</v>
      </c>
      <c r="BU1291" t="s">
        <v>1950</v>
      </c>
      <c r="BV1291" t="s">
        <v>86</v>
      </c>
      <c r="BY1291">
        <v>1200</v>
      </c>
      <c r="CA1291" t="s">
        <v>271</v>
      </c>
      <c r="CC1291" t="s">
        <v>267</v>
      </c>
      <c r="CD1291">
        <v>6229</v>
      </c>
      <c r="CE1291" t="s">
        <v>215</v>
      </c>
      <c r="CF1291" s="3">
        <v>45819</v>
      </c>
      <c r="CI1291">
        <v>1</v>
      </c>
      <c r="CJ1291">
        <v>1</v>
      </c>
      <c r="CK1291">
        <v>21</v>
      </c>
      <c r="CL1291" t="s">
        <v>90</v>
      </c>
    </row>
    <row r="1292" spans="1:90" x14ac:dyDescent="0.3">
      <c r="A1292" t="s">
        <v>72</v>
      </c>
      <c r="B1292" t="s">
        <v>73</v>
      </c>
      <c r="C1292" t="s">
        <v>74</v>
      </c>
      <c r="E1292" t="str">
        <f>"080065869524"</f>
        <v>080065869524</v>
      </c>
      <c r="F1292" s="3">
        <v>45818</v>
      </c>
      <c r="G1292">
        <v>202603</v>
      </c>
      <c r="H1292" t="s">
        <v>75</v>
      </c>
      <c r="I1292" t="s">
        <v>76</v>
      </c>
      <c r="J1292" t="s">
        <v>77</v>
      </c>
      <c r="K1292" t="s">
        <v>78</v>
      </c>
      <c r="L1292" t="s">
        <v>251</v>
      </c>
      <c r="M1292" t="s">
        <v>252</v>
      </c>
      <c r="N1292" t="s">
        <v>567</v>
      </c>
      <c r="O1292" t="s">
        <v>82</v>
      </c>
      <c r="P1292" t="str">
        <f>"4170043318                    "</f>
        <v xml:space="preserve">4170043318                    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20.9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  <c r="BE1292">
        <v>0</v>
      </c>
      <c r="BF1292">
        <v>0</v>
      </c>
      <c r="BG1292">
        <v>0</v>
      </c>
      <c r="BH1292">
        <v>1</v>
      </c>
      <c r="BI1292">
        <v>1</v>
      </c>
      <c r="BJ1292">
        <v>0.2</v>
      </c>
      <c r="BK1292">
        <v>1</v>
      </c>
      <c r="BL1292">
        <v>69.5</v>
      </c>
      <c r="BM1292">
        <v>10.43</v>
      </c>
      <c r="BN1292">
        <v>79.930000000000007</v>
      </c>
      <c r="BO1292">
        <v>79.930000000000007</v>
      </c>
      <c r="BQ1292" t="s">
        <v>568</v>
      </c>
      <c r="BR1292" t="s">
        <v>84</v>
      </c>
      <c r="BS1292" s="3">
        <v>45819</v>
      </c>
      <c r="BT1292" s="4">
        <v>0.37569444444444444</v>
      </c>
      <c r="BU1292" t="s">
        <v>569</v>
      </c>
      <c r="BV1292" t="s">
        <v>86</v>
      </c>
      <c r="BY1292">
        <v>1200</v>
      </c>
      <c r="CA1292" t="s">
        <v>570</v>
      </c>
      <c r="CC1292" t="s">
        <v>252</v>
      </c>
      <c r="CD1292">
        <v>4302</v>
      </c>
      <c r="CE1292" t="s">
        <v>215</v>
      </c>
      <c r="CI1292">
        <v>1</v>
      </c>
      <c r="CJ1292">
        <v>1</v>
      </c>
      <c r="CK1292">
        <v>21</v>
      </c>
      <c r="CL1292" t="s">
        <v>90</v>
      </c>
    </row>
    <row r="1293" spans="1:90" x14ac:dyDescent="0.3">
      <c r="A1293" t="s">
        <v>72</v>
      </c>
      <c r="B1293" t="s">
        <v>73</v>
      </c>
      <c r="C1293" t="s">
        <v>74</v>
      </c>
      <c r="E1293" t="str">
        <f>"080065869548"</f>
        <v>080065869548</v>
      </c>
      <c r="F1293" s="3">
        <v>45818</v>
      </c>
      <c r="G1293">
        <v>202603</v>
      </c>
      <c r="H1293" t="s">
        <v>75</v>
      </c>
      <c r="I1293" t="s">
        <v>76</v>
      </c>
      <c r="J1293" t="s">
        <v>77</v>
      </c>
      <c r="K1293" t="s">
        <v>78</v>
      </c>
      <c r="L1293" t="s">
        <v>159</v>
      </c>
      <c r="M1293" t="s">
        <v>160</v>
      </c>
      <c r="N1293" t="s">
        <v>571</v>
      </c>
      <c r="O1293" t="s">
        <v>82</v>
      </c>
      <c r="P1293" t="str">
        <f>"4170043299                    "</f>
        <v xml:space="preserve">4170043299                    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16.32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>
        <v>0</v>
      </c>
      <c r="BD1293">
        <v>0</v>
      </c>
      <c r="BE1293">
        <v>0</v>
      </c>
      <c r="BF1293">
        <v>0</v>
      </c>
      <c r="BG1293">
        <v>0</v>
      </c>
      <c r="BH1293">
        <v>1</v>
      </c>
      <c r="BI1293">
        <v>1</v>
      </c>
      <c r="BJ1293">
        <v>0.2</v>
      </c>
      <c r="BK1293">
        <v>1</v>
      </c>
      <c r="BL1293">
        <v>54.28</v>
      </c>
      <c r="BM1293">
        <v>8.14</v>
      </c>
      <c r="BN1293">
        <v>62.42</v>
      </c>
      <c r="BO1293">
        <v>62.42</v>
      </c>
      <c r="BQ1293" t="s">
        <v>572</v>
      </c>
      <c r="BR1293" t="s">
        <v>84</v>
      </c>
      <c r="BS1293" s="3">
        <v>45819</v>
      </c>
      <c r="BT1293" s="4">
        <v>0.4201388888888889</v>
      </c>
      <c r="BU1293" t="s">
        <v>573</v>
      </c>
      <c r="BV1293" t="s">
        <v>86</v>
      </c>
      <c r="BY1293">
        <v>1200</v>
      </c>
      <c r="CA1293" t="s">
        <v>444</v>
      </c>
      <c r="CC1293" t="s">
        <v>160</v>
      </c>
      <c r="CD1293">
        <v>2013</v>
      </c>
      <c r="CE1293" t="s">
        <v>215</v>
      </c>
      <c r="CF1293" s="3">
        <v>45820</v>
      </c>
      <c r="CI1293">
        <v>1</v>
      </c>
      <c r="CJ1293">
        <v>1</v>
      </c>
      <c r="CK1293">
        <v>22</v>
      </c>
      <c r="CL1293" t="s">
        <v>90</v>
      </c>
    </row>
    <row r="1294" spans="1:90" x14ac:dyDescent="0.3">
      <c r="A1294" t="s">
        <v>72</v>
      </c>
      <c r="B1294" t="s">
        <v>73</v>
      </c>
      <c r="C1294" t="s">
        <v>74</v>
      </c>
      <c r="E1294" t="str">
        <f>"080065869579"</f>
        <v>080065869579</v>
      </c>
      <c r="F1294" s="3">
        <v>45818</v>
      </c>
      <c r="G1294">
        <v>202603</v>
      </c>
      <c r="H1294" t="s">
        <v>75</v>
      </c>
      <c r="I1294" t="s">
        <v>76</v>
      </c>
      <c r="J1294" t="s">
        <v>77</v>
      </c>
      <c r="K1294" t="s">
        <v>78</v>
      </c>
      <c r="L1294" t="s">
        <v>79</v>
      </c>
      <c r="M1294" t="s">
        <v>80</v>
      </c>
      <c r="N1294" t="s">
        <v>1951</v>
      </c>
      <c r="O1294" t="s">
        <v>82</v>
      </c>
      <c r="P1294" t="str">
        <f>"4170043195                    "</f>
        <v xml:space="preserve">4170043195                    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29.39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16.739999999999998</v>
      </c>
      <c r="AX1294">
        <v>0</v>
      </c>
      <c r="AY1294">
        <v>0</v>
      </c>
      <c r="AZ1294">
        <v>0</v>
      </c>
      <c r="BA1294">
        <v>0</v>
      </c>
      <c r="BB1294">
        <v>0</v>
      </c>
      <c r="BC1294">
        <v>0</v>
      </c>
      <c r="BD1294">
        <v>0</v>
      </c>
      <c r="BE1294">
        <v>0</v>
      </c>
      <c r="BF1294">
        <v>0</v>
      </c>
      <c r="BG1294">
        <v>0</v>
      </c>
      <c r="BH1294">
        <v>1</v>
      </c>
      <c r="BI1294">
        <v>1</v>
      </c>
      <c r="BJ1294">
        <v>0.2</v>
      </c>
      <c r="BK1294">
        <v>1</v>
      </c>
      <c r="BL1294">
        <v>114.48</v>
      </c>
      <c r="BM1294">
        <v>17.170000000000002</v>
      </c>
      <c r="BN1294">
        <v>131.65</v>
      </c>
      <c r="BO1294">
        <v>131.65</v>
      </c>
      <c r="BQ1294" t="s">
        <v>1952</v>
      </c>
      <c r="BR1294" t="s">
        <v>84</v>
      </c>
      <c r="BS1294" s="3">
        <v>45819</v>
      </c>
      <c r="BT1294" s="4">
        <v>0.68055555555555558</v>
      </c>
      <c r="BU1294" t="s">
        <v>306</v>
      </c>
      <c r="BV1294" t="s">
        <v>90</v>
      </c>
      <c r="BY1294">
        <v>1200</v>
      </c>
      <c r="BZ1294" t="s">
        <v>30</v>
      </c>
      <c r="CC1294" t="s">
        <v>80</v>
      </c>
      <c r="CD1294">
        <v>1723</v>
      </c>
      <c r="CE1294" t="s">
        <v>215</v>
      </c>
      <c r="CI1294">
        <v>1</v>
      </c>
      <c r="CJ1294">
        <v>1</v>
      </c>
      <c r="CK1294">
        <v>24</v>
      </c>
      <c r="CL1294" t="s">
        <v>90</v>
      </c>
    </row>
    <row r="1295" spans="1:90" x14ac:dyDescent="0.3">
      <c r="A1295" t="s">
        <v>72</v>
      </c>
      <c r="B1295" t="s">
        <v>73</v>
      </c>
      <c r="C1295" t="s">
        <v>74</v>
      </c>
      <c r="E1295" t="str">
        <f>"080065869596"</f>
        <v>080065869596</v>
      </c>
      <c r="F1295" s="3">
        <v>45818</v>
      </c>
      <c r="G1295">
        <v>202603</v>
      </c>
      <c r="H1295" t="s">
        <v>75</v>
      </c>
      <c r="I1295" t="s">
        <v>76</v>
      </c>
      <c r="J1295" t="s">
        <v>77</v>
      </c>
      <c r="K1295" t="s">
        <v>78</v>
      </c>
      <c r="L1295" t="s">
        <v>174</v>
      </c>
      <c r="M1295" t="s">
        <v>175</v>
      </c>
      <c r="N1295" t="s">
        <v>926</v>
      </c>
      <c r="O1295" t="s">
        <v>82</v>
      </c>
      <c r="P1295" t="str">
        <f>"4170043171                    "</f>
        <v xml:space="preserve">4170043171                    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20.9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  <c r="BE1295">
        <v>0</v>
      </c>
      <c r="BF1295">
        <v>0</v>
      </c>
      <c r="BG1295">
        <v>0</v>
      </c>
      <c r="BH1295">
        <v>1</v>
      </c>
      <c r="BI1295">
        <v>1</v>
      </c>
      <c r="BJ1295">
        <v>0.2</v>
      </c>
      <c r="BK1295">
        <v>1</v>
      </c>
      <c r="BL1295">
        <v>69.5</v>
      </c>
      <c r="BM1295">
        <v>10.43</v>
      </c>
      <c r="BN1295">
        <v>79.930000000000007</v>
      </c>
      <c r="BO1295">
        <v>79.930000000000007</v>
      </c>
      <c r="BQ1295" t="s">
        <v>927</v>
      </c>
      <c r="BR1295" t="s">
        <v>84</v>
      </c>
      <c r="BS1295" s="3">
        <v>45819</v>
      </c>
      <c r="BT1295" s="4">
        <v>0.41666666666666669</v>
      </c>
      <c r="BU1295" t="s">
        <v>1171</v>
      </c>
      <c r="BV1295" t="s">
        <v>86</v>
      </c>
      <c r="BY1295">
        <v>1200</v>
      </c>
      <c r="CA1295" t="s">
        <v>596</v>
      </c>
      <c r="CC1295" t="s">
        <v>175</v>
      </c>
      <c r="CD1295">
        <v>3610</v>
      </c>
      <c r="CE1295" t="s">
        <v>215</v>
      </c>
      <c r="CI1295">
        <v>1</v>
      </c>
      <c r="CJ1295">
        <v>1</v>
      </c>
      <c r="CK1295">
        <v>21</v>
      </c>
      <c r="CL1295" t="s">
        <v>90</v>
      </c>
    </row>
    <row r="1296" spans="1:90" x14ac:dyDescent="0.3">
      <c r="A1296" t="s">
        <v>72</v>
      </c>
      <c r="B1296" t="s">
        <v>73</v>
      </c>
      <c r="C1296" t="s">
        <v>74</v>
      </c>
      <c r="E1296" t="str">
        <f>"080065869622"</f>
        <v>080065869622</v>
      </c>
      <c r="F1296" s="3">
        <v>45818</v>
      </c>
      <c r="G1296">
        <v>202603</v>
      </c>
      <c r="H1296" t="s">
        <v>75</v>
      </c>
      <c r="I1296" t="s">
        <v>76</v>
      </c>
      <c r="J1296" t="s">
        <v>77</v>
      </c>
      <c r="K1296" t="s">
        <v>78</v>
      </c>
      <c r="L1296" t="s">
        <v>555</v>
      </c>
      <c r="M1296" t="s">
        <v>556</v>
      </c>
      <c r="N1296" t="s">
        <v>1678</v>
      </c>
      <c r="O1296" t="s">
        <v>82</v>
      </c>
      <c r="P1296" t="str">
        <f>"4170043230                    "</f>
        <v xml:space="preserve">4170043230                    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40.49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  <c r="BB1296">
        <v>0</v>
      </c>
      <c r="BC1296">
        <v>0</v>
      </c>
      <c r="BD1296">
        <v>0</v>
      </c>
      <c r="BE1296">
        <v>0</v>
      </c>
      <c r="BF1296">
        <v>0</v>
      </c>
      <c r="BG1296">
        <v>0</v>
      </c>
      <c r="BH1296">
        <v>1</v>
      </c>
      <c r="BI1296">
        <v>1</v>
      </c>
      <c r="BJ1296">
        <v>0.2</v>
      </c>
      <c r="BK1296">
        <v>1</v>
      </c>
      <c r="BL1296">
        <v>134.65</v>
      </c>
      <c r="BM1296">
        <v>20.2</v>
      </c>
      <c r="BN1296">
        <v>154.85</v>
      </c>
      <c r="BO1296">
        <v>154.85</v>
      </c>
      <c r="BQ1296" t="s">
        <v>1679</v>
      </c>
      <c r="BR1296" t="s">
        <v>84</v>
      </c>
      <c r="BS1296" s="3">
        <v>45819</v>
      </c>
      <c r="BT1296" s="4">
        <v>0.41736111111111113</v>
      </c>
      <c r="BU1296" t="s">
        <v>1680</v>
      </c>
      <c r="BV1296" t="s">
        <v>86</v>
      </c>
      <c r="BY1296">
        <v>1200</v>
      </c>
      <c r="CA1296" t="s">
        <v>560</v>
      </c>
      <c r="CC1296" t="s">
        <v>556</v>
      </c>
      <c r="CD1296">
        <v>250</v>
      </c>
      <c r="CE1296" t="s">
        <v>215</v>
      </c>
      <c r="CI1296">
        <v>1</v>
      </c>
      <c r="CJ1296">
        <v>1</v>
      </c>
      <c r="CK1296">
        <v>23</v>
      </c>
      <c r="CL1296" t="s">
        <v>90</v>
      </c>
    </row>
    <row r="1297" spans="1:90" x14ac:dyDescent="0.3">
      <c r="A1297" t="s">
        <v>72</v>
      </c>
      <c r="B1297" t="s">
        <v>73</v>
      </c>
      <c r="C1297" t="s">
        <v>74</v>
      </c>
      <c r="E1297" t="str">
        <f>"080065869630"</f>
        <v>080065869630</v>
      </c>
      <c r="F1297" s="3">
        <v>45818</v>
      </c>
      <c r="G1297">
        <v>202603</v>
      </c>
      <c r="H1297" t="s">
        <v>75</v>
      </c>
      <c r="I1297" t="s">
        <v>76</v>
      </c>
      <c r="J1297" t="s">
        <v>77</v>
      </c>
      <c r="K1297" t="s">
        <v>78</v>
      </c>
      <c r="L1297" t="s">
        <v>100</v>
      </c>
      <c r="M1297" t="s">
        <v>101</v>
      </c>
      <c r="N1297" t="s">
        <v>1953</v>
      </c>
      <c r="O1297" t="s">
        <v>94</v>
      </c>
      <c r="P1297" t="str">
        <f>"4170043095                    "</f>
        <v xml:space="preserve">4170043095                    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100.47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  <c r="BB1297">
        <v>0</v>
      </c>
      <c r="BC1297">
        <v>0</v>
      </c>
      <c r="BD1297">
        <v>0</v>
      </c>
      <c r="BE1297">
        <v>0</v>
      </c>
      <c r="BF1297">
        <v>0</v>
      </c>
      <c r="BG1297">
        <v>0</v>
      </c>
      <c r="BH1297">
        <v>2</v>
      </c>
      <c r="BI1297">
        <v>51</v>
      </c>
      <c r="BJ1297">
        <v>37.700000000000003</v>
      </c>
      <c r="BK1297">
        <v>51</v>
      </c>
      <c r="BL1297">
        <v>339.7</v>
      </c>
      <c r="BM1297">
        <v>50.96</v>
      </c>
      <c r="BN1297">
        <v>390.66</v>
      </c>
      <c r="BO1297">
        <v>390.66</v>
      </c>
      <c r="BQ1297" t="s">
        <v>1954</v>
      </c>
      <c r="BR1297" t="s">
        <v>84</v>
      </c>
      <c r="BS1297" t="s">
        <v>189</v>
      </c>
      <c r="BY1297">
        <v>188720</v>
      </c>
      <c r="CC1297" t="s">
        <v>101</v>
      </c>
      <c r="CD1297">
        <v>6055</v>
      </c>
      <c r="CE1297" t="s">
        <v>687</v>
      </c>
      <c r="CI1297">
        <v>3</v>
      </c>
      <c r="CJ1297" t="s">
        <v>189</v>
      </c>
      <c r="CK1297">
        <v>41</v>
      </c>
      <c r="CL1297" t="s">
        <v>90</v>
      </c>
    </row>
    <row r="1298" spans="1:90" x14ac:dyDescent="0.3">
      <c r="A1298" t="s">
        <v>72</v>
      </c>
      <c r="B1298" t="s">
        <v>73</v>
      </c>
      <c r="C1298" t="s">
        <v>74</v>
      </c>
      <c r="E1298" t="str">
        <f>"080065869645"</f>
        <v>080065869645</v>
      </c>
      <c r="F1298" s="3">
        <v>45818</v>
      </c>
      <c r="G1298">
        <v>202603</v>
      </c>
      <c r="H1298" t="s">
        <v>75</v>
      </c>
      <c r="I1298" t="s">
        <v>76</v>
      </c>
      <c r="J1298" t="s">
        <v>77</v>
      </c>
      <c r="K1298" t="s">
        <v>78</v>
      </c>
      <c r="L1298" t="s">
        <v>331</v>
      </c>
      <c r="M1298" t="s">
        <v>332</v>
      </c>
      <c r="N1298" t="s">
        <v>1499</v>
      </c>
      <c r="O1298" t="s">
        <v>82</v>
      </c>
      <c r="P1298" t="str">
        <f>"4170043241                    "</f>
        <v xml:space="preserve">4170043241                    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20.9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>
        <v>0</v>
      </c>
      <c r="BD1298">
        <v>0</v>
      </c>
      <c r="BE1298">
        <v>0</v>
      </c>
      <c r="BF1298">
        <v>0</v>
      </c>
      <c r="BG1298">
        <v>0</v>
      </c>
      <c r="BH1298">
        <v>1</v>
      </c>
      <c r="BI1298">
        <v>1</v>
      </c>
      <c r="BJ1298">
        <v>0.2</v>
      </c>
      <c r="BK1298">
        <v>1</v>
      </c>
      <c r="BL1298">
        <v>69.5</v>
      </c>
      <c r="BM1298">
        <v>10.43</v>
      </c>
      <c r="BN1298">
        <v>79.930000000000007</v>
      </c>
      <c r="BO1298">
        <v>79.930000000000007</v>
      </c>
      <c r="BQ1298" t="s">
        <v>1500</v>
      </c>
      <c r="BR1298" t="s">
        <v>84</v>
      </c>
      <c r="BS1298" s="3">
        <v>45819</v>
      </c>
      <c r="BT1298" s="4">
        <v>0.33541666666666664</v>
      </c>
      <c r="BU1298" t="s">
        <v>716</v>
      </c>
      <c r="BV1298" t="s">
        <v>86</v>
      </c>
      <c r="BY1298">
        <v>1200</v>
      </c>
      <c r="CA1298" t="s">
        <v>336</v>
      </c>
      <c r="CC1298" t="s">
        <v>332</v>
      </c>
      <c r="CD1298">
        <v>4000</v>
      </c>
      <c r="CE1298" t="s">
        <v>215</v>
      </c>
      <c r="CI1298">
        <v>1</v>
      </c>
      <c r="CJ1298">
        <v>1</v>
      </c>
      <c r="CK1298">
        <v>21</v>
      </c>
      <c r="CL1298" t="s">
        <v>90</v>
      </c>
    </row>
    <row r="1299" spans="1:90" x14ac:dyDescent="0.3">
      <c r="A1299" t="s">
        <v>72</v>
      </c>
      <c r="B1299" t="s">
        <v>73</v>
      </c>
      <c r="C1299" t="s">
        <v>74</v>
      </c>
      <c r="E1299" t="str">
        <f>"080065869667"</f>
        <v>080065869667</v>
      </c>
      <c r="F1299" s="3">
        <v>45818</v>
      </c>
      <c r="G1299">
        <v>202603</v>
      </c>
      <c r="H1299" t="s">
        <v>75</v>
      </c>
      <c r="I1299" t="s">
        <v>76</v>
      </c>
      <c r="J1299" t="s">
        <v>77</v>
      </c>
      <c r="K1299" t="s">
        <v>78</v>
      </c>
      <c r="L1299" t="s">
        <v>79</v>
      </c>
      <c r="M1299" t="s">
        <v>80</v>
      </c>
      <c r="N1299" t="s">
        <v>893</v>
      </c>
      <c r="O1299" t="s">
        <v>82</v>
      </c>
      <c r="P1299" t="str">
        <f>"4170043254                    "</f>
        <v xml:space="preserve">4170043254                    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29.39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  <c r="BE1299">
        <v>0</v>
      </c>
      <c r="BF1299">
        <v>0</v>
      </c>
      <c r="BG1299">
        <v>0</v>
      </c>
      <c r="BH1299">
        <v>1</v>
      </c>
      <c r="BI1299">
        <v>1</v>
      </c>
      <c r="BJ1299">
        <v>0.2</v>
      </c>
      <c r="BK1299">
        <v>1</v>
      </c>
      <c r="BL1299">
        <v>97.74</v>
      </c>
      <c r="BM1299">
        <v>14.66</v>
      </c>
      <c r="BN1299">
        <v>112.4</v>
      </c>
      <c r="BO1299">
        <v>112.4</v>
      </c>
      <c r="BQ1299" t="s">
        <v>894</v>
      </c>
      <c r="BR1299" t="s">
        <v>84</v>
      </c>
      <c r="BS1299" s="3">
        <v>45819</v>
      </c>
      <c r="BT1299" s="4">
        <v>0.37430555555555556</v>
      </c>
      <c r="BU1299" t="s">
        <v>1834</v>
      </c>
      <c r="BV1299" t="s">
        <v>86</v>
      </c>
      <c r="BY1299">
        <v>1200</v>
      </c>
      <c r="CA1299" t="s">
        <v>896</v>
      </c>
      <c r="CC1299" t="s">
        <v>80</v>
      </c>
      <c r="CD1299">
        <v>1748</v>
      </c>
      <c r="CE1299" t="s">
        <v>215</v>
      </c>
      <c r="CF1299" s="3">
        <v>45819</v>
      </c>
      <c r="CI1299">
        <v>1</v>
      </c>
      <c r="CJ1299">
        <v>1</v>
      </c>
      <c r="CK1299">
        <v>24</v>
      </c>
      <c r="CL1299" t="s">
        <v>90</v>
      </c>
    </row>
    <row r="1300" spans="1:90" x14ac:dyDescent="0.3">
      <c r="A1300" t="s">
        <v>72</v>
      </c>
      <c r="B1300" t="s">
        <v>73</v>
      </c>
      <c r="C1300" t="s">
        <v>74</v>
      </c>
      <c r="E1300" t="str">
        <f>"080065869895"</f>
        <v>080065869895</v>
      </c>
      <c r="F1300" s="3">
        <v>45818</v>
      </c>
      <c r="G1300">
        <v>202603</v>
      </c>
      <c r="H1300" t="s">
        <v>75</v>
      </c>
      <c r="I1300" t="s">
        <v>76</v>
      </c>
      <c r="J1300" t="s">
        <v>77</v>
      </c>
      <c r="K1300" t="s">
        <v>78</v>
      </c>
      <c r="L1300" t="s">
        <v>106</v>
      </c>
      <c r="M1300" t="s">
        <v>107</v>
      </c>
      <c r="N1300" t="s">
        <v>1955</v>
      </c>
      <c r="O1300" t="s">
        <v>94</v>
      </c>
      <c r="P1300" t="str">
        <f>"4170043232                    "</f>
        <v xml:space="preserve">4170043232                    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50.42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0</v>
      </c>
      <c r="BA1300">
        <v>0</v>
      </c>
      <c r="BB1300">
        <v>0</v>
      </c>
      <c r="BC1300">
        <v>0</v>
      </c>
      <c r="BD1300">
        <v>0</v>
      </c>
      <c r="BE1300">
        <v>0</v>
      </c>
      <c r="BF1300">
        <v>0</v>
      </c>
      <c r="BG1300">
        <v>0</v>
      </c>
      <c r="BH1300">
        <v>1</v>
      </c>
      <c r="BI1300">
        <v>21</v>
      </c>
      <c r="BJ1300">
        <v>9.1999999999999993</v>
      </c>
      <c r="BK1300">
        <v>21</v>
      </c>
      <c r="BL1300">
        <v>173.25</v>
      </c>
      <c r="BM1300">
        <v>25.99</v>
      </c>
      <c r="BN1300">
        <v>199.24</v>
      </c>
      <c r="BO1300">
        <v>199.24</v>
      </c>
      <c r="BQ1300" t="s">
        <v>1956</v>
      </c>
      <c r="BR1300" t="s">
        <v>84</v>
      </c>
      <c r="BS1300" s="3">
        <v>45819</v>
      </c>
      <c r="BT1300" s="4">
        <v>0.43333333333333335</v>
      </c>
      <c r="BU1300" t="s">
        <v>1561</v>
      </c>
      <c r="BV1300" t="s">
        <v>86</v>
      </c>
      <c r="BY1300">
        <v>45968</v>
      </c>
      <c r="CA1300" t="s">
        <v>111</v>
      </c>
      <c r="CC1300" t="s">
        <v>107</v>
      </c>
      <c r="CD1300">
        <v>200</v>
      </c>
      <c r="CE1300" t="s">
        <v>1957</v>
      </c>
      <c r="CF1300" s="3">
        <v>45819</v>
      </c>
      <c r="CI1300">
        <v>1</v>
      </c>
      <c r="CJ1300">
        <v>1</v>
      </c>
      <c r="CK1300">
        <v>41</v>
      </c>
      <c r="CL1300" t="s">
        <v>90</v>
      </c>
    </row>
    <row r="1301" spans="1:90" x14ac:dyDescent="0.3">
      <c r="A1301" t="s">
        <v>72</v>
      </c>
      <c r="B1301" t="s">
        <v>73</v>
      </c>
      <c r="C1301" t="s">
        <v>74</v>
      </c>
      <c r="E1301" t="str">
        <f>"080065870015"</f>
        <v>080065870015</v>
      </c>
      <c r="F1301" s="3">
        <v>45818</v>
      </c>
      <c r="G1301">
        <v>202603</v>
      </c>
      <c r="H1301" t="s">
        <v>75</v>
      </c>
      <c r="I1301" t="s">
        <v>76</v>
      </c>
      <c r="J1301" t="s">
        <v>77</v>
      </c>
      <c r="K1301" t="s">
        <v>78</v>
      </c>
      <c r="L1301" t="s">
        <v>106</v>
      </c>
      <c r="M1301" t="s">
        <v>107</v>
      </c>
      <c r="N1301" t="s">
        <v>1141</v>
      </c>
      <c r="O1301" t="s">
        <v>82</v>
      </c>
      <c r="P1301" t="str">
        <f>"4170043117                    "</f>
        <v xml:space="preserve">4170043117                    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20.9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  <c r="BB1301">
        <v>0</v>
      </c>
      <c r="BC1301">
        <v>0</v>
      </c>
      <c r="BD1301">
        <v>0</v>
      </c>
      <c r="BE1301">
        <v>0</v>
      </c>
      <c r="BF1301">
        <v>0</v>
      </c>
      <c r="BG1301">
        <v>0</v>
      </c>
      <c r="BH1301">
        <v>1</v>
      </c>
      <c r="BI1301">
        <v>2</v>
      </c>
      <c r="BJ1301">
        <v>0.9</v>
      </c>
      <c r="BK1301">
        <v>2</v>
      </c>
      <c r="BL1301">
        <v>69.5</v>
      </c>
      <c r="BM1301">
        <v>10.43</v>
      </c>
      <c r="BN1301">
        <v>79.930000000000007</v>
      </c>
      <c r="BO1301">
        <v>79.930000000000007</v>
      </c>
      <c r="BQ1301" t="s">
        <v>1142</v>
      </c>
      <c r="BR1301" t="s">
        <v>84</v>
      </c>
      <c r="BS1301" s="3">
        <v>45819</v>
      </c>
      <c r="BT1301" s="4">
        <v>0.44444444444444442</v>
      </c>
      <c r="BU1301" t="s">
        <v>1750</v>
      </c>
      <c r="BV1301" t="s">
        <v>90</v>
      </c>
      <c r="BW1301" t="s">
        <v>144</v>
      </c>
      <c r="BX1301" t="s">
        <v>1958</v>
      </c>
      <c r="BY1301">
        <v>4275</v>
      </c>
      <c r="CA1301" t="s">
        <v>1751</v>
      </c>
      <c r="CC1301" t="s">
        <v>107</v>
      </c>
      <c r="CD1301">
        <v>184</v>
      </c>
      <c r="CE1301" t="s">
        <v>292</v>
      </c>
      <c r="CF1301" s="3">
        <v>45819</v>
      </c>
      <c r="CI1301">
        <v>1</v>
      </c>
      <c r="CJ1301">
        <v>1</v>
      </c>
      <c r="CK1301">
        <v>21</v>
      </c>
      <c r="CL1301" t="s">
        <v>90</v>
      </c>
    </row>
    <row r="1302" spans="1:90" x14ac:dyDescent="0.3">
      <c r="A1302" t="s">
        <v>72</v>
      </c>
      <c r="B1302" t="s">
        <v>73</v>
      </c>
      <c r="C1302" t="s">
        <v>74</v>
      </c>
      <c r="E1302" t="str">
        <f>"080065870036"</f>
        <v>080065870036</v>
      </c>
      <c r="F1302" s="3">
        <v>45818</v>
      </c>
      <c r="G1302">
        <v>202603</v>
      </c>
      <c r="H1302" t="s">
        <v>75</v>
      </c>
      <c r="I1302" t="s">
        <v>76</v>
      </c>
      <c r="J1302" t="s">
        <v>77</v>
      </c>
      <c r="K1302" t="s">
        <v>78</v>
      </c>
      <c r="L1302" t="s">
        <v>350</v>
      </c>
      <c r="M1302" t="s">
        <v>351</v>
      </c>
      <c r="N1302" t="s">
        <v>1959</v>
      </c>
      <c r="O1302" t="s">
        <v>82</v>
      </c>
      <c r="P1302" t="str">
        <f>"4170043244                    "</f>
        <v xml:space="preserve">4170043244                    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20.9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</v>
      </c>
      <c r="AX1302">
        <v>0</v>
      </c>
      <c r="AY1302">
        <v>0</v>
      </c>
      <c r="AZ1302">
        <v>0</v>
      </c>
      <c r="BA1302">
        <v>0</v>
      </c>
      <c r="BB1302">
        <v>0</v>
      </c>
      <c r="BC1302">
        <v>0</v>
      </c>
      <c r="BD1302">
        <v>0</v>
      </c>
      <c r="BE1302">
        <v>0</v>
      </c>
      <c r="BF1302">
        <v>0</v>
      </c>
      <c r="BG1302">
        <v>0</v>
      </c>
      <c r="BH1302">
        <v>1</v>
      </c>
      <c r="BI1302">
        <v>1</v>
      </c>
      <c r="BJ1302">
        <v>0.2</v>
      </c>
      <c r="BK1302">
        <v>1</v>
      </c>
      <c r="BL1302">
        <v>69.5</v>
      </c>
      <c r="BM1302">
        <v>10.43</v>
      </c>
      <c r="BN1302">
        <v>79.930000000000007</v>
      </c>
      <c r="BO1302">
        <v>79.930000000000007</v>
      </c>
      <c r="BQ1302" t="s">
        <v>1960</v>
      </c>
      <c r="BR1302" t="s">
        <v>84</v>
      </c>
      <c r="BS1302" s="3">
        <v>45819</v>
      </c>
      <c r="BT1302" s="4">
        <v>0.36388888888888887</v>
      </c>
      <c r="BU1302" t="s">
        <v>1353</v>
      </c>
      <c r="BV1302" t="s">
        <v>86</v>
      </c>
      <c r="BY1302">
        <v>1200</v>
      </c>
      <c r="CA1302" t="s">
        <v>355</v>
      </c>
      <c r="CC1302" t="s">
        <v>351</v>
      </c>
      <c r="CD1302">
        <v>157</v>
      </c>
      <c r="CE1302" t="s">
        <v>215</v>
      </c>
      <c r="CF1302" s="3">
        <v>45819</v>
      </c>
      <c r="CI1302">
        <v>1</v>
      </c>
      <c r="CJ1302">
        <v>1</v>
      </c>
      <c r="CK1302">
        <v>21</v>
      </c>
      <c r="CL1302" t="s">
        <v>90</v>
      </c>
    </row>
    <row r="1303" spans="1:90" x14ac:dyDescent="0.3">
      <c r="A1303" t="s">
        <v>72</v>
      </c>
      <c r="B1303" t="s">
        <v>73</v>
      </c>
      <c r="C1303" t="s">
        <v>74</v>
      </c>
      <c r="E1303" t="str">
        <f>"080065870057"</f>
        <v>080065870057</v>
      </c>
      <c r="F1303" s="3">
        <v>45818</v>
      </c>
      <c r="G1303">
        <v>202603</v>
      </c>
      <c r="H1303" t="s">
        <v>75</v>
      </c>
      <c r="I1303" t="s">
        <v>76</v>
      </c>
      <c r="J1303" t="s">
        <v>77</v>
      </c>
      <c r="K1303" t="s">
        <v>78</v>
      </c>
      <c r="L1303" t="s">
        <v>75</v>
      </c>
      <c r="M1303" t="s">
        <v>76</v>
      </c>
      <c r="N1303" t="s">
        <v>525</v>
      </c>
      <c r="O1303" t="s">
        <v>82</v>
      </c>
      <c r="P1303" t="str">
        <f>"4170043283                    "</f>
        <v xml:space="preserve">4170043283                    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16.32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</v>
      </c>
      <c r="AX1303">
        <v>0</v>
      </c>
      <c r="AY1303">
        <v>0</v>
      </c>
      <c r="AZ1303">
        <v>0</v>
      </c>
      <c r="BA1303">
        <v>0</v>
      </c>
      <c r="BB1303">
        <v>0</v>
      </c>
      <c r="BC1303">
        <v>0</v>
      </c>
      <c r="BD1303">
        <v>0</v>
      </c>
      <c r="BE1303">
        <v>0</v>
      </c>
      <c r="BF1303">
        <v>0</v>
      </c>
      <c r="BG1303">
        <v>0</v>
      </c>
      <c r="BH1303">
        <v>1</v>
      </c>
      <c r="BI1303">
        <v>1</v>
      </c>
      <c r="BJ1303">
        <v>0.2</v>
      </c>
      <c r="BK1303">
        <v>1</v>
      </c>
      <c r="BL1303">
        <v>54.28</v>
      </c>
      <c r="BM1303">
        <v>8.14</v>
      </c>
      <c r="BN1303">
        <v>62.42</v>
      </c>
      <c r="BO1303">
        <v>62.42</v>
      </c>
      <c r="BQ1303" t="s">
        <v>526</v>
      </c>
      <c r="BR1303" t="s">
        <v>84</v>
      </c>
      <c r="BS1303" s="3">
        <v>45819</v>
      </c>
      <c r="BT1303" s="4">
        <v>0.33888888888888891</v>
      </c>
      <c r="BU1303" t="s">
        <v>1383</v>
      </c>
      <c r="BV1303" t="s">
        <v>86</v>
      </c>
      <c r="BY1303">
        <v>1200</v>
      </c>
      <c r="CA1303" t="s">
        <v>1022</v>
      </c>
      <c r="CC1303" t="s">
        <v>76</v>
      </c>
      <c r="CD1303">
        <v>1645</v>
      </c>
      <c r="CE1303" t="s">
        <v>215</v>
      </c>
      <c r="CF1303" s="3">
        <v>45819</v>
      </c>
      <c r="CI1303">
        <v>1</v>
      </c>
      <c r="CJ1303">
        <v>1</v>
      </c>
      <c r="CK1303">
        <v>22</v>
      </c>
      <c r="CL1303" t="s">
        <v>90</v>
      </c>
    </row>
    <row r="1304" spans="1:90" x14ac:dyDescent="0.3">
      <c r="A1304" t="s">
        <v>72</v>
      </c>
      <c r="B1304" t="s">
        <v>73</v>
      </c>
      <c r="C1304" t="s">
        <v>74</v>
      </c>
      <c r="E1304" t="str">
        <f>"080065870060"</f>
        <v>080065870060</v>
      </c>
      <c r="F1304" s="3">
        <v>45818</v>
      </c>
      <c r="G1304">
        <v>202603</v>
      </c>
      <c r="H1304" t="s">
        <v>75</v>
      </c>
      <c r="I1304" t="s">
        <v>76</v>
      </c>
      <c r="J1304" t="s">
        <v>77</v>
      </c>
      <c r="K1304" t="s">
        <v>78</v>
      </c>
      <c r="L1304" t="s">
        <v>91</v>
      </c>
      <c r="M1304" t="s">
        <v>92</v>
      </c>
      <c r="N1304" t="s">
        <v>540</v>
      </c>
      <c r="O1304" t="s">
        <v>82</v>
      </c>
      <c r="P1304" t="str">
        <f>"4170043300                    "</f>
        <v xml:space="preserve">4170043300                    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41.78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0</v>
      </c>
      <c r="BE1304">
        <v>0</v>
      </c>
      <c r="BF1304">
        <v>0</v>
      </c>
      <c r="BG1304">
        <v>0</v>
      </c>
      <c r="BH1304">
        <v>1</v>
      </c>
      <c r="BI1304">
        <v>1</v>
      </c>
      <c r="BJ1304">
        <v>3.6</v>
      </c>
      <c r="BK1304">
        <v>4</v>
      </c>
      <c r="BL1304">
        <v>138.94</v>
      </c>
      <c r="BM1304">
        <v>20.84</v>
      </c>
      <c r="BN1304">
        <v>159.78</v>
      </c>
      <c r="BO1304">
        <v>159.78</v>
      </c>
      <c r="BQ1304" t="s">
        <v>541</v>
      </c>
      <c r="BR1304" t="s">
        <v>84</v>
      </c>
      <c r="BS1304" s="3">
        <v>45819</v>
      </c>
      <c r="BT1304" s="4">
        <v>0.40277777777777779</v>
      </c>
      <c r="BU1304" t="s">
        <v>1869</v>
      </c>
      <c r="BV1304" t="s">
        <v>86</v>
      </c>
      <c r="BY1304">
        <v>17920</v>
      </c>
      <c r="CA1304" t="s">
        <v>291</v>
      </c>
      <c r="CC1304" t="s">
        <v>92</v>
      </c>
      <c r="CD1304">
        <v>7441</v>
      </c>
      <c r="CE1304" t="s">
        <v>166</v>
      </c>
      <c r="CI1304">
        <v>1</v>
      </c>
      <c r="CJ1304">
        <v>1</v>
      </c>
      <c r="CK1304">
        <v>21</v>
      </c>
      <c r="CL1304" t="s">
        <v>90</v>
      </c>
    </row>
    <row r="1305" spans="1:90" x14ac:dyDescent="0.3">
      <c r="A1305" t="s">
        <v>72</v>
      </c>
      <c r="B1305" t="s">
        <v>73</v>
      </c>
      <c r="C1305" t="s">
        <v>74</v>
      </c>
      <c r="E1305" t="str">
        <f>"080065870080"</f>
        <v>080065870080</v>
      </c>
      <c r="F1305" s="3">
        <v>45818</v>
      </c>
      <c r="G1305">
        <v>202603</v>
      </c>
      <c r="H1305" t="s">
        <v>75</v>
      </c>
      <c r="I1305" t="s">
        <v>76</v>
      </c>
      <c r="J1305" t="s">
        <v>77</v>
      </c>
      <c r="K1305" t="s">
        <v>78</v>
      </c>
      <c r="L1305" t="s">
        <v>331</v>
      </c>
      <c r="M1305" t="s">
        <v>332</v>
      </c>
      <c r="N1305" t="s">
        <v>1084</v>
      </c>
      <c r="O1305" t="s">
        <v>82</v>
      </c>
      <c r="P1305" t="str">
        <f>"4170043251                    "</f>
        <v xml:space="preserve">4170043251                    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20.9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>
        <v>0</v>
      </c>
      <c r="BD1305">
        <v>0</v>
      </c>
      <c r="BE1305">
        <v>0</v>
      </c>
      <c r="BF1305">
        <v>0</v>
      </c>
      <c r="BG1305">
        <v>0</v>
      </c>
      <c r="BH1305">
        <v>1</v>
      </c>
      <c r="BI1305">
        <v>1</v>
      </c>
      <c r="BJ1305">
        <v>0.2</v>
      </c>
      <c r="BK1305">
        <v>1</v>
      </c>
      <c r="BL1305">
        <v>69.5</v>
      </c>
      <c r="BM1305">
        <v>10.43</v>
      </c>
      <c r="BN1305">
        <v>79.930000000000007</v>
      </c>
      <c r="BO1305">
        <v>79.930000000000007</v>
      </c>
      <c r="BQ1305" t="s">
        <v>1085</v>
      </c>
      <c r="BR1305" t="s">
        <v>84</v>
      </c>
      <c r="BS1305" s="3">
        <v>45819</v>
      </c>
      <c r="BT1305" s="4">
        <v>0.48125000000000001</v>
      </c>
      <c r="BU1305" t="s">
        <v>1961</v>
      </c>
      <c r="BV1305" t="s">
        <v>90</v>
      </c>
      <c r="BW1305" t="s">
        <v>212</v>
      </c>
      <c r="BX1305" t="s">
        <v>837</v>
      </c>
      <c r="BY1305">
        <v>1200</v>
      </c>
      <c r="CA1305" t="s">
        <v>179</v>
      </c>
      <c r="CC1305" t="s">
        <v>332</v>
      </c>
      <c r="CD1305">
        <v>4000</v>
      </c>
      <c r="CE1305" t="s">
        <v>215</v>
      </c>
      <c r="CI1305">
        <v>1</v>
      </c>
      <c r="CJ1305">
        <v>1</v>
      </c>
      <c r="CK1305">
        <v>21</v>
      </c>
      <c r="CL1305" t="s">
        <v>90</v>
      </c>
    </row>
    <row r="1306" spans="1:90" x14ac:dyDescent="0.3">
      <c r="A1306" t="s">
        <v>72</v>
      </c>
      <c r="B1306" t="s">
        <v>73</v>
      </c>
      <c r="C1306" t="s">
        <v>74</v>
      </c>
      <c r="E1306" t="str">
        <f>"080065870113"</f>
        <v>080065870113</v>
      </c>
      <c r="F1306" s="3">
        <v>45818</v>
      </c>
      <c r="G1306">
        <v>202603</v>
      </c>
      <c r="H1306" t="s">
        <v>75</v>
      </c>
      <c r="I1306" t="s">
        <v>76</v>
      </c>
      <c r="J1306" t="s">
        <v>77</v>
      </c>
      <c r="K1306" t="s">
        <v>78</v>
      </c>
      <c r="L1306" t="s">
        <v>302</v>
      </c>
      <c r="M1306" t="s">
        <v>303</v>
      </c>
      <c r="N1306" t="s">
        <v>304</v>
      </c>
      <c r="O1306" t="s">
        <v>82</v>
      </c>
      <c r="P1306" t="str">
        <f>"4170043189                    "</f>
        <v xml:space="preserve">4170043189                    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40.49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>
        <v>0</v>
      </c>
      <c r="BD1306">
        <v>0</v>
      </c>
      <c r="BE1306">
        <v>0</v>
      </c>
      <c r="BF1306">
        <v>0</v>
      </c>
      <c r="BG1306">
        <v>0</v>
      </c>
      <c r="BH1306">
        <v>1</v>
      </c>
      <c r="BI1306">
        <v>1</v>
      </c>
      <c r="BJ1306">
        <v>0.2</v>
      </c>
      <c r="BK1306">
        <v>1</v>
      </c>
      <c r="BL1306">
        <v>134.65</v>
      </c>
      <c r="BM1306">
        <v>20.2</v>
      </c>
      <c r="BN1306">
        <v>154.85</v>
      </c>
      <c r="BO1306">
        <v>154.85</v>
      </c>
      <c r="BQ1306" t="s">
        <v>305</v>
      </c>
      <c r="BR1306" t="s">
        <v>84</v>
      </c>
      <c r="BS1306" s="3">
        <v>45819</v>
      </c>
      <c r="BT1306" s="4">
        <v>0.38124999999999998</v>
      </c>
      <c r="BU1306" t="s">
        <v>1962</v>
      </c>
      <c r="BV1306" t="s">
        <v>86</v>
      </c>
      <c r="BY1306">
        <v>1200</v>
      </c>
      <c r="CC1306" t="s">
        <v>303</v>
      </c>
      <c r="CD1306">
        <v>299</v>
      </c>
      <c r="CE1306" t="s">
        <v>215</v>
      </c>
      <c r="CI1306">
        <v>1</v>
      </c>
      <c r="CJ1306">
        <v>1</v>
      </c>
      <c r="CK1306">
        <v>23</v>
      </c>
      <c r="CL1306" t="s">
        <v>90</v>
      </c>
    </row>
    <row r="1307" spans="1:90" x14ac:dyDescent="0.3">
      <c r="A1307" t="s">
        <v>72</v>
      </c>
      <c r="B1307" t="s">
        <v>73</v>
      </c>
      <c r="C1307" t="s">
        <v>74</v>
      </c>
      <c r="E1307" t="str">
        <f>"080065870144"</f>
        <v>080065870144</v>
      </c>
      <c r="F1307" s="3">
        <v>45818</v>
      </c>
      <c r="G1307">
        <v>202603</v>
      </c>
      <c r="H1307" t="s">
        <v>75</v>
      </c>
      <c r="I1307" t="s">
        <v>76</v>
      </c>
      <c r="J1307" t="s">
        <v>77</v>
      </c>
      <c r="K1307" t="s">
        <v>78</v>
      </c>
      <c r="L1307" t="s">
        <v>106</v>
      </c>
      <c r="M1307" t="s">
        <v>107</v>
      </c>
      <c r="N1307" t="s">
        <v>1935</v>
      </c>
      <c r="O1307" t="s">
        <v>82</v>
      </c>
      <c r="P1307" t="str">
        <f>"4170043212                    "</f>
        <v xml:space="preserve">4170043212                    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20.9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0</v>
      </c>
      <c r="BE1307">
        <v>0</v>
      </c>
      <c r="BF1307">
        <v>0</v>
      </c>
      <c r="BG1307">
        <v>0</v>
      </c>
      <c r="BH1307">
        <v>1</v>
      </c>
      <c r="BI1307">
        <v>1</v>
      </c>
      <c r="BJ1307">
        <v>0.2</v>
      </c>
      <c r="BK1307">
        <v>1</v>
      </c>
      <c r="BL1307">
        <v>69.5</v>
      </c>
      <c r="BM1307">
        <v>10.43</v>
      </c>
      <c r="BN1307">
        <v>79.930000000000007</v>
      </c>
      <c r="BO1307">
        <v>79.930000000000007</v>
      </c>
      <c r="BQ1307" t="s">
        <v>1936</v>
      </c>
      <c r="BR1307" t="s">
        <v>84</v>
      </c>
      <c r="BS1307" s="3">
        <v>45819</v>
      </c>
      <c r="BT1307" s="4">
        <v>0.76875000000000004</v>
      </c>
      <c r="BU1307" t="s">
        <v>1937</v>
      </c>
      <c r="BV1307" t="s">
        <v>90</v>
      </c>
      <c r="BW1307" t="s">
        <v>144</v>
      </c>
      <c r="BX1307" t="s">
        <v>1963</v>
      </c>
      <c r="BY1307">
        <v>1200</v>
      </c>
      <c r="CA1307" t="s">
        <v>1938</v>
      </c>
      <c r="CC1307" t="s">
        <v>107</v>
      </c>
      <c r="CD1307">
        <v>183</v>
      </c>
      <c r="CE1307" t="s">
        <v>215</v>
      </c>
      <c r="CF1307" s="3">
        <v>45819</v>
      </c>
      <c r="CI1307">
        <v>1</v>
      </c>
      <c r="CJ1307">
        <v>1</v>
      </c>
      <c r="CK1307">
        <v>21</v>
      </c>
      <c r="CL1307" t="s">
        <v>90</v>
      </c>
    </row>
    <row r="1308" spans="1:90" x14ac:dyDescent="0.3">
      <c r="A1308" t="s">
        <v>72</v>
      </c>
      <c r="B1308" t="s">
        <v>73</v>
      </c>
      <c r="C1308" t="s">
        <v>74</v>
      </c>
      <c r="E1308" t="str">
        <f>"080065870204"</f>
        <v>080065870204</v>
      </c>
      <c r="F1308" s="3">
        <v>45818</v>
      </c>
      <c r="G1308">
        <v>202603</v>
      </c>
      <c r="H1308" t="s">
        <v>75</v>
      </c>
      <c r="I1308" t="s">
        <v>76</v>
      </c>
      <c r="J1308" t="s">
        <v>77</v>
      </c>
      <c r="K1308" t="s">
        <v>78</v>
      </c>
      <c r="L1308" t="s">
        <v>331</v>
      </c>
      <c r="M1308" t="s">
        <v>332</v>
      </c>
      <c r="N1308" t="s">
        <v>1964</v>
      </c>
      <c r="O1308" t="s">
        <v>82</v>
      </c>
      <c r="P1308" t="str">
        <f>"4170043125                    "</f>
        <v xml:space="preserve">4170043125                    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31.34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>
        <v>0</v>
      </c>
      <c r="BD1308">
        <v>0</v>
      </c>
      <c r="BE1308">
        <v>0</v>
      </c>
      <c r="BF1308">
        <v>0</v>
      </c>
      <c r="BG1308">
        <v>0</v>
      </c>
      <c r="BH1308">
        <v>1</v>
      </c>
      <c r="BI1308">
        <v>3</v>
      </c>
      <c r="BJ1308">
        <v>1.6</v>
      </c>
      <c r="BK1308">
        <v>3</v>
      </c>
      <c r="BL1308">
        <v>104.22</v>
      </c>
      <c r="BM1308">
        <v>15.63</v>
      </c>
      <c r="BN1308">
        <v>119.85</v>
      </c>
      <c r="BO1308">
        <v>119.85</v>
      </c>
      <c r="BQ1308" t="s">
        <v>1965</v>
      </c>
      <c r="BR1308" t="s">
        <v>84</v>
      </c>
      <c r="BS1308" s="3">
        <v>45819</v>
      </c>
      <c r="BT1308" s="4">
        <v>0.34375</v>
      </c>
      <c r="BU1308" t="s">
        <v>1966</v>
      </c>
      <c r="BV1308" t="s">
        <v>86</v>
      </c>
      <c r="BY1308">
        <v>8064</v>
      </c>
      <c r="CA1308" t="s">
        <v>1967</v>
      </c>
      <c r="CC1308" t="s">
        <v>332</v>
      </c>
      <c r="CD1308">
        <v>4060</v>
      </c>
      <c r="CE1308" t="s">
        <v>166</v>
      </c>
      <c r="CI1308">
        <v>1</v>
      </c>
      <c r="CJ1308">
        <v>1</v>
      </c>
      <c r="CK1308">
        <v>21</v>
      </c>
      <c r="CL1308" t="s">
        <v>90</v>
      </c>
    </row>
    <row r="1309" spans="1:90" x14ac:dyDescent="0.3">
      <c r="A1309" t="s">
        <v>72</v>
      </c>
      <c r="B1309" t="s">
        <v>73</v>
      </c>
      <c r="C1309" t="s">
        <v>74</v>
      </c>
      <c r="E1309" t="str">
        <f>"080065870262"</f>
        <v>080065870262</v>
      </c>
      <c r="F1309" s="3">
        <v>45818</v>
      </c>
      <c r="G1309">
        <v>202603</v>
      </c>
      <c r="H1309" t="s">
        <v>75</v>
      </c>
      <c r="I1309" t="s">
        <v>76</v>
      </c>
      <c r="J1309" t="s">
        <v>77</v>
      </c>
      <c r="K1309" t="s">
        <v>78</v>
      </c>
      <c r="L1309" t="s">
        <v>91</v>
      </c>
      <c r="M1309" t="s">
        <v>92</v>
      </c>
      <c r="N1309" t="s">
        <v>763</v>
      </c>
      <c r="O1309" t="s">
        <v>82</v>
      </c>
      <c r="P1309" t="str">
        <f>"4170043181                    "</f>
        <v xml:space="preserve">4170043181                    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20.9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0</v>
      </c>
      <c r="BE1309">
        <v>0</v>
      </c>
      <c r="BF1309">
        <v>0</v>
      </c>
      <c r="BG1309">
        <v>0</v>
      </c>
      <c r="BH1309">
        <v>1</v>
      </c>
      <c r="BI1309">
        <v>2</v>
      </c>
      <c r="BJ1309">
        <v>1.2</v>
      </c>
      <c r="BK1309">
        <v>2</v>
      </c>
      <c r="BL1309">
        <v>69.5</v>
      </c>
      <c r="BM1309">
        <v>10.43</v>
      </c>
      <c r="BN1309">
        <v>79.930000000000007</v>
      </c>
      <c r="BO1309">
        <v>79.930000000000007</v>
      </c>
      <c r="BQ1309" t="s">
        <v>764</v>
      </c>
      <c r="BR1309" t="s">
        <v>84</v>
      </c>
      <c r="BS1309" s="3">
        <v>45819</v>
      </c>
      <c r="BT1309" s="4">
        <v>0.50069444444444444</v>
      </c>
      <c r="BU1309" t="s">
        <v>765</v>
      </c>
      <c r="BV1309" t="s">
        <v>90</v>
      </c>
      <c r="BW1309" t="s">
        <v>1209</v>
      </c>
      <c r="BX1309" t="s">
        <v>344</v>
      </c>
      <c r="BY1309">
        <v>5904</v>
      </c>
      <c r="CA1309" t="s">
        <v>767</v>
      </c>
      <c r="CC1309" t="s">
        <v>92</v>
      </c>
      <c r="CD1309">
        <v>7550</v>
      </c>
      <c r="CE1309" t="s">
        <v>166</v>
      </c>
      <c r="CI1309">
        <v>1</v>
      </c>
      <c r="CJ1309">
        <v>1</v>
      </c>
      <c r="CK1309">
        <v>21</v>
      </c>
      <c r="CL1309" t="s">
        <v>90</v>
      </c>
    </row>
    <row r="1310" spans="1:90" x14ac:dyDescent="0.3">
      <c r="A1310" t="s">
        <v>72</v>
      </c>
      <c r="B1310" t="s">
        <v>73</v>
      </c>
      <c r="C1310" t="s">
        <v>74</v>
      </c>
      <c r="E1310" t="str">
        <f>"080065870359"</f>
        <v>080065870359</v>
      </c>
      <c r="F1310" s="3">
        <v>45818</v>
      </c>
      <c r="G1310">
        <v>202603</v>
      </c>
      <c r="H1310" t="s">
        <v>75</v>
      </c>
      <c r="I1310" t="s">
        <v>76</v>
      </c>
      <c r="J1310" t="s">
        <v>77</v>
      </c>
      <c r="K1310" t="s">
        <v>78</v>
      </c>
      <c r="L1310" t="s">
        <v>100</v>
      </c>
      <c r="M1310" t="s">
        <v>101</v>
      </c>
      <c r="N1310" t="s">
        <v>585</v>
      </c>
      <c r="O1310" t="s">
        <v>82</v>
      </c>
      <c r="P1310" t="str">
        <f>"4170043317                    "</f>
        <v xml:space="preserve">4170043317                    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20.9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0</v>
      </c>
      <c r="BE1310">
        <v>0</v>
      </c>
      <c r="BF1310">
        <v>0</v>
      </c>
      <c r="BG1310">
        <v>0</v>
      </c>
      <c r="BH1310">
        <v>1</v>
      </c>
      <c r="BI1310">
        <v>1</v>
      </c>
      <c r="BJ1310">
        <v>0.2</v>
      </c>
      <c r="BK1310">
        <v>1</v>
      </c>
      <c r="BL1310">
        <v>69.5</v>
      </c>
      <c r="BM1310">
        <v>10.43</v>
      </c>
      <c r="BN1310">
        <v>79.930000000000007</v>
      </c>
      <c r="BO1310">
        <v>79.930000000000007</v>
      </c>
      <c r="BQ1310" t="s">
        <v>586</v>
      </c>
      <c r="BR1310" t="s">
        <v>84</v>
      </c>
      <c r="BS1310" s="3">
        <v>45819</v>
      </c>
      <c r="BT1310" s="4">
        <v>0.40347222222222223</v>
      </c>
      <c r="BU1310" t="s">
        <v>783</v>
      </c>
      <c r="BV1310" t="s">
        <v>86</v>
      </c>
      <c r="BY1310">
        <v>1200</v>
      </c>
      <c r="CA1310" t="s">
        <v>589</v>
      </c>
      <c r="CC1310" t="s">
        <v>101</v>
      </c>
      <c r="CD1310">
        <v>6001</v>
      </c>
      <c r="CE1310" t="s">
        <v>215</v>
      </c>
      <c r="CF1310" s="3">
        <v>45819</v>
      </c>
      <c r="CI1310">
        <v>1</v>
      </c>
      <c r="CJ1310">
        <v>1</v>
      </c>
      <c r="CK1310">
        <v>21</v>
      </c>
      <c r="CL1310" t="s">
        <v>90</v>
      </c>
    </row>
    <row r="1311" spans="1:90" x14ac:dyDescent="0.3">
      <c r="A1311" t="s">
        <v>72</v>
      </c>
      <c r="B1311" t="s">
        <v>73</v>
      </c>
      <c r="C1311" t="s">
        <v>74</v>
      </c>
      <c r="E1311" t="str">
        <f>"080065870372"</f>
        <v>080065870372</v>
      </c>
      <c r="F1311" s="3">
        <v>45818</v>
      </c>
      <c r="G1311">
        <v>202603</v>
      </c>
      <c r="H1311" t="s">
        <v>75</v>
      </c>
      <c r="I1311" t="s">
        <v>76</v>
      </c>
      <c r="J1311" t="s">
        <v>77</v>
      </c>
      <c r="K1311" t="s">
        <v>78</v>
      </c>
      <c r="L1311" t="s">
        <v>504</v>
      </c>
      <c r="M1311" t="s">
        <v>505</v>
      </c>
      <c r="N1311" t="s">
        <v>506</v>
      </c>
      <c r="O1311" t="s">
        <v>82</v>
      </c>
      <c r="P1311" t="str">
        <f>"4170043256                    "</f>
        <v xml:space="preserve">4170043256                    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40.49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>
        <v>0</v>
      </c>
      <c r="BD1311">
        <v>0</v>
      </c>
      <c r="BE1311">
        <v>0</v>
      </c>
      <c r="BF1311">
        <v>0</v>
      </c>
      <c r="BG1311">
        <v>0</v>
      </c>
      <c r="BH1311">
        <v>1</v>
      </c>
      <c r="BI1311">
        <v>1</v>
      </c>
      <c r="BJ1311">
        <v>0.2</v>
      </c>
      <c r="BK1311">
        <v>1</v>
      </c>
      <c r="BL1311">
        <v>134.65</v>
      </c>
      <c r="BM1311">
        <v>20.2</v>
      </c>
      <c r="BN1311">
        <v>154.85</v>
      </c>
      <c r="BO1311">
        <v>154.85</v>
      </c>
      <c r="BQ1311" t="s">
        <v>507</v>
      </c>
      <c r="BR1311" t="s">
        <v>84</v>
      </c>
      <c r="BS1311" s="3">
        <v>45819</v>
      </c>
      <c r="BT1311" s="4">
        <v>0.35069444444444442</v>
      </c>
      <c r="BU1311" t="s">
        <v>508</v>
      </c>
      <c r="BV1311" t="s">
        <v>86</v>
      </c>
      <c r="BY1311">
        <v>1200</v>
      </c>
      <c r="CC1311" t="s">
        <v>505</v>
      </c>
      <c r="CD1311">
        <v>2740</v>
      </c>
      <c r="CE1311" t="s">
        <v>215</v>
      </c>
      <c r="CI1311">
        <v>1</v>
      </c>
      <c r="CJ1311">
        <v>1</v>
      </c>
      <c r="CK1311">
        <v>23</v>
      </c>
      <c r="CL1311" t="s">
        <v>90</v>
      </c>
    </row>
    <row r="1312" spans="1:90" x14ac:dyDescent="0.3">
      <c r="A1312" t="s">
        <v>72</v>
      </c>
      <c r="B1312" t="s">
        <v>73</v>
      </c>
      <c r="C1312" t="s">
        <v>74</v>
      </c>
      <c r="E1312" t="str">
        <f>"080065870396"</f>
        <v>080065870396</v>
      </c>
      <c r="F1312" s="3">
        <v>45818</v>
      </c>
      <c r="G1312">
        <v>202603</v>
      </c>
      <c r="H1312" t="s">
        <v>75</v>
      </c>
      <c r="I1312" t="s">
        <v>76</v>
      </c>
      <c r="J1312" t="s">
        <v>77</v>
      </c>
      <c r="K1312" t="s">
        <v>78</v>
      </c>
      <c r="L1312" t="s">
        <v>75</v>
      </c>
      <c r="M1312" t="s">
        <v>76</v>
      </c>
      <c r="N1312" t="s">
        <v>1968</v>
      </c>
      <c r="O1312" t="s">
        <v>82</v>
      </c>
      <c r="P1312" t="str">
        <f>"4170043269                    "</f>
        <v xml:space="preserve">4170043269                    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16.32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  <c r="BE1312">
        <v>0</v>
      </c>
      <c r="BF1312">
        <v>0</v>
      </c>
      <c r="BG1312">
        <v>0</v>
      </c>
      <c r="BH1312">
        <v>1</v>
      </c>
      <c r="BI1312">
        <v>1</v>
      </c>
      <c r="BJ1312">
        <v>0.2</v>
      </c>
      <c r="BK1312">
        <v>1</v>
      </c>
      <c r="BL1312">
        <v>54.28</v>
      </c>
      <c r="BM1312">
        <v>8.14</v>
      </c>
      <c r="BN1312">
        <v>62.42</v>
      </c>
      <c r="BO1312">
        <v>62.42</v>
      </c>
      <c r="BQ1312" t="s">
        <v>1969</v>
      </c>
      <c r="BR1312" t="s">
        <v>84</v>
      </c>
      <c r="BS1312" s="3">
        <v>45819</v>
      </c>
      <c r="BT1312" s="4">
        <v>0.41249999999999998</v>
      </c>
      <c r="BU1312" t="s">
        <v>1970</v>
      </c>
      <c r="BV1312" t="s">
        <v>86</v>
      </c>
      <c r="BY1312">
        <v>1200</v>
      </c>
      <c r="CA1312" t="s">
        <v>1087</v>
      </c>
      <c r="CC1312" t="s">
        <v>76</v>
      </c>
      <c r="CD1312">
        <v>1620</v>
      </c>
      <c r="CE1312" t="s">
        <v>215</v>
      </c>
      <c r="CF1312" s="3">
        <v>45819</v>
      </c>
      <c r="CI1312">
        <v>1</v>
      </c>
      <c r="CJ1312">
        <v>1</v>
      </c>
      <c r="CK1312">
        <v>22</v>
      </c>
      <c r="CL1312" t="s">
        <v>90</v>
      </c>
    </row>
    <row r="1313" spans="1:90" x14ac:dyDescent="0.3">
      <c r="A1313" t="s">
        <v>72</v>
      </c>
      <c r="B1313" t="s">
        <v>73</v>
      </c>
      <c r="C1313" t="s">
        <v>74</v>
      </c>
      <c r="E1313" t="str">
        <f>"080065870427"</f>
        <v>080065870427</v>
      </c>
      <c r="F1313" s="3">
        <v>45818</v>
      </c>
      <c r="G1313">
        <v>202603</v>
      </c>
      <c r="H1313" t="s">
        <v>75</v>
      </c>
      <c r="I1313" t="s">
        <v>76</v>
      </c>
      <c r="J1313" t="s">
        <v>77</v>
      </c>
      <c r="K1313" t="s">
        <v>78</v>
      </c>
      <c r="L1313" t="s">
        <v>302</v>
      </c>
      <c r="M1313" t="s">
        <v>303</v>
      </c>
      <c r="N1313" t="s">
        <v>304</v>
      </c>
      <c r="O1313" t="s">
        <v>82</v>
      </c>
      <c r="P1313" t="str">
        <f>"4170043281                    "</f>
        <v xml:space="preserve">4170043281                    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40.49</v>
      </c>
      <c r="AR1313">
        <v>0</v>
      </c>
      <c r="AS1313">
        <v>0</v>
      </c>
      <c r="AT1313">
        <v>0</v>
      </c>
      <c r="AU1313">
        <v>0</v>
      </c>
      <c r="AV1313">
        <v>0</v>
      </c>
      <c r="AW1313">
        <v>0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>
        <v>0</v>
      </c>
      <c r="BD1313">
        <v>0</v>
      </c>
      <c r="BE1313">
        <v>0</v>
      </c>
      <c r="BF1313">
        <v>0</v>
      </c>
      <c r="BG1313">
        <v>0</v>
      </c>
      <c r="BH1313">
        <v>1</v>
      </c>
      <c r="BI1313">
        <v>1</v>
      </c>
      <c r="BJ1313">
        <v>0.2</v>
      </c>
      <c r="BK1313">
        <v>1</v>
      </c>
      <c r="BL1313">
        <v>134.65</v>
      </c>
      <c r="BM1313">
        <v>20.2</v>
      </c>
      <c r="BN1313">
        <v>154.85</v>
      </c>
      <c r="BO1313">
        <v>154.85</v>
      </c>
      <c r="BQ1313" t="s">
        <v>305</v>
      </c>
      <c r="BR1313" t="s">
        <v>84</v>
      </c>
      <c r="BS1313" s="3">
        <v>45819</v>
      </c>
      <c r="BT1313" s="4">
        <v>0.38124999999999998</v>
      </c>
      <c r="BU1313" t="s">
        <v>1962</v>
      </c>
      <c r="BV1313" t="s">
        <v>86</v>
      </c>
      <c r="BY1313">
        <v>1200</v>
      </c>
      <c r="CC1313" t="s">
        <v>303</v>
      </c>
      <c r="CD1313">
        <v>299</v>
      </c>
      <c r="CE1313" t="s">
        <v>215</v>
      </c>
      <c r="CI1313">
        <v>1</v>
      </c>
      <c r="CJ1313">
        <v>1</v>
      </c>
      <c r="CK1313">
        <v>23</v>
      </c>
      <c r="CL1313" t="s">
        <v>90</v>
      </c>
    </row>
    <row r="1314" spans="1:90" x14ac:dyDescent="0.3">
      <c r="A1314" t="s">
        <v>72</v>
      </c>
      <c r="B1314" t="s">
        <v>73</v>
      </c>
      <c r="C1314" t="s">
        <v>74</v>
      </c>
      <c r="E1314" t="str">
        <f>"080065870455"</f>
        <v>080065870455</v>
      </c>
      <c r="F1314" s="3">
        <v>45818</v>
      </c>
      <c r="G1314">
        <v>202603</v>
      </c>
      <c r="H1314" t="s">
        <v>75</v>
      </c>
      <c r="I1314" t="s">
        <v>76</v>
      </c>
      <c r="J1314" t="s">
        <v>77</v>
      </c>
      <c r="K1314" t="s">
        <v>78</v>
      </c>
      <c r="L1314" t="s">
        <v>159</v>
      </c>
      <c r="M1314" t="s">
        <v>160</v>
      </c>
      <c r="N1314" t="s">
        <v>1971</v>
      </c>
      <c r="O1314" t="s">
        <v>82</v>
      </c>
      <c r="P1314" t="str">
        <f>"4170043264                    "</f>
        <v xml:space="preserve">4170043264                    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16.32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  <c r="BE1314">
        <v>0</v>
      </c>
      <c r="BF1314">
        <v>0</v>
      </c>
      <c r="BG1314">
        <v>0</v>
      </c>
      <c r="BH1314">
        <v>1</v>
      </c>
      <c r="BI1314">
        <v>1</v>
      </c>
      <c r="BJ1314">
        <v>0.2</v>
      </c>
      <c r="BK1314">
        <v>1</v>
      </c>
      <c r="BL1314">
        <v>54.28</v>
      </c>
      <c r="BM1314">
        <v>8.14</v>
      </c>
      <c r="BN1314">
        <v>62.42</v>
      </c>
      <c r="BO1314">
        <v>62.42</v>
      </c>
      <c r="BQ1314" t="s">
        <v>1972</v>
      </c>
      <c r="BR1314" t="s">
        <v>84</v>
      </c>
      <c r="BS1314" s="3">
        <v>45819</v>
      </c>
      <c r="BT1314" s="4">
        <v>0.41319444444444442</v>
      </c>
      <c r="BU1314" t="s">
        <v>1973</v>
      </c>
      <c r="BV1314" t="s">
        <v>86</v>
      </c>
      <c r="BY1314">
        <v>1200</v>
      </c>
      <c r="CA1314" t="s">
        <v>233</v>
      </c>
      <c r="CC1314" t="s">
        <v>160</v>
      </c>
      <c r="CD1314">
        <v>2197</v>
      </c>
      <c r="CE1314" t="s">
        <v>215</v>
      </c>
      <c r="CF1314" s="3">
        <v>45819</v>
      </c>
      <c r="CI1314">
        <v>1</v>
      </c>
      <c r="CJ1314">
        <v>1</v>
      </c>
      <c r="CK1314">
        <v>22</v>
      </c>
      <c r="CL1314" t="s">
        <v>90</v>
      </c>
    </row>
    <row r="1315" spans="1:90" x14ac:dyDescent="0.3">
      <c r="A1315" t="s">
        <v>72</v>
      </c>
      <c r="B1315" t="s">
        <v>73</v>
      </c>
      <c r="C1315" t="s">
        <v>74</v>
      </c>
      <c r="E1315" t="str">
        <f>"080065870482"</f>
        <v>080065870482</v>
      </c>
      <c r="F1315" s="3">
        <v>45818</v>
      </c>
      <c r="G1315">
        <v>202603</v>
      </c>
      <c r="H1315" t="s">
        <v>75</v>
      </c>
      <c r="I1315" t="s">
        <v>76</v>
      </c>
      <c r="J1315" t="s">
        <v>77</v>
      </c>
      <c r="K1315" t="s">
        <v>78</v>
      </c>
      <c r="L1315" t="s">
        <v>331</v>
      </c>
      <c r="M1315" t="s">
        <v>332</v>
      </c>
      <c r="N1315" t="s">
        <v>1974</v>
      </c>
      <c r="O1315" t="s">
        <v>82</v>
      </c>
      <c r="P1315" t="str">
        <f>"4170043160                    "</f>
        <v xml:space="preserve">4170043160                    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20.9</v>
      </c>
      <c r="AR1315">
        <v>0</v>
      </c>
      <c r="AS1315">
        <v>0</v>
      </c>
      <c r="AT1315">
        <v>0</v>
      </c>
      <c r="AU1315">
        <v>0</v>
      </c>
      <c r="AV1315">
        <v>0</v>
      </c>
      <c r="AW1315">
        <v>0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>
        <v>0</v>
      </c>
      <c r="BD1315">
        <v>0</v>
      </c>
      <c r="BE1315">
        <v>0</v>
      </c>
      <c r="BF1315">
        <v>0</v>
      </c>
      <c r="BG1315">
        <v>0</v>
      </c>
      <c r="BH1315">
        <v>1</v>
      </c>
      <c r="BI1315">
        <v>1</v>
      </c>
      <c r="BJ1315">
        <v>0.2</v>
      </c>
      <c r="BK1315">
        <v>1</v>
      </c>
      <c r="BL1315">
        <v>69.5</v>
      </c>
      <c r="BM1315">
        <v>10.43</v>
      </c>
      <c r="BN1315">
        <v>79.930000000000007</v>
      </c>
      <c r="BO1315">
        <v>79.930000000000007</v>
      </c>
      <c r="BQ1315" t="s">
        <v>1975</v>
      </c>
      <c r="BR1315" t="s">
        <v>84</v>
      </c>
      <c r="BS1315" s="3">
        <v>45819</v>
      </c>
      <c r="BT1315" s="4">
        <v>0.34513888888888888</v>
      </c>
      <c r="BU1315" t="s">
        <v>1976</v>
      </c>
      <c r="BV1315" t="s">
        <v>86</v>
      </c>
      <c r="BY1315">
        <v>1200</v>
      </c>
      <c r="CA1315" t="s">
        <v>1967</v>
      </c>
      <c r="CC1315" t="s">
        <v>332</v>
      </c>
      <c r="CD1315">
        <v>4052</v>
      </c>
      <c r="CE1315" t="s">
        <v>215</v>
      </c>
      <c r="CI1315">
        <v>1</v>
      </c>
      <c r="CJ1315">
        <v>1</v>
      </c>
      <c r="CK1315">
        <v>21</v>
      </c>
      <c r="CL1315" t="s">
        <v>90</v>
      </c>
    </row>
    <row r="1316" spans="1:90" x14ac:dyDescent="0.3">
      <c r="A1316" t="s">
        <v>72</v>
      </c>
      <c r="B1316" t="s">
        <v>73</v>
      </c>
      <c r="C1316" t="s">
        <v>74</v>
      </c>
      <c r="E1316" t="str">
        <f>"080065870518"</f>
        <v>080065870518</v>
      </c>
      <c r="F1316" s="3">
        <v>45818</v>
      </c>
      <c r="G1316">
        <v>202603</v>
      </c>
      <c r="H1316" t="s">
        <v>75</v>
      </c>
      <c r="I1316" t="s">
        <v>76</v>
      </c>
      <c r="J1316" t="s">
        <v>77</v>
      </c>
      <c r="K1316" t="s">
        <v>78</v>
      </c>
      <c r="L1316" t="s">
        <v>91</v>
      </c>
      <c r="M1316" t="s">
        <v>92</v>
      </c>
      <c r="N1316" t="s">
        <v>1977</v>
      </c>
      <c r="O1316" t="s">
        <v>82</v>
      </c>
      <c r="P1316" t="str">
        <f>"4170043106                    "</f>
        <v xml:space="preserve">4170043106                    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20.9</v>
      </c>
      <c r="AR1316">
        <v>0</v>
      </c>
      <c r="AS1316">
        <v>0</v>
      </c>
      <c r="AT1316">
        <v>0</v>
      </c>
      <c r="AU1316">
        <v>0</v>
      </c>
      <c r="AV1316">
        <v>0</v>
      </c>
      <c r="AW1316">
        <v>0</v>
      </c>
      <c r="AX1316">
        <v>0</v>
      </c>
      <c r="AY1316">
        <v>0</v>
      </c>
      <c r="AZ1316">
        <v>0</v>
      </c>
      <c r="BA1316">
        <v>0</v>
      </c>
      <c r="BB1316">
        <v>0</v>
      </c>
      <c r="BC1316">
        <v>0</v>
      </c>
      <c r="BD1316">
        <v>0</v>
      </c>
      <c r="BE1316">
        <v>0</v>
      </c>
      <c r="BF1316">
        <v>0</v>
      </c>
      <c r="BG1316">
        <v>0</v>
      </c>
      <c r="BH1316">
        <v>1</v>
      </c>
      <c r="BI1316">
        <v>1</v>
      </c>
      <c r="BJ1316">
        <v>0.2</v>
      </c>
      <c r="BK1316">
        <v>1</v>
      </c>
      <c r="BL1316">
        <v>69.5</v>
      </c>
      <c r="BM1316">
        <v>10.43</v>
      </c>
      <c r="BN1316">
        <v>79.930000000000007</v>
      </c>
      <c r="BO1316">
        <v>79.930000000000007</v>
      </c>
      <c r="BQ1316" t="s">
        <v>1978</v>
      </c>
      <c r="BR1316" t="s">
        <v>84</v>
      </c>
      <c r="BS1316" s="3">
        <v>45819</v>
      </c>
      <c r="BT1316" s="4">
        <v>0.45</v>
      </c>
      <c r="BU1316" t="s">
        <v>1979</v>
      </c>
      <c r="BV1316" t="s">
        <v>90</v>
      </c>
      <c r="BW1316" t="s">
        <v>875</v>
      </c>
      <c r="BX1316" t="s">
        <v>1365</v>
      </c>
      <c r="BY1316">
        <v>1200</v>
      </c>
      <c r="CA1316" t="s">
        <v>310</v>
      </c>
      <c r="CC1316" t="s">
        <v>92</v>
      </c>
      <c r="CD1316">
        <v>7460</v>
      </c>
      <c r="CE1316" t="s">
        <v>215</v>
      </c>
      <c r="CI1316">
        <v>1</v>
      </c>
      <c r="CJ1316">
        <v>1</v>
      </c>
      <c r="CK1316">
        <v>21</v>
      </c>
      <c r="CL1316" t="s">
        <v>90</v>
      </c>
    </row>
    <row r="1317" spans="1:90" x14ac:dyDescent="0.3">
      <c r="A1317" t="s">
        <v>72</v>
      </c>
      <c r="B1317" t="s">
        <v>73</v>
      </c>
      <c r="C1317" t="s">
        <v>74</v>
      </c>
      <c r="E1317" t="str">
        <f>"080065870547"</f>
        <v>080065870547</v>
      </c>
      <c r="F1317" s="3">
        <v>45818</v>
      </c>
      <c r="G1317">
        <v>202603</v>
      </c>
      <c r="H1317" t="s">
        <v>75</v>
      </c>
      <c r="I1317" t="s">
        <v>76</v>
      </c>
      <c r="J1317" t="s">
        <v>77</v>
      </c>
      <c r="K1317" t="s">
        <v>78</v>
      </c>
      <c r="L1317" t="s">
        <v>75</v>
      </c>
      <c r="M1317" t="s">
        <v>76</v>
      </c>
      <c r="N1317" t="s">
        <v>272</v>
      </c>
      <c r="O1317" t="s">
        <v>82</v>
      </c>
      <c r="P1317" t="str">
        <f>"4170043263                    "</f>
        <v xml:space="preserve">4170043263                    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16.32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0</v>
      </c>
      <c r="BE1317">
        <v>0</v>
      </c>
      <c r="BF1317">
        <v>0</v>
      </c>
      <c r="BG1317">
        <v>0</v>
      </c>
      <c r="BH1317">
        <v>1</v>
      </c>
      <c r="BI1317">
        <v>1</v>
      </c>
      <c r="BJ1317">
        <v>0.2</v>
      </c>
      <c r="BK1317">
        <v>1</v>
      </c>
      <c r="BL1317">
        <v>54.28</v>
      </c>
      <c r="BM1317">
        <v>8.14</v>
      </c>
      <c r="BN1317">
        <v>62.42</v>
      </c>
      <c r="BO1317">
        <v>62.42</v>
      </c>
      <c r="BQ1317" t="s">
        <v>273</v>
      </c>
      <c r="BR1317" t="s">
        <v>84</v>
      </c>
      <c r="BS1317" s="3">
        <v>45819</v>
      </c>
      <c r="BT1317" s="4">
        <v>0.42152777777777778</v>
      </c>
      <c r="BU1317" t="s">
        <v>1980</v>
      </c>
      <c r="BV1317" t="s">
        <v>86</v>
      </c>
      <c r="BY1317">
        <v>1200</v>
      </c>
      <c r="CA1317" t="s">
        <v>193</v>
      </c>
      <c r="CC1317" t="s">
        <v>76</v>
      </c>
      <c r="CD1317">
        <v>1600</v>
      </c>
      <c r="CE1317" t="s">
        <v>215</v>
      </c>
      <c r="CF1317" s="3">
        <v>45819</v>
      </c>
      <c r="CI1317">
        <v>1</v>
      </c>
      <c r="CJ1317">
        <v>1</v>
      </c>
      <c r="CK1317">
        <v>22</v>
      </c>
      <c r="CL1317" t="s">
        <v>90</v>
      </c>
    </row>
    <row r="1318" spans="1:90" x14ac:dyDescent="0.3">
      <c r="A1318" t="s">
        <v>72</v>
      </c>
      <c r="B1318" t="s">
        <v>73</v>
      </c>
      <c r="C1318" t="s">
        <v>74</v>
      </c>
      <c r="E1318" t="str">
        <f>"080065870549"</f>
        <v>080065870549</v>
      </c>
      <c r="F1318" s="3">
        <v>45818</v>
      </c>
      <c r="G1318">
        <v>202603</v>
      </c>
      <c r="H1318" t="s">
        <v>75</v>
      </c>
      <c r="I1318" t="s">
        <v>76</v>
      </c>
      <c r="J1318" t="s">
        <v>77</v>
      </c>
      <c r="K1318" t="s">
        <v>78</v>
      </c>
      <c r="L1318" t="s">
        <v>628</v>
      </c>
      <c r="M1318" t="s">
        <v>629</v>
      </c>
      <c r="N1318" t="s">
        <v>1981</v>
      </c>
      <c r="O1318" t="s">
        <v>82</v>
      </c>
      <c r="P1318" t="str">
        <f>"4170043229                    "</f>
        <v xml:space="preserve">4170043229                    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20.9</v>
      </c>
      <c r="AR1318">
        <v>0</v>
      </c>
      <c r="AS1318">
        <v>0</v>
      </c>
      <c r="AT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0</v>
      </c>
      <c r="BE1318">
        <v>0</v>
      </c>
      <c r="BF1318">
        <v>0</v>
      </c>
      <c r="BG1318">
        <v>0</v>
      </c>
      <c r="BH1318">
        <v>1</v>
      </c>
      <c r="BI1318">
        <v>1</v>
      </c>
      <c r="BJ1318">
        <v>0.2</v>
      </c>
      <c r="BK1318">
        <v>1</v>
      </c>
      <c r="BL1318">
        <v>69.5</v>
      </c>
      <c r="BM1318">
        <v>10.43</v>
      </c>
      <c r="BN1318">
        <v>79.930000000000007</v>
      </c>
      <c r="BO1318">
        <v>79.930000000000007</v>
      </c>
      <c r="BQ1318" t="s">
        <v>1982</v>
      </c>
      <c r="BR1318" t="s">
        <v>84</v>
      </c>
      <c r="BS1318" s="3">
        <v>45819</v>
      </c>
      <c r="BT1318" s="4">
        <v>0.43541666666666667</v>
      </c>
      <c r="BU1318" t="s">
        <v>1983</v>
      </c>
      <c r="BV1318" t="s">
        <v>86</v>
      </c>
      <c r="BY1318">
        <v>1200</v>
      </c>
      <c r="CA1318" t="s">
        <v>223</v>
      </c>
      <c r="CC1318" t="s">
        <v>629</v>
      </c>
      <c r="CD1318">
        <v>6220</v>
      </c>
      <c r="CE1318" t="s">
        <v>215</v>
      </c>
      <c r="CF1318" s="3">
        <v>45819</v>
      </c>
      <c r="CI1318">
        <v>1</v>
      </c>
      <c r="CJ1318">
        <v>1</v>
      </c>
      <c r="CK1318">
        <v>21</v>
      </c>
      <c r="CL1318" t="s">
        <v>90</v>
      </c>
    </row>
    <row r="1319" spans="1:90" x14ac:dyDescent="0.3">
      <c r="A1319" t="s">
        <v>72</v>
      </c>
      <c r="B1319" t="s">
        <v>73</v>
      </c>
      <c r="C1319" t="s">
        <v>74</v>
      </c>
      <c r="E1319" t="str">
        <f>"080065870576"</f>
        <v>080065870576</v>
      </c>
      <c r="F1319" s="3">
        <v>45818</v>
      </c>
      <c r="G1319">
        <v>202603</v>
      </c>
      <c r="H1319" t="s">
        <v>75</v>
      </c>
      <c r="I1319" t="s">
        <v>76</v>
      </c>
      <c r="J1319" t="s">
        <v>77</v>
      </c>
      <c r="K1319" t="s">
        <v>78</v>
      </c>
      <c r="L1319" t="s">
        <v>75</v>
      </c>
      <c r="M1319" t="s">
        <v>76</v>
      </c>
      <c r="N1319" t="s">
        <v>656</v>
      </c>
      <c r="O1319" t="s">
        <v>82</v>
      </c>
      <c r="P1319" t="str">
        <f>"4170043221                    "</f>
        <v xml:space="preserve">4170043221                    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>
        <v>16.32</v>
      </c>
      <c r="AR1319">
        <v>0</v>
      </c>
      <c r="AS1319">
        <v>0</v>
      </c>
      <c r="AT1319">
        <v>0</v>
      </c>
      <c r="AU1319">
        <v>0</v>
      </c>
      <c r="AV1319">
        <v>0</v>
      </c>
      <c r="AW1319">
        <v>0</v>
      </c>
      <c r="AX1319">
        <v>0</v>
      </c>
      <c r="AY1319">
        <v>0</v>
      </c>
      <c r="AZ1319">
        <v>0</v>
      </c>
      <c r="BA1319">
        <v>0</v>
      </c>
      <c r="BB1319">
        <v>0</v>
      </c>
      <c r="BC1319">
        <v>0</v>
      </c>
      <c r="BD1319">
        <v>0</v>
      </c>
      <c r="BE1319">
        <v>0</v>
      </c>
      <c r="BF1319">
        <v>0</v>
      </c>
      <c r="BG1319">
        <v>0</v>
      </c>
      <c r="BH1319">
        <v>1</v>
      </c>
      <c r="BI1319">
        <v>1</v>
      </c>
      <c r="BJ1319">
        <v>0.2</v>
      </c>
      <c r="BK1319">
        <v>1</v>
      </c>
      <c r="BL1319">
        <v>54.28</v>
      </c>
      <c r="BM1319">
        <v>8.14</v>
      </c>
      <c r="BN1319">
        <v>62.42</v>
      </c>
      <c r="BO1319">
        <v>62.42</v>
      </c>
      <c r="BQ1319" t="s">
        <v>657</v>
      </c>
      <c r="BR1319" t="s">
        <v>84</v>
      </c>
      <c r="BS1319" s="3">
        <v>45819</v>
      </c>
      <c r="BT1319" s="4">
        <v>0.38333333333333336</v>
      </c>
      <c r="BU1319" t="s">
        <v>232</v>
      </c>
      <c r="BV1319" t="s">
        <v>86</v>
      </c>
      <c r="BY1319">
        <v>1200</v>
      </c>
      <c r="CA1319" t="s">
        <v>1087</v>
      </c>
      <c r="CC1319" t="s">
        <v>76</v>
      </c>
      <c r="CD1319">
        <v>1619</v>
      </c>
      <c r="CE1319" t="s">
        <v>215</v>
      </c>
      <c r="CF1319" s="3">
        <v>45819</v>
      </c>
      <c r="CI1319">
        <v>1</v>
      </c>
      <c r="CJ1319">
        <v>1</v>
      </c>
      <c r="CK1319">
        <v>22</v>
      </c>
      <c r="CL1319" t="s">
        <v>90</v>
      </c>
    </row>
    <row r="1320" spans="1:90" x14ac:dyDescent="0.3">
      <c r="A1320" t="s">
        <v>72</v>
      </c>
      <c r="B1320" t="s">
        <v>73</v>
      </c>
      <c r="C1320" t="s">
        <v>74</v>
      </c>
      <c r="E1320" t="str">
        <f>"080065870577"</f>
        <v>080065870577</v>
      </c>
      <c r="F1320" s="3">
        <v>45818</v>
      </c>
      <c r="G1320">
        <v>202603</v>
      </c>
      <c r="H1320" t="s">
        <v>75</v>
      </c>
      <c r="I1320" t="s">
        <v>76</v>
      </c>
      <c r="J1320" t="s">
        <v>77</v>
      </c>
      <c r="K1320" t="s">
        <v>78</v>
      </c>
      <c r="L1320" t="s">
        <v>504</v>
      </c>
      <c r="M1320" t="s">
        <v>505</v>
      </c>
      <c r="N1320" t="s">
        <v>506</v>
      </c>
      <c r="O1320" t="s">
        <v>82</v>
      </c>
      <c r="P1320" t="str">
        <f>"4170043255                    "</f>
        <v xml:space="preserve">4170043255                    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40.49</v>
      </c>
      <c r="AR1320">
        <v>0</v>
      </c>
      <c r="AS1320">
        <v>0</v>
      </c>
      <c r="AT1320">
        <v>0</v>
      </c>
      <c r="AU1320">
        <v>0</v>
      </c>
      <c r="AV1320">
        <v>0</v>
      </c>
      <c r="AW1320">
        <v>0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>
        <v>0</v>
      </c>
      <c r="BD1320">
        <v>0</v>
      </c>
      <c r="BE1320">
        <v>0</v>
      </c>
      <c r="BF1320">
        <v>0</v>
      </c>
      <c r="BG1320">
        <v>0</v>
      </c>
      <c r="BH1320">
        <v>1</v>
      </c>
      <c r="BI1320">
        <v>1</v>
      </c>
      <c r="BJ1320">
        <v>0.2</v>
      </c>
      <c r="BK1320">
        <v>1</v>
      </c>
      <c r="BL1320">
        <v>134.65</v>
      </c>
      <c r="BM1320">
        <v>20.2</v>
      </c>
      <c r="BN1320">
        <v>154.85</v>
      </c>
      <c r="BO1320">
        <v>154.85</v>
      </c>
      <c r="BQ1320" t="s">
        <v>507</v>
      </c>
      <c r="BR1320" t="s">
        <v>84</v>
      </c>
      <c r="BS1320" s="3">
        <v>45819</v>
      </c>
      <c r="BT1320" s="4">
        <v>0.35069444444444442</v>
      </c>
      <c r="BU1320" t="s">
        <v>508</v>
      </c>
      <c r="BV1320" t="s">
        <v>86</v>
      </c>
      <c r="BY1320">
        <v>1200</v>
      </c>
      <c r="CC1320" t="s">
        <v>505</v>
      </c>
      <c r="CD1320">
        <v>2740</v>
      </c>
      <c r="CE1320" t="s">
        <v>215</v>
      </c>
      <c r="CI1320">
        <v>1</v>
      </c>
      <c r="CJ1320">
        <v>1</v>
      </c>
      <c r="CK1320">
        <v>23</v>
      </c>
      <c r="CL1320" t="s">
        <v>90</v>
      </c>
    </row>
    <row r="1321" spans="1:90" x14ac:dyDescent="0.3">
      <c r="A1321" t="s">
        <v>72</v>
      </c>
      <c r="B1321" t="s">
        <v>73</v>
      </c>
      <c r="C1321" t="s">
        <v>74</v>
      </c>
      <c r="E1321" t="str">
        <f>"080065870610"</f>
        <v>080065870610</v>
      </c>
      <c r="F1321" s="3">
        <v>45818</v>
      </c>
      <c r="G1321">
        <v>202603</v>
      </c>
      <c r="H1321" t="s">
        <v>75</v>
      </c>
      <c r="I1321" t="s">
        <v>76</v>
      </c>
      <c r="J1321" t="s">
        <v>77</v>
      </c>
      <c r="K1321" t="s">
        <v>78</v>
      </c>
      <c r="L1321" t="s">
        <v>154</v>
      </c>
      <c r="M1321" t="s">
        <v>154</v>
      </c>
      <c r="N1321" t="s">
        <v>530</v>
      </c>
      <c r="O1321" t="s">
        <v>82</v>
      </c>
      <c r="P1321" t="str">
        <f>"4170043280                    "</f>
        <v xml:space="preserve">4170043280                    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40.49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0</v>
      </c>
      <c r="BE1321">
        <v>0</v>
      </c>
      <c r="BF1321">
        <v>0</v>
      </c>
      <c r="BG1321">
        <v>0</v>
      </c>
      <c r="BH1321">
        <v>1</v>
      </c>
      <c r="BI1321">
        <v>1</v>
      </c>
      <c r="BJ1321">
        <v>0.2</v>
      </c>
      <c r="BK1321">
        <v>1</v>
      </c>
      <c r="BL1321">
        <v>134.65</v>
      </c>
      <c r="BM1321">
        <v>20.2</v>
      </c>
      <c r="BN1321">
        <v>154.85</v>
      </c>
      <c r="BO1321">
        <v>154.85</v>
      </c>
      <c r="BQ1321" t="s">
        <v>531</v>
      </c>
      <c r="BR1321" t="s">
        <v>84</v>
      </c>
      <c r="BS1321" s="3">
        <v>45819</v>
      </c>
      <c r="BT1321" s="4">
        <v>0.54097222222222219</v>
      </c>
      <c r="BU1321" t="s">
        <v>532</v>
      </c>
      <c r="BV1321" t="s">
        <v>86</v>
      </c>
      <c r="BY1321">
        <v>1200</v>
      </c>
      <c r="CA1321" t="s">
        <v>158</v>
      </c>
      <c r="CC1321" t="s">
        <v>154</v>
      </c>
      <c r="CD1321">
        <v>7646</v>
      </c>
      <c r="CE1321" t="s">
        <v>215</v>
      </c>
      <c r="CI1321">
        <v>1</v>
      </c>
      <c r="CJ1321">
        <v>1</v>
      </c>
      <c r="CK1321">
        <v>23</v>
      </c>
      <c r="CL1321" t="s">
        <v>90</v>
      </c>
    </row>
    <row r="1322" spans="1:90" x14ac:dyDescent="0.3">
      <c r="A1322" t="s">
        <v>72</v>
      </c>
      <c r="B1322" t="s">
        <v>73</v>
      </c>
      <c r="C1322" t="s">
        <v>74</v>
      </c>
      <c r="E1322" t="str">
        <f>"080065870615"</f>
        <v>080065870615</v>
      </c>
      <c r="F1322" s="3">
        <v>45818</v>
      </c>
      <c r="G1322">
        <v>202603</v>
      </c>
      <c r="H1322" t="s">
        <v>75</v>
      </c>
      <c r="I1322" t="s">
        <v>76</v>
      </c>
      <c r="J1322" t="s">
        <v>77</v>
      </c>
      <c r="K1322" t="s">
        <v>78</v>
      </c>
      <c r="L1322" t="s">
        <v>159</v>
      </c>
      <c r="M1322" t="s">
        <v>160</v>
      </c>
      <c r="N1322" t="s">
        <v>1984</v>
      </c>
      <c r="O1322" t="s">
        <v>82</v>
      </c>
      <c r="P1322" t="str">
        <f>"4170043290                    "</f>
        <v xml:space="preserve">4170043290                    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16.32</v>
      </c>
      <c r="AR1322">
        <v>0</v>
      </c>
      <c r="AS1322">
        <v>0</v>
      </c>
      <c r="AT1322">
        <v>0</v>
      </c>
      <c r="AU1322">
        <v>0</v>
      </c>
      <c r="AV1322">
        <v>0</v>
      </c>
      <c r="AW1322">
        <v>0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>
        <v>0</v>
      </c>
      <c r="BD1322">
        <v>0</v>
      </c>
      <c r="BE1322">
        <v>0</v>
      </c>
      <c r="BF1322">
        <v>0</v>
      </c>
      <c r="BG1322">
        <v>0</v>
      </c>
      <c r="BH1322">
        <v>1</v>
      </c>
      <c r="BI1322">
        <v>1</v>
      </c>
      <c r="BJ1322">
        <v>0.2</v>
      </c>
      <c r="BK1322">
        <v>1</v>
      </c>
      <c r="BL1322">
        <v>54.28</v>
      </c>
      <c r="BM1322">
        <v>8.14</v>
      </c>
      <c r="BN1322">
        <v>62.42</v>
      </c>
      <c r="BO1322">
        <v>62.42</v>
      </c>
      <c r="BQ1322" t="s">
        <v>1985</v>
      </c>
      <c r="BR1322" t="s">
        <v>84</v>
      </c>
      <c r="BS1322" s="3">
        <v>45819</v>
      </c>
      <c r="BT1322" s="4">
        <v>0.42152777777777778</v>
      </c>
      <c r="BU1322" t="s">
        <v>1986</v>
      </c>
      <c r="BV1322" t="s">
        <v>86</v>
      </c>
      <c r="BY1322">
        <v>1200</v>
      </c>
      <c r="CA1322" t="s">
        <v>1022</v>
      </c>
      <c r="CC1322" t="s">
        <v>160</v>
      </c>
      <c r="CD1322">
        <v>2065</v>
      </c>
      <c r="CE1322" t="s">
        <v>215</v>
      </c>
      <c r="CF1322" s="3">
        <v>45819</v>
      </c>
      <c r="CI1322">
        <v>1</v>
      </c>
      <c r="CJ1322">
        <v>1</v>
      </c>
      <c r="CK1322">
        <v>22</v>
      </c>
      <c r="CL1322" t="s">
        <v>90</v>
      </c>
    </row>
    <row r="1323" spans="1:90" x14ac:dyDescent="0.3">
      <c r="A1323" t="s">
        <v>72</v>
      </c>
      <c r="B1323" t="s">
        <v>73</v>
      </c>
      <c r="C1323" t="s">
        <v>74</v>
      </c>
      <c r="E1323" t="str">
        <f>"080065870633"</f>
        <v>080065870633</v>
      </c>
      <c r="F1323" s="3">
        <v>45818</v>
      </c>
      <c r="G1323">
        <v>202603</v>
      </c>
      <c r="H1323" t="s">
        <v>75</v>
      </c>
      <c r="I1323" t="s">
        <v>76</v>
      </c>
      <c r="J1323" t="s">
        <v>77</v>
      </c>
      <c r="K1323" t="s">
        <v>78</v>
      </c>
      <c r="L1323" t="s">
        <v>91</v>
      </c>
      <c r="M1323" t="s">
        <v>92</v>
      </c>
      <c r="N1323" t="s">
        <v>540</v>
      </c>
      <c r="O1323" t="s">
        <v>82</v>
      </c>
      <c r="P1323" t="str">
        <f>"4170043306                    "</f>
        <v xml:space="preserve">4170043306                    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20.9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</v>
      </c>
      <c r="AX1323">
        <v>0</v>
      </c>
      <c r="AY1323">
        <v>0</v>
      </c>
      <c r="AZ1323">
        <v>0</v>
      </c>
      <c r="BA1323">
        <v>0</v>
      </c>
      <c r="BB1323">
        <v>0</v>
      </c>
      <c r="BC1323">
        <v>0</v>
      </c>
      <c r="BD1323">
        <v>0</v>
      </c>
      <c r="BE1323">
        <v>0</v>
      </c>
      <c r="BF1323">
        <v>0</v>
      </c>
      <c r="BG1323">
        <v>0</v>
      </c>
      <c r="BH1323">
        <v>1</v>
      </c>
      <c r="BI1323">
        <v>1</v>
      </c>
      <c r="BJ1323">
        <v>0.2</v>
      </c>
      <c r="BK1323">
        <v>1</v>
      </c>
      <c r="BL1323">
        <v>69.5</v>
      </c>
      <c r="BM1323">
        <v>10.43</v>
      </c>
      <c r="BN1323">
        <v>79.930000000000007</v>
      </c>
      <c r="BO1323">
        <v>79.930000000000007</v>
      </c>
      <c r="BQ1323" t="s">
        <v>541</v>
      </c>
      <c r="BR1323" t="s">
        <v>84</v>
      </c>
      <c r="BS1323" s="3">
        <v>45819</v>
      </c>
      <c r="BT1323" s="4">
        <v>0.40277777777777779</v>
      </c>
      <c r="BU1323" t="s">
        <v>1869</v>
      </c>
      <c r="BV1323" t="s">
        <v>86</v>
      </c>
      <c r="BY1323">
        <v>1200</v>
      </c>
      <c r="CA1323" t="s">
        <v>291</v>
      </c>
      <c r="CC1323" t="s">
        <v>92</v>
      </c>
      <c r="CD1323">
        <v>7441</v>
      </c>
      <c r="CE1323" t="s">
        <v>215</v>
      </c>
      <c r="CI1323">
        <v>1</v>
      </c>
      <c r="CJ1323">
        <v>1</v>
      </c>
      <c r="CK1323">
        <v>21</v>
      </c>
      <c r="CL1323" t="s">
        <v>90</v>
      </c>
    </row>
    <row r="1324" spans="1:90" x14ac:dyDescent="0.3">
      <c r="A1324" t="s">
        <v>72</v>
      </c>
      <c r="B1324" t="s">
        <v>73</v>
      </c>
      <c r="C1324" t="s">
        <v>74</v>
      </c>
      <c r="E1324" t="str">
        <f>"080065870670"</f>
        <v>080065870670</v>
      </c>
      <c r="F1324" s="3">
        <v>45818</v>
      </c>
      <c r="G1324">
        <v>202603</v>
      </c>
      <c r="H1324" t="s">
        <v>75</v>
      </c>
      <c r="I1324" t="s">
        <v>76</v>
      </c>
      <c r="J1324" t="s">
        <v>77</v>
      </c>
      <c r="K1324" t="s">
        <v>78</v>
      </c>
      <c r="L1324" t="s">
        <v>91</v>
      </c>
      <c r="M1324" t="s">
        <v>92</v>
      </c>
      <c r="N1324" t="s">
        <v>540</v>
      </c>
      <c r="O1324" t="s">
        <v>82</v>
      </c>
      <c r="P1324" t="str">
        <f>"4170043137                    "</f>
        <v xml:space="preserve">4170043137                    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20.9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  <c r="BE1324">
        <v>0</v>
      </c>
      <c r="BF1324">
        <v>0</v>
      </c>
      <c r="BG1324">
        <v>0</v>
      </c>
      <c r="BH1324">
        <v>1</v>
      </c>
      <c r="BI1324">
        <v>1</v>
      </c>
      <c r="BJ1324">
        <v>0.2</v>
      </c>
      <c r="BK1324">
        <v>1</v>
      </c>
      <c r="BL1324">
        <v>69.5</v>
      </c>
      <c r="BM1324">
        <v>10.43</v>
      </c>
      <c r="BN1324">
        <v>79.930000000000007</v>
      </c>
      <c r="BO1324">
        <v>79.930000000000007</v>
      </c>
      <c r="BQ1324" t="s">
        <v>541</v>
      </c>
      <c r="BR1324" t="s">
        <v>84</v>
      </c>
      <c r="BS1324" s="3">
        <v>45819</v>
      </c>
      <c r="BT1324" s="4">
        <v>0.40277777777777779</v>
      </c>
      <c r="BU1324" t="s">
        <v>1869</v>
      </c>
      <c r="BV1324" t="s">
        <v>86</v>
      </c>
      <c r="BY1324">
        <v>1200</v>
      </c>
      <c r="CA1324" t="s">
        <v>291</v>
      </c>
      <c r="CC1324" t="s">
        <v>92</v>
      </c>
      <c r="CD1324">
        <v>7441</v>
      </c>
      <c r="CE1324" t="s">
        <v>215</v>
      </c>
      <c r="CI1324">
        <v>1</v>
      </c>
      <c r="CJ1324">
        <v>1</v>
      </c>
      <c r="CK1324">
        <v>21</v>
      </c>
      <c r="CL1324" t="s">
        <v>90</v>
      </c>
    </row>
    <row r="1325" spans="1:90" x14ac:dyDescent="0.3">
      <c r="A1325" t="s">
        <v>72</v>
      </c>
      <c r="B1325" t="s">
        <v>73</v>
      </c>
      <c r="C1325" t="s">
        <v>74</v>
      </c>
      <c r="E1325" t="str">
        <f>"080065870697"</f>
        <v>080065870697</v>
      </c>
      <c r="F1325" s="3">
        <v>45818</v>
      </c>
      <c r="G1325">
        <v>202603</v>
      </c>
      <c r="H1325" t="s">
        <v>75</v>
      </c>
      <c r="I1325" t="s">
        <v>76</v>
      </c>
      <c r="J1325" t="s">
        <v>77</v>
      </c>
      <c r="K1325" t="s">
        <v>78</v>
      </c>
      <c r="L1325" t="s">
        <v>75</v>
      </c>
      <c r="M1325" t="s">
        <v>76</v>
      </c>
      <c r="N1325" t="s">
        <v>272</v>
      </c>
      <c r="O1325" t="s">
        <v>82</v>
      </c>
      <c r="P1325" t="str">
        <f>"4170043262                    "</f>
        <v xml:space="preserve">4170043262                    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16.32</v>
      </c>
      <c r="AR1325">
        <v>0</v>
      </c>
      <c r="AS1325">
        <v>0</v>
      </c>
      <c r="AT1325">
        <v>0</v>
      </c>
      <c r="AU1325">
        <v>0</v>
      </c>
      <c r="AV1325">
        <v>0</v>
      </c>
      <c r="AW1325">
        <v>0</v>
      </c>
      <c r="AX1325">
        <v>0</v>
      </c>
      <c r="AY1325">
        <v>0</v>
      </c>
      <c r="AZ1325">
        <v>0</v>
      </c>
      <c r="BA1325">
        <v>0</v>
      </c>
      <c r="BB1325">
        <v>0</v>
      </c>
      <c r="BC1325">
        <v>0</v>
      </c>
      <c r="BD1325">
        <v>0</v>
      </c>
      <c r="BE1325">
        <v>0</v>
      </c>
      <c r="BF1325">
        <v>0</v>
      </c>
      <c r="BG1325">
        <v>0</v>
      </c>
      <c r="BH1325">
        <v>1</v>
      </c>
      <c r="BI1325">
        <v>1</v>
      </c>
      <c r="BJ1325">
        <v>0.2</v>
      </c>
      <c r="BK1325">
        <v>1</v>
      </c>
      <c r="BL1325">
        <v>54.28</v>
      </c>
      <c r="BM1325">
        <v>8.14</v>
      </c>
      <c r="BN1325">
        <v>62.42</v>
      </c>
      <c r="BO1325">
        <v>62.42</v>
      </c>
      <c r="BQ1325" t="s">
        <v>273</v>
      </c>
      <c r="BR1325" t="s">
        <v>84</v>
      </c>
      <c r="BS1325" s="3">
        <v>45819</v>
      </c>
      <c r="BT1325" s="4">
        <v>0.42152777777777778</v>
      </c>
      <c r="BU1325" t="s">
        <v>1980</v>
      </c>
      <c r="BV1325" t="s">
        <v>86</v>
      </c>
      <c r="BY1325">
        <v>1200</v>
      </c>
      <c r="CA1325" t="s">
        <v>193</v>
      </c>
      <c r="CC1325" t="s">
        <v>76</v>
      </c>
      <c r="CD1325">
        <v>1600</v>
      </c>
      <c r="CE1325" t="s">
        <v>215</v>
      </c>
      <c r="CF1325" s="3">
        <v>45819</v>
      </c>
      <c r="CI1325">
        <v>1</v>
      </c>
      <c r="CJ1325">
        <v>1</v>
      </c>
      <c r="CK1325">
        <v>22</v>
      </c>
      <c r="CL1325" t="s">
        <v>90</v>
      </c>
    </row>
    <row r="1326" spans="1:90" x14ac:dyDescent="0.3">
      <c r="A1326" t="s">
        <v>72</v>
      </c>
      <c r="B1326" t="s">
        <v>73</v>
      </c>
      <c r="C1326" t="s">
        <v>74</v>
      </c>
      <c r="E1326" t="str">
        <f>"080065870721"</f>
        <v>080065870721</v>
      </c>
      <c r="F1326" s="3">
        <v>45818</v>
      </c>
      <c r="G1326">
        <v>202603</v>
      </c>
      <c r="H1326" t="s">
        <v>75</v>
      </c>
      <c r="I1326" t="s">
        <v>76</v>
      </c>
      <c r="J1326" t="s">
        <v>77</v>
      </c>
      <c r="K1326" t="s">
        <v>78</v>
      </c>
      <c r="L1326" t="s">
        <v>369</v>
      </c>
      <c r="M1326" t="s">
        <v>370</v>
      </c>
      <c r="N1326" t="s">
        <v>371</v>
      </c>
      <c r="O1326" t="s">
        <v>82</v>
      </c>
      <c r="P1326" t="str">
        <f>"4170043227                    "</f>
        <v xml:space="preserve">4170043227                    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40.49</v>
      </c>
      <c r="AR1326">
        <v>0</v>
      </c>
      <c r="AS1326">
        <v>0</v>
      </c>
      <c r="AT1326">
        <v>0</v>
      </c>
      <c r="AU1326">
        <v>0</v>
      </c>
      <c r="AV1326">
        <v>0</v>
      </c>
      <c r="AW1326">
        <v>0</v>
      </c>
      <c r="AX1326">
        <v>0</v>
      </c>
      <c r="AY1326">
        <v>0</v>
      </c>
      <c r="AZ1326">
        <v>0</v>
      </c>
      <c r="BA1326">
        <v>0</v>
      </c>
      <c r="BB1326">
        <v>0</v>
      </c>
      <c r="BC1326">
        <v>0</v>
      </c>
      <c r="BD1326">
        <v>0</v>
      </c>
      <c r="BE1326">
        <v>0</v>
      </c>
      <c r="BF1326">
        <v>0</v>
      </c>
      <c r="BG1326">
        <v>0</v>
      </c>
      <c r="BH1326">
        <v>1</v>
      </c>
      <c r="BI1326">
        <v>1</v>
      </c>
      <c r="BJ1326">
        <v>0.2</v>
      </c>
      <c r="BK1326">
        <v>1</v>
      </c>
      <c r="BL1326">
        <v>134.65</v>
      </c>
      <c r="BM1326">
        <v>20.2</v>
      </c>
      <c r="BN1326">
        <v>154.85</v>
      </c>
      <c r="BO1326">
        <v>154.85</v>
      </c>
      <c r="BQ1326" t="s">
        <v>372</v>
      </c>
      <c r="BR1326" t="s">
        <v>84</v>
      </c>
      <c r="BS1326" s="3">
        <v>45819</v>
      </c>
      <c r="BT1326" s="4">
        <v>0.42638888888888887</v>
      </c>
      <c r="BU1326" t="s">
        <v>1987</v>
      </c>
      <c r="BV1326" t="s">
        <v>86</v>
      </c>
      <c r="BY1326">
        <v>1200</v>
      </c>
      <c r="CC1326" t="s">
        <v>370</v>
      </c>
      <c r="CD1326">
        <v>7130</v>
      </c>
      <c r="CE1326" t="s">
        <v>215</v>
      </c>
      <c r="CI1326">
        <v>1</v>
      </c>
      <c r="CJ1326">
        <v>1</v>
      </c>
      <c r="CK1326">
        <v>23</v>
      </c>
      <c r="CL1326" t="s">
        <v>90</v>
      </c>
    </row>
    <row r="1327" spans="1:90" x14ac:dyDescent="0.3">
      <c r="A1327" t="s">
        <v>72</v>
      </c>
      <c r="B1327" t="s">
        <v>73</v>
      </c>
      <c r="C1327" t="s">
        <v>74</v>
      </c>
      <c r="E1327" t="str">
        <f>"080065870754"</f>
        <v>080065870754</v>
      </c>
      <c r="F1327" s="3">
        <v>45818</v>
      </c>
      <c r="G1327">
        <v>202603</v>
      </c>
      <c r="H1327" t="s">
        <v>75</v>
      </c>
      <c r="I1327" t="s">
        <v>76</v>
      </c>
      <c r="J1327" t="s">
        <v>77</v>
      </c>
      <c r="K1327" t="s">
        <v>78</v>
      </c>
      <c r="L1327" t="s">
        <v>100</v>
      </c>
      <c r="M1327" t="s">
        <v>101</v>
      </c>
      <c r="N1327" t="s">
        <v>123</v>
      </c>
      <c r="O1327" t="s">
        <v>82</v>
      </c>
      <c r="P1327" t="str">
        <f>"4170043259                    "</f>
        <v xml:space="preserve">4170043259                    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20.9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  <c r="BE1327">
        <v>0</v>
      </c>
      <c r="BF1327">
        <v>0</v>
      </c>
      <c r="BG1327">
        <v>0</v>
      </c>
      <c r="BH1327">
        <v>1</v>
      </c>
      <c r="BI1327">
        <v>1</v>
      </c>
      <c r="BJ1327">
        <v>0.2</v>
      </c>
      <c r="BK1327">
        <v>1</v>
      </c>
      <c r="BL1327">
        <v>69.5</v>
      </c>
      <c r="BM1327">
        <v>10.43</v>
      </c>
      <c r="BN1327">
        <v>79.930000000000007</v>
      </c>
      <c r="BO1327">
        <v>79.930000000000007</v>
      </c>
      <c r="BQ1327" t="s">
        <v>124</v>
      </c>
      <c r="BR1327" t="s">
        <v>84</v>
      </c>
      <c r="BS1327" s="3">
        <v>45819</v>
      </c>
      <c r="BT1327" s="4">
        <v>0.40902777777777777</v>
      </c>
      <c r="BU1327" t="s">
        <v>688</v>
      </c>
      <c r="BV1327" t="s">
        <v>86</v>
      </c>
      <c r="BY1327">
        <v>1200</v>
      </c>
      <c r="CA1327" t="s">
        <v>235</v>
      </c>
      <c r="CC1327" t="s">
        <v>101</v>
      </c>
      <c r="CD1327">
        <v>6001</v>
      </c>
      <c r="CE1327" t="s">
        <v>215</v>
      </c>
      <c r="CF1327" s="3">
        <v>45819</v>
      </c>
      <c r="CI1327">
        <v>1</v>
      </c>
      <c r="CJ1327">
        <v>1</v>
      </c>
      <c r="CK1327">
        <v>21</v>
      </c>
      <c r="CL1327" t="s">
        <v>90</v>
      </c>
    </row>
    <row r="1328" spans="1:90" x14ac:dyDescent="0.3">
      <c r="A1328" t="s">
        <v>72</v>
      </c>
      <c r="B1328" t="s">
        <v>73</v>
      </c>
      <c r="C1328" t="s">
        <v>74</v>
      </c>
      <c r="E1328" t="str">
        <f>"080065870814"</f>
        <v>080065870814</v>
      </c>
      <c r="F1328" s="3">
        <v>45818</v>
      </c>
      <c r="G1328">
        <v>202603</v>
      </c>
      <c r="H1328" t="s">
        <v>75</v>
      </c>
      <c r="I1328" t="s">
        <v>76</v>
      </c>
      <c r="J1328" t="s">
        <v>77</v>
      </c>
      <c r="K1328" t="s">
        <v>78</v>
      </c>
      <c r="L1328" t="s">
        <v>100</v>
      </c>
      <c r="M1328" t="s">
        <v>101</v>
      </c>
      <c r="N1328" t="s">
        <v>581</v>
      </c>
      <c r="O1328" t="s">
        <v>82</v>
      </c>
      <c r="P1328" t="str">
        <f>"4170043123                    "</f>
        <v xml:space="preserve">4170043123                    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20.9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  <c r="BB1328">
        <v>0</v>
      </c>
      <c r="BC1328">
        <v>0</v>
      </c>
      <c r="BD1328">
        <v>0</v>
      </c>
      <c r="BE1328">
        <v>0</v>
      </c>
      <c r="BF1328">
        <v>0</v>
      </c>
      <c r="BG1328">
        <v>0</v>
      </c>
      <c r="BH1328">
        <v>1</v>
      </c>
      <c r="BI1328">
        <v>1</v>
      </c>
      <c r="BJ1328">
        <v>0.2</v>
      </c>
      <c r="BK1328">
        <v>1</v>
      </c>
      <c r="BL1328">
        <v>69.5</v>
      </c>
      <c r="BM1328">
        <v>10.43</v>
      </c>
      <c r="BN1328">
        <v>79.930000000000007</v>
      </c>
      <c r="BO1328">
        <v>79.930000000000007</v>
      </c>
      <c r="BQ1328" t="s">
        <v>582</v>
      </c>
      <c r="BR1328" t="s">
        <v>84</v>
      </c>
      <c r="BS1328" s="3">
        <v>45819</v>
      </c>
      <c r="BT1328" s="4">
        <v>0.41319444444444442</v>
      </c>
      <c r="BU1328" t="s">
        <v>1988</v>
      </c>
      <c r="BV1328" t="s">
        <v>86</v>
      </c>
      <c r="BY1328">
        <v>1200</v>
      </c>
      <c r="CA1328" t="s">
        <v>235</v>
      </c>
      <c r="CC1328" t="s">
        <v>101</v>
      </c>
      <c r="CD1328">
        <v>6056</v>
      </c>
      <c r="CE1328" t="s">
        <v>215</v>
      </c>
      <c r="CF1328" s="3">
        <v>45819</v>
      </c>
      <c r="CI1328">
        <v>1</v>
      </c>
      <c r="CJ1328">
        <v>1</v>
      </c>
      <c r="CK1328">
        <v>21</v>
      </c>
      <c r="CL1328" t="s">
        <v>90</v>
      </c>
    </row>
    <row r="1329" spans="1:90" x14ac:dyDescent="0.3">
      <c r="A1329" t="s">
        <v>72</v>
      </c>
      <c r="B1329" t="s">
        <v>73</v>
      </c>
      <c r="C1329" t="s">
        <v>74</v>
      </c>
      <c r="E1329" t="str">
        <f>"080065870853"</f>
        <v>080065870853</v>
      </c>
      <c r="F1329" s="3">
        <v>45818</v>
      </c>
      <c r="G1329">
        <v>202603</v>
      </c>
      <c r="H1329" t="s">
        <v>75</v>
      </c>
      <c r="I1329" t="s">
        <v>76</v>
      </c>
      <c r="J1329" t="s">
        <v>77</v>
      </c>
      <c r="K1329" t="s">
        <v>78</v>
      </c>
      <c r="L1329" t="s">
        <v>628</v>
      </c>
      <c r="M1329" t="s">
        <v>629</v>
      </c>
      <c r="N1329" t="s">
        <v>236</v>
      </c>
      <c r="O1329" t="s">
        <v>82</v>
      </c>
      <c r="P1329" t="str">
        <f>"4170043246                    "</f>
        <v xml:space="preserve">4170043246                    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20.9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  <c r="BB1329">
        <v>0</v>
      </c>
      <c r="BC1329">
        <v>0</v>
      </c>
      <c r="BD1329">
        <v>0</v>
      </c>
      <c r="BE1329">
        <v>0</v>
      </c>
      <c r="BF1329">
        <v>0</v>
      </c>
      <c r="BG1329">
        <v>0</v>
      </c>
      <c r="BH1329">
        <v>1</v>
      </c>
      <c r="BI1329">
        <v>1</v>
      </c>
      <c r="BJ1329">
        <v>0.2</v>
      </c>
      <c r="BK1329">
        <v>1</v>
      </c>
      <c r="BL1329">
        <v>69.5</v>
      </c>
      <c r="BM1329">
        <v>10.43</v>
      </c>
      <c r="BN1329">
        <v>79.930000000000007</v>
      </c>
      <c r="BO1329">
        <v>79.930000000000007</v>
      </c>
      <c r="BQ1329" t="s">
        <v>1804</v>
      </c>
      <c r="BR1329" t="s">
        <v>84</v>
      </c>
      <c r="BS1329" s="3">
        <v>45819</v>
      </c>
      <c r="BT1329" s="4">
        <v>0.43125000000000002</v>
      </c>
      <c r="BU1329" t="s">
        <v>1805</v>
      </c>
      <c r="BV1329" t="s">
        <v>86</v>
      </c>
      <c r="BY1329">
        <v>1200</v>
      </c>
      <c r="CA1329" t="s">
        <v>223</v>
      </c>
      <c r="CC1329" t="s">
        <v>629</v>
      </c>
      <c r="CD1329">
        <v>6220</v>
      </c>
      <c r="CE1329" t="s">
        <v>215</v>
      </c>
      <c r="CF1329" s="3">
        <v>45819</v>
      </c>
      <c r="CI1329">
        <v>1</v>
      </c>
      <c r="CJ1329">
        <v>1</v>
      </c>
      <c r="CK1329">
        <v>21</v>
      </c>
      <c r="CL1329" t="s">
        <v>90</v>
      </c>
    </row>
    <row r="1330" spans="1:90" x14ac:dyDescent="0.3">
      <c r="A1330" t="s">
        <v>72</v>
      </c>
      <c r="B1330" t="s">
        <v>73</v>
      </c>
      <c r="C1330" t="s">
        <v>74</v>
      </c>
      <c r="E1330" t="str">
        <f>"080065870888"</f>
        <v>080065870888</v>
      </c>
      <c r="F1330" s="3">
        <v>45818</v>
      </c>
      <c r="G1330">
        <v>202603</v>
      </c>
      <c r="H1330" t="s">
        <v>75</v>
      </c>
      <c r="I1330" t="s">
        <v>76</v>
      </c>
      <c r="J1330" t="s">
        <v>77</v>
      </c>
      <c r="K1330" t="s">
        <v>78</v>
      </c>
      <c r="L1330" t="s">
        <v>91</v>
      </c>
      <c r="M1330" t="s">
        <v>92</v>
      </c>
      <c r="N1330" t="s">
        <v>952</v>
      </c>
      <c r="O1330" t="s">
        <v>82</v>
      </c>
      <c r="P1330" t="str">
        <f>"4170043164                    "</f>
        <v xml:space="preserve">4170043164                    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20.9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</v>
      </c>
      <c r="AX1330">
        <v>0</v>
      </c>
      <c r="AY1330">
        <v>0</v>
      </c>
      <c r="AZ1330">
        <v>0</v>
      </c>
      <c r="BA1330">
        <v>0</v>
      </c>
      <c r="BB1330">
        <v>0</v>
      </c>
      <c r="BC1330">
        <v>0</v>
      </c>
      <c r="BD1330">
        <v>0</v>
      </c>
      <c r="BE1330">
        <v>0</v>
      </c>
      <c r="BF1330">
        <v>0</v>
      </c>
      <c r="BG1330">
        <v>0</v>
      </c>
      <c r="BH1330">
        <v>1</v>
      </c>
      <c r="BI1330">
        <v>1</v>
      </c>
      <c r="BJ1330">
        <v>0.2</v>
      </c>
      <c r="BK1330">
        <v>1</v>
      </c>
      <c r="BL1330">
        <v>69.5</v>
      </c>
      <c r="BM1330">
        <v>10.43</v>
      </c>
      <c r="BN1330">
        <v>79.930000000000007</v>
      </c>
      <c r="BO1330">
        <v>79.930000000000007</v>
      </c>
      <c r="BQ1330" t="s">
        <v>953</v>
      </c>
      <c r="BR1330" t="s">
        <v>84</v>
      </c>
      <c r="BS1330" s="3">
        <v>45819</v>
      </c>
      <c r="BT1330" s="4">
        <v>0.42638888888888887</v>
      </c>
      <c r="BU1330" t="s">
        <v>1989</v>
      </c>
      <c r="BV1330" t="s">
        <v>86</v>
      </c>
      <c r="BY1330">
        <v>1200</v>
      </c>
      <c r="CA1330" t="s">
        <v>955</v>
      </c>
      <c r="CC1330" t="s">
        <v>92</v>
      </c>
      <c r="CD1330">
        <v>7945</v>
      </c>
      <c r="CE1330" t="s">
        <v>215</v>
      </c>
      <c r="CI1330">
        <v>1</v>
      </c>
      <c r="CJ1330">
        <v>1</v>
      </c>
      <c r="CK1330">
        <v>21</v>
      </c>
      <c r="CL1330" t="s">
        <v>90</v>
      </c>
    </row>
    <row r="1331" spans="1:90" x14ac:dyDescent="0.3">
      <c r="A1331" t="s">
        <v>72</v>
      </c>
      <c r="B1331" t="s">
        <v>73</v>
      </c>
      <c r="C1331" t="s">
        <v>74</v>
      </c>
      <c r="E1331" t="str">
        <f>"080065870930"</f>
        <v>080065870930</v>
      </c>
      <c r="F1331" s="3">
        <v>45818</v>
      </c>
      <c r="G1331">
        <v>202603</v>
      </c>
      <c r="H1331" t="s">
        <v>75</v>
      </c>
      <c r="I1331" t="s">
        <v>76</v>
      </c>
      <c r="J1331" t="s">
        <v>77</v>
      </c>
      <c r="K1331" t="s">
        <v>78</v>
      </c>
      <c r="L1331" t="s">
        <v>628</v>
      </c>
      <c r="M1331" t="s">
        <v>629</v>
      </c>
      <c r="N1331" t="s">
        <v>236</v>
      </c>
      <c r="O1331" t="s">
        <v>82</v>
      </c>
      <c r="P1331" t="str">
        <f>"4170043243                    "</f>
        <v xml:space="preserve">4170043243                    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20.9</v>
      </c>
      <c r="AR1331">
        <v>0</v>
      </c>
      <c r="AS1331">
        <v>0</v>
      </c>
      <c r="AT1331">
        <v>0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  <c r="BB1331">
        <v>0</v>
      </c>
      <c r="BC1331">
        <v>0</v>
      </c>
      <c r="BD1331">
        <v>0</v>
      </c>
      <c r="BE1331">
        <v>0</v>
      </c>
      <c r="BF1331">
        <v>0</v>
      </c>
      <c r="BG1331">
        <v>0</v>
      </c>
      <c r="BH1331">
        <v>1</v>
      </c>
      <c r="BI1331">
        <v>1</v>
      </c>
      <c r="BJ1331">
        <v>0.2</v>
      </c>
      <c r="BK1331">
        <v>1</v>
      </c>
      <c r="BL1331">
        <v>69.5</v>
      </c>
      <c r="BM1331">
        <v>10.43</v>
      </c>
      <c r="BN1331">
        <v>79.930000000000007</v>
      </c>
      <c r="BO1331">
        <v>79.930000000000007</v>
      </c>
      <c r="BQ1331" t="s">
        <v>1804</v>
      </c>
      <c r="BR1331" t="s">
        <v>84</v>
      </c>
      <c r="BS1331" s="3">
        <v>45819</v>
      </c>
      <c r="BT1331" s="4">
        <v>0.43125000000000002</v>
      </c>
      <c r="BU1331" t="s">
        <v>1805</v>
      </c>
      <c r="BV1331" t="s">
        <v>86</v>
      </c>
      <c r="BY1331">
        <v>1200</v>
      </c>
      <c r="CA1331" t="s">
        <v>223</v>
      </c>
      <c r="CC1331" t="s">
        <v>629</v>
      </c>
      <c r="CD1331">
        <v>6220</v>
      </c>
      <c r="CE1331" t="s">
        <v>215</v>
      </c>
      <c r="CF1331" s="3">
        <v>45819</v>
      </c>
      <c r="CI1331">
        <v>1</v>
      </c>
      <c r="CJ1331">
        <v>1</v>
      </c>
      <c r="CK1331">
        <v>21</v>
      </c>
      <c r="CL1331" t="s">
        <v>90</v>
      </c>
    </row>
    <row r="1332" spans="1:90" x14ac:dyDescent="0.3">
      <c r="A1332" t="s">
        <v>72</v>
      </c>
      <c r="B1332" t="s">
        <v>73</v>
      </c>
      <c r="C1332" t="s">
        <v>74</v>
      </c>
      <c r="E1332" t="str">
        <f>"080065870967"</f>
        <v>080065870967</v>
      </c>
      <c r="F1332" s="3">
        <v>45818</v>
      </c>
      <c r="G1332">
        <v>202603</v>
      </c>
      <c r="H1332" t="s">
        <v>75</v>
      </c>
      <c r="I1332" t="s">
        <v>76</v>
      </c>
      <c r="J1332" t="s">
        <v>77</v>
      </c>
      <c r="K1332" t="s">
        <v>78</v>
      </c>
      <c r="L1332" t="s">
        <v>266</v>
      </c>
      <c r="M1332" t="s">
        <v>267</v>
      </c>
      <c r="N1332" t="s">
        <v>1597</v>
      </c>
      <c r="O1332" t="s">
        <v>82</v>
      </c>
      <c r="P1332" t="str">
        <f>"4170043180                    "</f>
        <v xml:space="preserve">4170043180                    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20.9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</v>
      </c>
      <c r="AX1332">
        <v>0</v>
      </c>
      <c r="AY1332">
        <v>0</v>
      </c>
      <c r="AZ1332">
        <v>0</v>
      </c>
      <c r="BA1332">
        <v>0</v>
      </c>
      <c r="BB1332">
        <v>0</v>
      </c>
      <c r="BC1332">
        <v>0</v>
      </c>
      <c r="BD1332">
        <v>0</v>
      </c>
      <c r="BE1332">
        <v>0</v>
      </c>
      <c r="BF1332">
        <v>0</v>
      </c>
      <c r="BG1332">
        <v>0</v>
      </c>
      <c r="BH1332">
        <v>1</v>
      </c>
      <c r="BI1332">
        <v>1</v>
      </c>
      <c r="BJ1332">
        <v>0.2</v>
      </c>
      <c r="BK1332">
        <v>1</v>
      </c>
      <c r="BL1332">
        <v>69.5</v>
      </c>
      <c r="BM1332">
        <v>10.43</v>
      </c>
      <c r="BN1332">
        <v>79.930000000000007</v>
      </c>
      <c r="BO1332">
        <v>79.930000000000007</v>
      </c>
      <c r="BQ1332" t="s">
        <v>1598</v>
      </c>
      <c r="BR1332" t="s">
        <v>84</v>
      </c>
      <c r="BS1332" s="3">
        <v>45819</v>
      </c>
      <c r="BT1332" s="4">
        <v>0.40416666666666667</v>
      </c>
      <c r="BU1332" t="s">
        <v>1885</v>
      </c>
      <c r="BV1332" t="s">
        <v>86</v>
      </c>
      <c r="BY1332">
        <v>1200</v>
      </c>
      <c r="CA1332" t="s">
        <v>271</v>
      </c>
      <c r="CC1332" t="s">
        <v>267</v>
      </c>
      <c r="CD1332">
        <v>6230</v>
      </c>
      <c r="CE1332" t="s">
        <v>1823</v>
      </c>
      <c r="CF1332" s="3">
        <v>45819</v>
      </c>
      <c r="CI1332">
        <v>1</v>
      </c>
      <c r="CJ1332">
        <v>1</v>
      </c>
      <c r="CK1332">
        <v>21</v>
      </c>
      <c r="CL1332" t="s">
        <v>90</v>
      </c>
    </row>
    <row r="1333" spans="1:90" x14ac:dyDescent="0.3">
      <c r="A1333" t="s">
        <v>72</v>
      </c>
      <c r="B1333" t="s">
        <v>73</v>
      </c>
      <c r="C1333" t="s">
        <v>74</v>
      </c>
      <c r="E1333" t="str">
        <f>"080065871032"</f>
        <v>080065871032</v>
      </c>
      <c r="F1333" s="3">
        <v>45818</v>
      </c>
      <c r="G1333">
        <v>202603</v>
      </c>
      <c r="H1333" t="s">
        <v>75</v>
      </c>
      <c r="I1333" t="s">
        <v>76</v>
      </c>
      <c r="J1333" t="s">
        <v>77</v>
      </c>
      <c r="K1333" t="s">
        <v>78</v>
      </c>
      <c r="L1333" t="s">
        <v>154</v>
      </c>
      <c r="M1333" t="s">
        <v>154</v>
      </c>
      <c r="N1333" t="s">
        <v>530</v>
      </c>
      <c r="O1333" t="s">
        <v>82</v>
      </c>
      <c r="P1333" t="str">
        <f>"4170043155                    "</f>
        <v xml:space="preserve">4170043155                    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40.49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</v>
      </c>
      <c r="AX1333">
        <v>0</v>
      </c>
      <c r="AY1333">
        <v>0</v>
      </c>
      <c r="AZ1333">
        <v>0</v>
      </c>
      <c r="BA1333">
        <v>0</v>
      </c>
      <c r="BB1333">
        <v>0</v>
      </c>
      <c r="BC1333">
        <v>0</v>
      </c>
      <c r="BD1333">
        <v>0</v>
      </c>
      <c r="BE1333">
        <v>0</v>
      </c>
      <c r="BF1333">
        <v>0</v>
      </c>
      <c r="BG1333">
        <v>0</v>
      </c>
      <c r="BH1333">
        <v>1</v>
      </c>
      <c r="BI1333">
        <v>1</v>
      </c>
      <c r="BJ1333">
        <v>0.2</v>
      </c>
      <c r="BK1333">
        <v>1</v>
      </c>
      <c r="BL1333">
        <v>134.65</v>
      </c>
      <c r="BM1333">
        <v>20.2</v>
      </c>
      <c r="BN1333">
        <v>154.85</v>
      </c>
      <c r="BO1333">
        <v>154.85</v>
      </c>
      <c r="BQ1333" t="s">
        <v>531</v>
      </c>
      <c r="BR1333" t="s">
        <v>84</v>
      </c>
      <c r="BS1333" s="3">
        <v>45819</v>
      </c>
      <c r="BT1333" s="4">
        <v>0.54097222222222219</v>
      </c>
      <c r="BU1333" t="s">
        <v>532</v>
      </c>
      <c r="BV1333" t="s">
        <v>86</v>
      </c>
      <c r="BY1333">
        <v>1200</v>
      </c>
      <c r="CA1333" t="s">
        <v>158</v>
      </c>
      <c r="CC1333" t="s">
        <v>154</v>
      </c>
      <c r="CD1333">
        <v>7646</v>
      </c>
      <c r="CE1333" t="s">
        <v>215</v>
      </c>
      <c r="CI1333">
        <v>1</v>
      </c>
      <c r="CJ1333">
        <v>1</v>
      </c>
      <c r="CK1333">
        <v>23</v>
      </c>
      <c r="CL1333" t="s">
        <v>90</v>
      </c>
    </row>
    <row r="1334" spans="1:90" x14ac:dyDescent="0.3">
      <c r="A1334" t="s">
        <v>72</v>
      </c>
      <c r="B1334" t="s">
        <v>73</v>
      </c>
      <c r="C1334" t="s">
        <v>74</v>
      </c>
      <c r="E1334" t="str">
        <f>"080065871082"</f>
        <v>080065871082</v>
      </c>
      <c r="F1334" s="3">
        <v>45818</v>
      </c>
      <c r="G1334">
        <v>202603</v>
      </c>
      <c r="H1334" t="s">
        <v>75</v>
      </c>
      <c r="I1334" t="s">
        <v>76</v>
      </c>
      <c r="J1334" t="s">
        <v>77</v>
      </c>
      <c r="K1334" t="s">
        <v>78</v>
      </c>
      <c r="L1334" t="s">
        <v>91</v>
      </c>
      <c r="M1334" t="s">
        <v>92</v>
      </c>
      <c r="N1334" t="s">
        <v>327</v>
      </c>
      <c r="O1334" t="s">
        <v>82</v>
      </c>
      <c r="P1334" t="str">
        <f>"4170043257                    "</f>
        <v xml:space="preserve">4170043257                    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20.9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  <c r="BE1334">
        <v>0</v>
      </c>
      <c r="BF1334">
        <v>0</v>
      </c>
      <c r="BG1334">
        <v>0</v>
      </c>
      <c r="BH1334">
        <v>1</v>
      </c>
      <c r="BI1334">
        <v>1</v>
      </c>
      <c r="BJ1334">
        <v>1.1000000000000001</v>
      </c>
      <c r="BK1334">
        <v>1.5</v>
      </c>
      <c r="BL1334">
        <v>69.5</v>
      </c>
      <c r="BM1334">
        <v>10.43</v>
      </c>
      <c r="BN1334">
        <v>79.930000000000007</v>
      </c>
      <c r="BO1334">
        <v>79.930000000000007</v>
      </c>
      <c r="BQ1334" t="s">
        <v>328</v>
      </c>
      <c r="BR1334" t="s">
        <v>84</v>
      </c>
      <c r="BS1334" s="3">
        <v>45819</v>
      </c>
      <c r="BT1334" s="4">
        <v>0.31805555555555554</v>
      </c>
      <c r="BU1334" t="s">
        <v>775</v>
      </c>
      <c r="BV1334" t="s">
        <v>86</v>
      </c>
      <c r="BY1334">
        <v>5320</v>
      </c>
      <c r="CA1334" t="s">
        <v>330</v>
      </c>
      <c r="CC1334" t="s">
        <v>92</v>
      </c>
      <c r="CD1334">
        <v>7530</v>
      </c>
      <c r="CE1334" t="s">
        <v>687</v>
      </c>
      <c r="CI1334">
        <v>1</v>
      </c>
      <c r="CJ1334">
        <v>1</v>
      </c>
      <c r="CK1334">
        <v>21</v>
      </c>
      <c r="CL1334" t="s">
        <v>90</v>
      </c>
    </row>
    <row r="1335" spans="1:90" x14ac:dyDescent="0.3">
      <c r="A1335" t="s">
        <v>72</v>
      </c>
      <c r="B1335" t="s">
        <v>73</v>
      </c>
      <c r="C1335" t="s">
        <v>74</v>
      </c>
      <c r="E1335" t="str">
        <f>"080065871129"</f>
        <v>080065871129</v>
      </c>
      <c r="F1335" s="3">
        <v>45818</v>
      </c>
      <c r="G1335">
        <v>202603</v>
      </c>
      <c r="H1335" t="s">
        <v>75</v>
      </c>
      <c r="I1335" t="s">
        <v>76</v>
      </c>
      <c r="J1335" t="s">
        <v>77</v>
      </c>
      <c r="K1335" t="s">
        <v>78</v>
      </c>
      <c r="L1335" t="s">
        <v>445</v>
      </c>
      <c r="M1335" t="s">
        <v>446</v>
      </c>
      <c r="N1335" t="s">
        <v>447</v>
      </c>
      <c r="O1335" t="s">
        <v>82</v>
      </c>
      <c r="P1335" t="str">
        <f>"4170043316                    "</f>
        <v xml:space="preserve">4170043316                    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73.099999999999994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</v>
      </c>
      <c r="AX1335">
        <v>0</v>
      </c>
      <c r="AY1335">
        <v>0</v>
      </c>
      <c r="AZ1335">
        <v>0</v>
      </c>
      <c r="BA1335">
        <v>0</v>
      </c>
      <c r="BB1335">
        <v>0</v>
      </c>
      <c r="BC1335">
        <v>0</v>
      </c>
      <c r="BD1335">
        <v>0</v>
      </c>
      <c r="BE1335">
        <v>0</v>
      </c>
      <c r="BF1335">
        <v>0</v>
      </c>
      <c r="BG1335">
        <v>0</v>
      </c>
      <c r="BH1335">
        <v>1</v>
      </c>
      <c r="BI1335">
        <v>7</v>
      </c>
      <c r="BJ1335">
        <v>3.8</v>
      </c>
      <c r="BK1335">
        <v>7</v>
      </c>
      <c r="BL1335">
        <v>243.1</v>
      </c>
      <c r="BM1335">
        <v>36.47</v>
      </c>
      <c r="BN1335">
        <v>279.57</v>
      </c>
      <c r="BO1335">
        <v>279.57</v>
      </c>
      <c r="BQ1335" t="s">
        <v>448</v>
      </c>
      <c r="BR1335" t="s">
        <v>84</v>
      </c>
      <c r="BS1335" s="3">
        <v>45819</v>
      </c>
      <c r="BT1335" s="4">
        <v>0.42569444444444443</v>
      </c>
      <c r="BU1335" t="s">
        <v>1990</v>
      </c>
      <c r="BV1335" t="s">
        <v>86</v>
      </c>
      <c r="BY1335">
        <v>18816</v>
      </c>
      <c r="CA1335" t="s">
        <v>450</v>
      </c>
      <c r="CC1335" t="s">
        <v>446</v>
      </c>
      <c r="CD1335">
        <v>4126</v>
      </c>
      <c r="CE1335" t="s">
        <v>1029</v>
      </c>
      <c r="CF1335" s="3">
        <v>45820</v>
      </c>
      <c r="CI1335">
        <v>1</v>
      </c>
      <c r="CJ1335">
        <v>1</v>
      </c>
      <c r="CK1335">
        <v>21</v>
      </c>
      <c r="CL1335" t="s">
        <v>90</v>
      </c>
    </row>
    <row r="1336" spans="1:90" x14ac:dyDescent="0.3">
      <c r="A1336" t="s">
        <v>72</v>
      </c>
      <c r="B1336" t="s">
        <v>73</v>
      </c>
      <c r="C1336" t="s">
        <v>74</v>
      </c>
      <c r="E1336" t="str">
        <f>"080065871227"</f>
        <v>080065871227</v>
      </c>
      <c r="F1336" s="3">
        <v>45818</v>
      </c>
      <c r="G1336">
        <v>202603</v>
      </c>
      <c r="H1336" t="s">
        <v>75</v>
      </c>
      <c r="I1336" t="s">
        <v>76</v>
      </c>
      <c r="J1336" t="s">
        <v>77</v>
      </c>
      <c r="K1336" t="s">
        <v>78</v>
      </c>
      <c r="L1336" t="s">
        <v>628</v>
      </c>
      <c r="M1336" t="s">
        <v>629</v>
      </c>
      <c r="N1336" t="s">
        <v>236</v>
      </c>
      <c r="O1336" t="s">
        <v>82</v>
      </c>
      <c r="P1336" t="str">
        <f>"4170043144                    "</f>
        <v xml:space="preserve">4170043144                    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41.78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>
        <v>0</v>
      </c>
      <c r="BD1336">
        <v>0</v>
      </c>
      <c r="BE1336">
        <v>0</v>
      </c>
      <c r="BF1336">
        <v>0</v>
      </c>
      <c r="BG1336">
        <v>0</v>
      </c>
      <c r="BH1336">
        <v>1</v>
      </c>
      <c r="BI1336">
        <v>4</v>
      </c>
      <c r="BJ1336">
        <v>2.5</v>
      </c>
      <c r="BK1336">
        <v>4</v>
      </c>
      <c r="BL1336">
        <v>138.94</v>
      </c>
      <c r="BM1336">
        <v>20.84</v>
      </c>
      <c r="BN1336">
        <v>159.78</v>
      </c>
      <c r="BO1336">
        <v>159.78</v>
      </c>
      <c r="BQ1336" t="s">
        <v>1804</v>
      </c>
      <c r="BR1336" t="s">
        <v>84</v>
      </c>
      <c r="BS1336" s="3">
        <v>45819</v>
      </c>
      <c r="BT1336" s="4">
        <v>0.43125000000000002</v>
      </c>
      <c r="BU1336" t="s">
        <v>1805</v>
      </c>
      <c r="BV1336" t="s">
        <v>86</v>
      </c>
      <c r="BY1336">
        <v>12288</v>
      </c>
      <c r="CA1336" t="s">
        <v>223</v>
      </c>
      <c r="CC1336" t="s">
        <v>629</v>
      </c>
      <c r="CD1336">
        <v>6220</v>
      </c>
      <c r="CE1336" t="s">
        <v>166</v>
      </c>
      <c r="CF1336" s="3">
        <v>45819</v>
      </c>
      <c r="CI1336">
        <v>1</v>
      </c>
      <c r="CJ1336">
        <v>1</v>
      </c>
      <c r="CK1336">
        <v>21</v>
      </c>
      <c r="CL1336" t="s">
        <v>90</v>
      </c>
    </row>
    <row r="1337" spans="1:90" x14ac:dyDescent="0.3">
      <c r="A1337" t="s">
        <v>72</v>
      </c>
      <c r="B1337" t="s">
        <v>73</v>
      </c>
      <c r="C1337" t="s">
        <v>74</v>
      </c>
      <c r="E1337" t="str">
        <f>"080065871286"</f>
        <v>080065871286</v>
      </c>
      <c r="F1337" s="3">
        <v>45818</v>
      </c>
      <c r="G1337">
        <v>202603</v>
      </c>
      <c r="H1337" t="s">
        <v>75</v>
      </c>
      <c r="I1337" t="s">
        <v>76</v>
      </c>
      <c r="J1337" t="s">
        <v>77</v>
      </c>
      <c r="K1337" t="s">
        <v>78</v>
      </c>
      <c r="L1337" t="s">
        <v>106</v>
      </c>
      <c r="M1337" t="s">
        <v>107</v>
      </c>
      <c r="N1337" t="s">
        <v>1141</v>
      </c>
      <c r="O1337" t="s">
        <v>94</v>
      </c>
      <c r="P1337" t="str">
        <f>"4170043167                    "</f>
        <v xml:space="preserve">4170043167                    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40.409999999999997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  <c r="BE1337">
        <v>0</v>
      </c>
      <c r="BF1337">
        <v>0</v>
      </c>
      <c r="BG1337">
        <v>0</v>
      </c>
      <c r="BH1337">
        <v>1</v>
      </c>
      <c r="BI1337">
        <v>6</v>
      </c>
      <c r="BJ1337">
        <v>1.7</v>
      </c>
      <c r="BK1337">
        <v>6</v>
      </c>
      <c r="BL1337">
        <v>139.96</v>
      </c>
      <c r="BM1337">
        <v>20.99</v>
      </c>
      <c r="BN1337">
        <v>160.94999999999999</v>
      </c>
      <c r="BO1337">
        <v>160.94999999999999</v>
      </c>
      <c r="BQ1337" t="s">
        <v>1142</v>
      </c>
      <c r="BR1337" t="s">
        <v>84</v>
      </c>
      <c r="BS1337" t="s">
        <v>189</v>
      </c>
      <c r="BY1337">
        <v>8512</v>
      </c>
      <c r="CC1337" t="s">
        <v>107</v>
      </c>
      <c r="CD1337">
        <v>184</v>
      </c>
      <c r="CE1337" t="s">
        <v>687</v>
      </c>
      <c r="CI1337">
        <v>1</v>
      </c>
      <c r="CJ1337" t="s">
        <v>189</v>
      </c>
      <c r="CK1337">
        <v>41</v>
      </c>
      <c r="CL1337" t="s">
        <v>90</v>
      </c>
    </row>
    <row r="1338" spans="1:90" x14ac:dyDescent="0.3">
      <c r="A1338" t="s">
        <v>72</v>
      </c>
      <c r="B1338" t="s">
        <v>73</v>
      </c>
      <c r="C1338" t="s">
        <v>74</v>
      </c>
      <c r="E1338" t="str">
        <f>"080065871345"</f>
        <v>080065871345</v>
      </c>
      <c r="F1338" s="3">
        <v>45818</v>
      </c>
      <c r="G1338">
        <v>202603</v>
      </c>
      <c r="H1338" t="s">
        <v>75</v>
      </c>
      <c r="I1338" t="s">
        <v>76</v>
      </c>
      <c r="J1338" t="s">
        <v>77</v>
      </c>
      <c r="K1338" t="s">
        <v>78</v>
      </c>
      <c r="L1338" t="s">
        <v>504</v>
      </c>
      <c r="M1338" t="s">
        <v>505</v>
      </c>
      <c r="N1338" t="s">
        <v>506</v>
      </c>
      <c r="O1338" t="s">
        <v>82</v>
      </c>
      <c r="P1338" t="str">
        <f>"4170043161                    "</f>
        <v xml:space="preserve">4170043161                    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40.49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  <c r="BB1338">
        <v>0</v>
      </c>
      <c r="BC1338">
        <v>0</v>
      </c>
      <c r="BD1338">
        <v>0</v>
      </c>
      <c r="BE1338">
        <v>0</v>
      </c>
      <c r="BF1338">
        <v>0</v>
      </c>
      <c r="BG1338">
        <v>0</v>
      </c>
      <c r="BH1338">
        <v>1</v>
      </c>
      <c r="BI1338">
        <v>2</v>
      </c>
      <c r="BJ1338">
        <v>1.1000000000000001</v>
      </c>
      <c r="BK1338">
        <v>2</v>
      </c>
      <c r="BL1338">
        <v>134.65</v>
      </c>
      <c r="BM1338">
        <v>20.2</v>
      </c>
      <c r="BN1338">
        <v>154.85</v>
      </c>
      <c r="BO1338">
        <v>154.85</v>
      </c>
      <c r="BQ1338" t="s">
        <v>507</v>
      </c>
      <c r="BR1338" t="s">
        <v>84</v>
      </c>
      <c r="BS1338" s="3">
        <v>45819</v>
      </c>
      <c r="BT1338" s="4">
        <v>0.35069444444444442</v>
      </c>
      <c r="BU1338" t="s">
        <v>508</v>
      </c>
      <c r="BV1338" t="s">
        <v>86</v>
      </c>
      <c r="BY1338">
        <v>5472</v>
      </c>
      <c r="CC1338" t="s">
        <v>505</v>
      </c>
      <c r="CD1338">
        <v>2740</v>
      </c>
      <c r="CE1338" t="s">
        <v>166</v>
      </c>
      <c r="CI1338">
        <v>1</v>
      </c>
      <c r="CJ1338">
        <v>1</v>
      </c>
      <c r="CK1338">
        <v>23</v>
      </c>
      <c r="CL1338" t="s">
        <v>90</v>
      </c>
    </row>
    <row r="1339" spans="1:90" x14ac:dyDescent="0.3">
      <c r="A1339" t="s">
        <v>72</v>
      </c>
      <c r="B1339" t="s">
        <v>73</v>
      </c>
      <c r="C1339" t="s">
        <v>74</v>
      </c>
      <c r="E1339" t="str">
        <f>"080065871359"</f>
        <v>080065871359</v>
      </c>
      <c r="F1339" s="3">
        <v>45818</v>
      </c>
      <c r="G1339">
        <v>202603</v>
      </c>
      <c r="H1339" t="s">
        <v>75</v>
      </c>
      <c r="I1339" t="s">
        <v>76</v>
      </c>
      <c r="J1339" t="s">
        <v>77</v>
      </c>
      <c r="K1339" t="s">
        <v>78</v>
      </c>
      <c r="L1339" t="s">
        <v>369</v>
      </c>
      <c r="M1339" t="s">
        <v>370</v>
      </c>
      <c r="N1339" t="s">
        <v>371</v>
      </c>
      <c r="O1339" t="s">
        <v>82</v>
      </c>
      <c r="P1339" t="str">
        <f>"4170043248                    "</f>
        <v xml:space="preserve">4170043248                    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40.49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</v>
      </c>
      <c r="AX1339">
        <v>0</v>
      </c>
      <c r="AY1339">
        <v>0</v>
      </c>
      <c r="AZ1339">
        <v>0</v>
      </c>
      <c r="BA1339">
        <v>0</v>
      </c>
      <c r="BB1339">
        <v>0</v>
      </c>
      <c r="BC1339">
        <v>0</v>
      </c>
      <c r="BD1339">
        <v>0</v>
      </c>
      <c r="BE1339">
        <v>0</v>
      </c>
      <c r="BF1339">
        <v>0</v>
      </c>
      <c r="BG1339">
        <v>0</v>
      </c>
      <c r="BH1339">
        <v>1</v>
      </c>
      <c r="BI1339">
        <v>1</v>
      </c>
      <c r="BJ1339">
        <v>0.2</v>
      </c>
      <c r="BK1339">
        <v>1</v>
      </c>
      <c r="BL1339">
        <v>134.65</v>
      </c>
      <c r="BM1339">
        <v>20.2</v>
      </c>
      <c r="BN1339">
        <v>154.85</v>
      </c>
      <c r="BO1339">
        <v>154.85</v>
      </c>
      <c r="BQ1339" t="s">
        <v>372</v>
      </c>
      <c r="BR1339" t="s">
        <v>84</v>
      </c>
      <c r="BS1339" s="3">
        <v>45819</v>
      </c>
      <c r="BT1339" s="4">
        <v>0.42638888888888887</v>
      </c>
      <c r="BU1339" t="s">
        <v>1987</v>
      </c>
      <c r="BV1339" t="s">
        <v>86</v>
      </c>
      <c r="BY1339">
        <v>1200</v>
      </c>
      <c r="CC1339" t="s">
        <v>370</v>
      </c>
      <c r="CD1339">
        <v>7130</v>
      </c>
      <c r="CE1339" t="s">
        <v>215</v>
      </c>
      <c r="CI1339">
        <v>1</v>
      </c>
      <c r="CJ1339">
        <v>1</v>
      </c>
      <c r="CK1339">
        <v>23</v>
      </c>
      <c r="CL1339" t="s">
        <v>90</v>
      </c>
    </row>
    <row r="1340" spans="1:90" x14ac:dyDescent="0.3">
      <c r="A1340" t="s">
        <v>72</v>
      </c>
      <c r="B1340" t="s">
        <v>73</v>
      </c>
      <c r="C1340" t="s">
        <v>74</v>
      </c>
      <c r="E1340" t="str">
        <f>"080065871416"</f>
        <v>080065871416</v>
      </c>
      <c r="F1340" s="3">
        <v>45818</v>
      </c>
      <c r="G1340">
        <v>202603</v>
      </c>
      <c r="H1340" t="s">
        <v>75</v>
      </c>
      <c r="I1340" t="s">
        <v>76</v>
      </c>
      <c r="J1340" t="s">
        <v>77</v>
      </c>
      <c r="K1340" t="s">
        <v>78</v>
      </c>
      <c r="L1340" t="s">
        <v>555</v>
      </c>
      <c r="M1340" t="s">
        <v>556</v>
      </c>
      <c r="N1340" t="s">
        <v>1678</v>
      </c>
      <c r="O1340" t="s">
        <v>82</v>
      </c>
      <c r="P1340" t="str">
        <f>"4170043295                    "</f>
        <v xml:space="preserve">4170043295                    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40.49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</v>
      </c>
      <c r="AX1340">
        <v>0</v>
      </c>
      <c r="AY1340">
        <v>0</v>
      </c>
      <c r="AZ1340">
        <v>0</v>
      </c>
      <c r="BA1340">
        <v>0</v>
      </c>
      <c r="BB1340">
        <v>0</v>
      </c>
      <c r="BC1340">
        <v>0</v>
      </c>
      <c r="BD1340">
        <v>0</v>
      </c>
      <c r="BE1340">
        <v>0</v>
      </c>
      <c r="BF1340">
        <v>0</v>
      </c>
      <c r="BG1340">
        <v>0</v>
      </c>
      <c r="BH1340">
        <v>1</v>
      </c>
      <c r="BI1340">
        <v>1</v>
      </c>
      <c r="BJ1340">
        <v>0.2</v>
      </c>
      <c r="BK1340">
        <v>1</v>
      </c>
      <c r="BL1340">
        <v>134.65</v>
      </c>
      <c r="BM1340">
        <v>20.2</v>
      </c>
      <c r="BN1340">
        <v>154.85</v>
      </c>
      <c r="BO1340">
        <v>154.85</v>
      </c>
      <c r="BQ1340" t="s">
        <v>1679</v>
      </c>
      <c r="BR1340" t="s">
        <v>84</v>
      </c>
      <c r="BS1340" s="3">
        <v>45819</v>
      </c>
      <c r="BT1340" s="4">
        <v>0.41805555555555557</v>
      </c>
      <c r="BU1340" t="s">
        <v>1680</v>
      </c>
      <c r="BV1340" t="s">
        <v>86</v>
      </c>
      <c r="BY1340">
        <v>1200</v>
      </c>
      <c r="CA1340" t="s">
        <v>560</v>
      </c>
      <c r="CC1340" t="s">
        <v>556</v>
      </c>
      <c r="CD1340">
        <v>250</v>
      </c>
      <c r="CE1340" t="s">
        <v>215</v>
      </c>
      <c r="CI1340">
        <v>1</v>
      </c>
      <c r="CJ1340">
        <v>1</v>
      </c>
      <c r="CK1340">
        <v>23</v>
      </c>
      <c r="CL1340" t="s">
        <v>90</v>
      </c>
    </row>
    <row r="1341" spans="1:90" x14ac:dyDescent="0.3">
      <c r="A1341" t="s">
        <v>72</v>
      </c>
      <c r="B1341" t="s">
        <v>73</v>
      </c>
      <c r="C1341" t="s">
        <v>74</v>
      </c>
      <c r="E1341" t="str">
        <f>"080065871522"</f>
        <v>080065871522</v>
      </c>
      <c r="F1341" s="3">
        <v>45818</v>
      </c>
      <c r="G1341">
        <v>202603</v>
      </c>
      <c r="H1341" t="s">
        <v>75</v>
      </c>
      <c r="I1341" t="s">
        <v>76</v>
      </c>
      <c r="J1341" t="s">
        <v>77</v>
      </c>
      <c r="K1341" t="s">
        <v>78</v>
      </c>
      <c r="L1341" t="s">
        <v>130</v>
      </c>
      <c r="M1341" t="s">
        <v>131</v>
      </c>
      <c r="N1341" t="s">
        <v>1991</v>
      </c>
      <c r="O1341" t="s">
        <v>82</v>
      </c>
      <c r="P1341" t="str">
        <f>"4170043222                    "</f>
        <v xml:space="preserve">4170043222                    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16.32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</v>
      </c>
      <c r="AX1341">
        <v>0</v>
      </c>
      <c r="AY1341">
        <v>0</v>
      </c>
      <c r="AZ1341">
        <v>0</v>
      </c>
      <c r="BA1341">
        <v>0</v>
      </c>
      <c r="BB1341">
        <v>0</v>
      </c>
      <c r="BC1341">
        <v>0</v>
      </c>
      <c r="BD1341">
        <v>0</v>
      </c>
      <c r="BE1341">
        <v>0</v>
      </c>
      <c r="BF1341">
        <v>0</v>
      </c>
      <c r="BG1341">
        <v>0</v>
      </c>
      <c r="BH1341">
        <v>1</v>
      </c>
      <c r="BI1341">
        <v>1</v>
      </c>
      <c r="BJ1341">
        <v>0.2</v>
      </c>
      <c r="BK1341">
        <v>1</v>
      </c>
      <c r="BL1341">
        <v>54.28</v>
      </c>
      <c r="BM1341">
        <v>8.14</v>
      </c>
      <c r="BN1341">
        <v>62.42</v>
      </c>
      <c r="BO1341">
        <v>62.42</v>
      </c>
      <c r="BQ1341" t="s">
        <v>1992</v>
      </c>
      <c r="BR1341" t="s">
        <v>84</v>
      </c>
      <c r="BS1341" s="3">
        <v>45819</v>
      </c>
      <c r="BT1341" s="4">
        <v>0.39861111111111114</v>
      </c>
      <c r="BU1341" t="s">
        <v>1993</v>
      </c>
      <c r="BV1341" t="s">
        <v>86</v>
      </c>
      <c r="BY1341">
        <v>1200</v>
      </c>
      <c r="CA1341" t="s">
        <v>1994</v>
      </c>
      <c r="CC1341" t="s">
        <v>131</v>
      </c>
      <c r="CD1341">
        <v>1459</v>
      </c>
      <c r="CE1341" t="s">
        <v>215</v>
      </c>
      <c r="CF1341" s="3">
        <v>45820</v>
      </c>
      <c r="CI1341">
        <v>1</v>
      </c>
      <c r="CJ1341">
        <v>1</v>
      </c>
      <c r="CK1341">
        <v>22</v>
      </c>
      <c r="CL1341" t="s">
        <v>90</v>
      </c>
    </row>
    <row r="1342" spans="1:90" x14ac:dyDescent="0.3">
      <c r="A1342" t="s">
        <v>72</v>
      </c>
      <c r="B1342" t="s">
        <v>73</v>
      </c>
      <c r="C1342" t="s">
        <v>74</v>
      </c>
      <c r="E1342" t="str">
        <f>"080065871536"</f>
        <v>080065871536</v>
      </c>
      <c r="F1342" s="3">
        <v>45818</v>
      </c>
      <c r="G1342">
        <v>202603</v>
      </c>
      <c r="H1342" t="s">
        <v>75</v>
      </c>
      <c r="I1342" t="s">
        <v>76</v>
      </c>
      <c r="J1342" t="s">
        <v>77</v>
      </c>
      <c r="K1342" t="s">
        <v>78</v>
      </c>
      <c r="L1342" t="s">
        <v>1995</v>
      </c>
      <c r="M1342" t="s">
        <v>1996</v>
      </c>
      <c r="N1342" t="s">
        <v>1997</v>
      </c>
      <c r="O1342" t="s">
        <v>82</v>
      </c>
      <c r="P1342" t="str">
        <f>"4170043223                    "</f>
        <v xml:space="preserve">4170043223                    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40.49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  <c r="BB1342">
        <v>0</v>
      </c>
      <c r="BC1342">
        <v>0</v>
      </c>
      <c r="BD1342">
        <v>0</v>
      </c>
      <c r="BE1342">
        <v>0</v>
      </c>
      <c r="BF1342">
        <v>0</v>
      </c>
      <c r="BG1342">
        <v>0</v>
      </c>
      <c r="BH1342">
        <v>1</v>
      </c>
      <c r="BI1342">
        <v>1</v>
      </c>
      <c r="BJ1342">
        <v>1.7</v>
      </c>
      <c r="BK1342">
        <v>2</v>
      </c>
      <c r="BL1342">
        <v>134.65</v>
      </c>
      <c r="BM1342">
        <v>20.2</v>
      </c>
      <c r="BN1342">
        <v>154.85</v>
      </c>
      <c r="BO1342">
        <v>154.85</v>
      </c>
      <c r="BQ1342" t="s">
        <v>1998</v>
      </c>
      <c r="BR1342" t="s">
        <v>84</v>
      </c>
      <c r="BS1342" t="s">
        <v>189</v>
      </c>
      <c r="BY1342">
        <v>8512</v>
      </c>
      <c r="CC1342" t="s">
        <v>1996</v>
      </c>
      <c r="CD1342">
        <v>6600</v>
      </c>
      <c r="CE1342" t="s">
        <v>292</v>
      </c>
      <c r="CI1342">
        <v>2</v>
      </c>
      <c r="CJ1342" t="s">
        <v>189</v>
      </c>
      <c r="CK1342">
        <v>23</v>
      </c>
      <c r="CL1342" t="s">
        <v>90</v>
      </c>
    </row>
    <row r="1343" spans="1:90" x14ac:dyDescent="0.3">
      <c r="A1343" t="s">
        <v>72</v>
      </c>
      <c r="B1343" t="s">
        <v>73</v>
      </c>
      <c r="C1343" t="s">
        <v>74</v>
      </c>
      <c r="E1343" t="str">
        <f>"080065871608"</f>
        <v>080065871608</v>
      </c>
      <c r="F1343" s="3">
        <v>45818</v>
      </c>
      <c r="G1343">
        <v>202603</v>
      </c>
      <c r="H1343" t="s">
        <v>75</v>
      </c>
      <c r="I1343" t="s">
        <v>76</v>
      </c>
      <c r="J1343" t="s">
        <v>77</v>
      </c>
      <c r="K1343" t="s">
        <v>78</v>
      </c>
      <c r="L1343" t="s">
        <v>615</v>
      </c>
      <c r="M1343" t="s">
        <v>616</v>
      </c>
      <c r="N1343" t="s">
        <v>863</v>
      </c>
      <c r="O1343" t="s">
        <v>82</v>
      </c>
      <c r="P1343" t="str">
        <f>"4170043249                    "</f>
        <v xml:space="preserve">4170043249                    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40.49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>
        <v>0</v>
      </c>
      <c r="BD1343">
        <v>0</v>
      </c>
      <c r="BE1343">
        <v>0</v>
      </c>
      <c r="BF1343">
        <v>0</v>
      </c>
      <c r="BG1343">
        <v>0</v>
      </c>
      <c r="BH1343">
        <v>1</v>
      </c>
      <c r="BI1343">
        <v>1</v>
      </c>
      <c r="BJ1343">
        <v>1.1000000000000001</v>
      </c>
      <c r="BK1343">
        <v>1.5</v>
      </c>
      <c r="BL1343">
        <v>134.65</v>
      </c>
      <c r="BM1343">
        <v>20.2</v>
      </c>
      <c r="BN1343">
        <v>154.85</v>
      </c>
      <c r="BO1343">
        <v>154.85</v>
      </c>
      <c r="BQ1343" t="s">
        <v>864</v>
      </c>
      <c r="BR1343" t="s">
        <v>84</v>
      </c>
      <c r="BS1343" s="3">
        <v>45819</v>
      </c>
      <c r="BT1343" s="4">
        <v>0.57986111111111116</v>
      </c>
      <c r="BU1343" t="s">
        <v>1107</v>
      </c>
      <c r="BV1343" t="s">
        <v>86</v>
      </c>
      <c r="BY1343">
        <v>5320</v>
      </c>
      <c r="CA1343" t="s">
        <v>620</v>
      </c>
      <c r="CC1343" t="s">
        <v>616</v>
      </c>
      <c r="CD1343">
        <v>6850</v>
      </c>
      <c r="CE1343" t="s">
        <v>687</v>
      </c>
      <c r="CI1343">
        <v>2</v>
      </c>
      <c r="CJ1343">
        <v>1</v>
      </c>
      <c r="CK1343">
        <v>23</v>
      </c>
      <c r="CL1343" t="s">
        <v>90</v>
      </c>
    </row>
    <row r="1344" spans="1:90" x14ac:dyDescent="0.3">
      <c r="A1344" t="s">
        <v>72</v>
      </c>
      <c r="B1344" t="s">
        <v>73</v>
      </c>
      <c r="C1344" t="s">
        <v>74</v>
      </c>
      <c r="E1344" t="str">
        <f>"080065871616"</f>
        <v>080065871616</v>
      </c>
      <c r="F1344" s="3">
        <v>45818</v>
      </c>
      <c r="G1344">
        <v>202603</v>
      </c>
      <c r="H1344" t="s">
        <v>75</v>
      </c>
      <c r="I1344" t="s">
        <v>76</v>
      </c>
      <c r="J1344" t="s">
        <v>77</v>
      </c>
      <c r="K1344" t="s">
        <v>78</v>
      </c>
      <c r="L1344" t="s">
        <v>604</v>
      </c>
      <c r="M1344" t="s">
        <v>605</v>
      </c>
      <c r="N1344" t="s">
        <v>1999</v>
      </c>
      <c r="O1344" t="s">
        <v>82</v>
      </c>
      <c r="P1344" t="str">
        <f>"4170043325                    "</f>
        <v xml:space="preserve">4170043325                    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40.49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</v>
      </c>
      <c r="AX1344">
        <v>0</v>
      </c>
      <c r="AY1344">
        <v>0</v>
      </c>
      <c r="AZ1344">
        <v>0</v>
      </c>
      <c r="BA1344">
        <v>0</v>
      </c>
      <c r="BB1344">
        <v>0</v>
      </c>
      <c r="BC1344">
        <v>0</v>
      </c>
      <c r="BD1344">
        <v>0</v>
      </c>
      <c r="BE1344">
        <v>0</v>
      </c>
      <c r="BF1344">
        <v>0</v>
      </c>
      <c r="BG1344">
        <v>0</v>
      </c>
      <c r="BH1344">
        <v>1</v>
      </c>
      <c r="BI1344">
        <v>1</v>
      </c>
      <c r="BJ1344">
        <v>0.2</v>
      </c>
      <c r="BK1344">
        <v>1</v>
      </c>
      <c r="BL1344">
        <v>134.65</v>
      </c>
      <c r="BM1344">
        <v>20.2</v>
      </c>
      <c r="BN1344">
        <v>154.85</v>
      </c>
      <c r="BO1344">
        <v>154.85</v>
      </c>
      <c r="BQ1344" t="s">
        <v>2000</v>
      </c>
      <c r="BR1344" t="s">
        <v>84</v>
      </c>
      <c r="BS1344" s="3">
        <v>45819</v>
      </c>
      <c r="BT1344" s="4">
        <v>0.36458333333333331</v>
      </c>
      <c r="BU1344" t="s">
        <v>2001</v>
      </c>
      <c r="BV1344" t="s">
        <v>86</v>
      </c>
      <c r="BY1344">
        <v>1200</v>
      </c>
      <c r="CA1344" t="s">
        <v>2002</v>
      </c>
      <c r="CC1344" t="s">
        <v>605</v>
      </c>
      <c r="CD1344">
        <v>1034</v>
      </c>
      <c r="CE1344" t="s">
        <v>215</v>
      </c>
      <c r="CF1344" s="3">
        <v>45819</v>
      </c>
      <c r="CI1344">
        <v>1</v>
      </c>
      <c r="CJ1344">
        <v>1</v>
      </c>
      <c r="CK1344">
        <v>23</v>
      </c>
      <c r="CL1344" t="s">
        <v>90</v>
      </c>
    </row>
    <row r="1345" spans="1:90" x14ac:dyDescent="0.3">
      <c r="A1345" t="s">
        <v>72</v>
      </c>
      <c r="B1345" t="s">
        <v>73</v>
      </c>
      <c r="C1345" t="s">
        <v>74</v>
      </c>
      <c r="E1345" t="str">
        <f>"080065871644"</f>
        <v>080065871644</v>
      </c>
      <c r="F1345" s="3">
        <v>45818</v>
      </c>
      <c r="G1345">
        <v>202603</v>
      </c>
      <c r="H1345" t="s">
        <v>75</v>
      </c>
      <c r="I1345" t="s">
        <v>76</v>
      </c>
      <c r="J1345" t="s">
        <v>77</v>
      </c>
      <c r="K1345" t="s">
        <v>78</v>
      </c>
      <c r="L1345" t="s">
        <v>555</v>
      </c>
      <c r="M1345" t="s">
        <v>556</v>
      </c>
      <c r="N1345" t="s">
        <v>557</v>
      </c>
      <c r="O1345" t="s">
        <v>82</v>
      </c>
      <c r="P1345" t="str">
        <f>"4170043129                    "</f>
        <v xml:space="preserve">4170043129                    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40.49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  <c r="BB1345">
        <v>0</v>
      </c>
      <c r="BC1345">
        <v>0</v>
      </c>
      <c r="BD1345">
        <v>0</v>
      </c>
      <c r="BE1345">
        <v>0</v>
      </c>
      <c r="BF1345">
        <v>0</v>
      </c>
      <c r="BG1345">
        <v>0</v>
      </c>
      <c r="BH1345">
        <v>1</v>
      </c>
      <c r="BI1345">
        <v>1</v>
      </c>
      <c r="BJ1345">
        <v>0.2</v>
      </c>
      <c r="BK1345">
        <v>1</v>
      </c>
      <c r="BL1345">
        <v>134.65</v>
      </c>
      <c r="BM1345">
        <v>20.2</v>
      </c>
      <c r="BN1345">
        <v>154.85</v>
      </c>
      <c r="BO1345">
        <v>154.85</v>
      </c>
      <c r="BQ1345" t="s">
        <v>558</v>
      </c>
      <c r="BR1345" t="s">
        <v>84</v>
      </c>
      <c r="BS1345" s="3">
        <v>45819</v>
      </c>
      <c r="BT1345" s="4">
        <v>0.42777777777777776</v>
      </c>
      <c r="BU1345" t="s">
        <v>559</v>
      </c>
      <c r="BV1345" t="s">
        <v>86</v>
      </c>
      <c r="BY1345">
        <v>1200</v>
      </c>
      <c r="CA1345" t="s">
        <v>560</v>
      </c>
      <c r="CC1345" t="s">
        <v>556</v>
      </c>
      <c r="CD1345">
        <v>250</v>
      </c>
      <c r="CE1345" t="s">
        <v>215</v>
      </c>
      <c r="CI1345">
        <v>1</v>
      </c>
      <c r="CJ1345">
        <v>1</v>
      </c>
      <c r="CK1345">
        <v>23</v>
      </c>
      <c r="CL1345" t="s">
        <v>90</v>
      </c>
    </row>
    <row r="1346" spans="1:90" x14ac:dyDescent="0.3">
      <c r="A1346" t="s">
        <v>72</v>
      </c>
      <c r="B1346" t="s">
        <v>73</v>
      </c>
      <c r="C1346" t="s">
        <v>74</v>
      </c>
      <c r="E1346" t="str">
        <f>"080065871675"</f>
        <v>080065871675</v>
      </c>
      <c r="F1346" s="3">
        <v>45818</v>
      </c>
      <c r="G1346">
        <v>202603</v>
      </c>
      <c r="H1346" t="s">
        <v>75</v>
      </c>
      <c r="I1346" t="s">
        <v>76</v>
      </c>
      <c r="J1346" t="s">
        <v>77</v>
      </c>
      <c r="K1346" t="s">
        <v>78</v>
      </c>
      <c r="L1346" t="s">
        <v>413</v>
      </c>
      <c r="M1346" t="s">
        <v>414</v>
      </c>
      <c r="N1346" t="s">
        <v>236</v>
      </c>
      <c r="O1346" t="s">
        <v>82</v>
      </c>
      <c r="P1346" t="str">
        <f>"4170043238                    "</f>
        <v xml:space="preserve">4170043238                    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20.9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  <c r="BB1346">
        <v>0</v>
      </c>
      <c r="BC1346">
        <v>0</v>
      </c>
      <c r="BD1346">
        <v>0</v>
      </c>
      <c r="BE1346">
        <v>0</v>
      </c>
      <c r="BF1346">
        <v>0</v>
      </c>
      <c r="BG1346">
        <v>0</v>
      </c>
      <c r="BH1346">
        <v>1</v>
      </c>
      <c r="BI1346">
        <v>1</v>
      </c>
      <c r="BJ1346">
        <v>0.2</v>
      </c>
      <c r="BK1346">
        <v>1</v>
      </c>
      <c r="BL1346">
        <v>69.5</v>
      </c>
      <c r="BM1346">
        <v>10.43</v>
      </c>
      <c r="BN1346">
        <v>79.930000000000007</v>
      </c>
      <c r="BO1346">
        <v>79.930000000000007</v>
      </c>
      <c r="BQ1346" t="s">
        <v>237</v>
      </c>
      <c r="BR1346" t="s">
        <v>84</v>
      </c>
      <c r="BS1346" s="3">
        <v>45819</v>
      </c>
      <c r="BT1346" s="4">
        <v>0.54791666666666672</v>
      </c>
      <c r="BU1346" t="s">
        <v>415</v>
      </c>
      <c r="BV1346" t="s">
        <v>90</v>
      </c>
      <c r="BW1346" t="s">
        <v>212</v>
      </c>
      <c r="BX1346" t="s">
        <v>837</v>
      </c>
      <c r="BY1346">
        <v>1200</v>
      </c>
      <c r="CA1346" t="s">
        <v>418</v>
      </c>
      <c r="CC1346" t="s">
        <v>414</v>
      </c>
      <c r="CD1346">
        <v>4133</v>
      </c>
      <c r="CE1346" t="s">
        <v>215</v>
      </c>
      <c r="CI1346">
        <v>1</v>
      </c>
      <c r="CJ1346">
        <v>1</v>
      </c>
      <c r="CK1346">
        <v>21</v>
      </c>
      <c r="CL1346" t="s">
        <v>90</v>
      </c>
    </row>
    <row r="1347" spans="1:90" x14ac:dyDescent="0.3">
      <c r="A1347" t="s">
        <v>72</v>
      </c>
      <c r="B1347" t="s">
        <v>73</v>
      </c>
      <c r="C1347" t="s">
        <v>74</v>
      </c>
      <c r="E1347" t="str">
        <f>"080065871700"</f>
        <v>080065871700</v>
      </c>
      <c r="F1347" s="3">
        <v>45818</v>
      </c>
      <c r="G1347">
        <v>202603</v>
      </c>
      <c r="H1347" t="s">
        <v>75</v>
      </c>
      <c r="I1347" t="s">
        <v>76</v>
      </c>
      <c r="J1347" t="s">
        <v>77</v>
      </c>
      <c r="K1347" t="s">
        <v>78</v>
      </c>
      <c r="L1347" t="s">
        <v>331</v>
      </c>
      <c r="M1347" t="s">
        <v>332</v>
      </c>
      <c r="N1347" t="s">
        <v>1149</v>
      </c>
      <c r="O1347" t="s">
        <v>82</v>
      </c>
      <c r="P1347" t="str">
        <f>"4170043301                    "</f>
        <v xml:space="preserve">4170043301                    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20.9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</v>
      </c>
      <c r="AX1347">
        <v>0</v>
      </c>
      <c r="AY1347">
        <v>0</v>
      </c>
      <c r="AZ1347">
        <v>0</v>
      </c>
      <c r="BA1347">
        <v>0</v>
      </c>
      <c r="BB1347">
        <v>0</v>
      </c>
      <c r="BC1347">
        <v>0</v>
      </c>
      <c r="BD1347">
        <v>0</v>
      </c>
      <c r="BE1347">
        <v>0</v>
      </c>
      <c r="BF1347">
        <v>0</v>
      </c>
      <c r="BG1347">
        <v>0</v>
      </c>
      <c r="BH1347">
        <v>1</v>
      </c>
      <c r="BI1347">
        <v>1</v>
      </c>
      <c r="BJ1347">
        <v>0.2</v>
      </c>
      <c r="BK1347">
        <v>1</v>
      </c>
      <c r="BL1347">
        <v>69.5</v>
      </c>
      <c r="BM1347">
        <v>10.43</v>
      </c>
      <c r="BN1347">
        <v>79.930000000000007</v>
      </c>
      <c r="BO1347">
        <v>79.930000000000007</v>
      </c>
      <c r="BQ1347" t="s">
        <v>1150</v>
      </c>
      <c r="BR1347" t="s">
        <v>84</v>
      </c>
      <c r="BS1347" s="3">
        <v>45819</v>
      </c>
      <c r="BT1347" s="4">
        <v>0.45555555555555555</v>
      </c>
      <c r="BU1347" t="s">
        <v>2003</v>
      </c>
      <c r="BV1347" t="s">
        <v>90</v>
      </c>
      <c r="BW1347" t="s">
        <v>212</v>
      </c>
      <c r="BX1347" t="s">
        <v>837</v>
      </c>
      <c r="BY1347">
        <v>1200</v>
      </c>
      <c r="CA1347" t="s">
        <v>418</v>
      </c>
      <c r="CC1347" t="s">
        <v>332</v>
      </c>
      <c r="CD1347">
        <v>4052</v>
      </c>
      <c r="CE1347" t="s">
        <v>215</v>
      </c>
      <c r="CI1347">
        <v>1</v>
      </c>
      <c r="CJ1347">
        <v>1</v>
      </c>
      <c r="CK1347">
        <v>21</v>
      </c>
      <c r="CL1347" t="s">
        <v>90</v>
      </c>
    </row>
    <row r="1348" spans="1:90" x14ac:dyDescent="0.3">
      <c r="A1348" t="s">
        <v>72</v>
      </c>
      <c r="B1348" t="s">
        <v>73</v>
      </c>
      <c r="C1348" t="s">
        <v>74</v>
      </c>
      <c r="E1348" t="str">
        <f>"080065871745"</f>
        <v>080065871745</v>
      </c>
      <c r="F1348" s="3">
        <v>45818</v>
      </c>
      <c r="G1348">
        <v>202603</v>
      </c>
      <c r="H1348" t="s">
        <v>75</v>
      </c>
      <c r="I1348" t="s">
        <v>76</v>
      </c>
      <c r="J1348" t="s">
        <v>77</v>
      </c>
      <c r="K1348" t="s">
        <v>78</v>
      </c>
      <c r="L1348" t="s">
        <v>331</v>
      </c>
      <c r="M1348" t="s">
        <v>332</v>
      </c>
      <c r="N1348" t="s">
        <v>480</v>
      </c>
      <c r="O1348" t="s">
        <v>82</v>
      </c>
      <c r="P1348" t="str">
        <f>"4170043240                    "</f>
        <v xml:space="preserve">4170043240                    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20.9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</v>
      </c>
      <c r="AX1348">
        <v>0</v>
      </c>
      <c r="AY1348">
        <v>0</v>
      </c>
      <c r="AZ1348">
        <v>0</v>
      </c>
      <c r="BA1348">
        <v>0</v>
      </c>
      <c r="BB1348">
        <v>0</v>
      </c>
      <c r="BC1348">
        <v>0</v>
      </c>
      <c r="BD1348">
        <v>0</v>
      </c>
      <c r="BE1348">
        <v>0</v>
      </c>
      <c r="BF1348">
        <v>0</v>
      </c>
      <c r="BG1348">
        <v>0</v>
      </c>
      <c r="BH1348">
        <v>1</v>
      </c>
      <c r="BI1348">
        <v>1</v>
      </c>
      <c r="BJ1348">
        <v>0.2</v>
      </c>
      <c r="BK1348">
        <v>1</v>
      </c>
      <c r="BL1348">
        <v>69.5</v>
      </c>
      <c r="BM1348">
        <v>10.43</v>
      </c>
      <c r="BN1348">
        <v>79.930000000000007</v>
      </c>
      <c r="BO1348">
        <v>79.930000000000007</v>
      </c>
      <c r="BQ1348" t="s">
        <v>1221</v>
      </c>
      <c r="BR1348" t="s">
        <v>84</v>
      </c>
      <c r="BS1348" s="3">
        <v>45819</v>
      </c>
      <c r="BT1348" s="4">
        <v>0.42430555555555555</v>
      </c>
      <c r="BU1348" t="s">
        <v>1624</v>
      </c>
      <c r="BV1348" t="s">
        <v>86</v>
      </c>
      <c r="BY1348">
        <v>1200</v>
      </c>
      <c r="CA1348" t="s">
        <v>487</v>
      </c>
      <c r="CC1348" t="s">
        <v>332</v>
      </c>
      <c r="CD1348">
        <v>4001</v>
      </c>
      <c r="CE1348" t="s">
        <v>215</v>
      </c>
      <c r="CF1348" s="3">
        <v>45820</v>
      </c>
      <c r="CI1348">
        <v>1</v>
      </c>
      <c r="CJ1348">
        <v>1</v>
      </c>
      <c r="CK1348">
        <v>21</v>
      </c>
      <c r="CL1348" t="s">
        <v>90</v>
      </c>
    </row>
    <row r="1349" spans="1:90" x14ac:dyDescent="0.3">
      <c r="A1349" t="s">
        <v>72</v>
      </c>
      <c r="B1349" t="s">
        <v>73</v>
      </c>
      <c r="C1349" t="s">
        <v>74</v>
      </c>
      <c r="E1349" t="str">
        <f>"080065871769"</f>
        <v>080065871769</v>
      </c>
      <c r="F1349" s="3">
        <v>45818</v>
      </c>
      <c r="G1349">
        <v>202603</v>
      </c>
      <c r="H1349" t="s">
        <v>75</v>
      </c>
      <c r="I1349" t="s">
        <v>76</v>
      </c>
      <c r="J1349" t="s">
        <v>77</v>
      </c>
      <c r="K1349" t="s">
        <v>78</v>
      </c>
      <c r="L1349" t="s">
        <v>266</v>
      </c>
      <c r="M1349" t="s">
        <v>267</v>
      </c>
      <c r="N1349" t="s">
        <v>2004</v>
      </c>
      <c r="O1349" t="s">
        <v>82</v>
      </c>
      <c r="P1349" t="str">
        <f>"4170043284                    "</f>
        <v xml:space="preserve">4170043284                    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20.9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  <c r="BE1349">
        <v>0</v>
      </c>
      <c r="BF1349">
        <v>0</v>
      </c>
      <c r="BG1349">
        <v>0</v>
      </c>
      <c r="BH1349">
        <v>1</v>
      </c>
      <c r="BI1349">
        <v>1</v>
      </c>
      <c r="BJ1349">
        <v>0.2</v>
      </c>
      <c r="BK1349">
        <v>1</v>
      </c>
      <c r="BL1349">
        <v>69.5</v>
      </c>
      <c r="BM1349">
        <v>10.43</v>
      </c>
      <c r="BN1349">
        <v>79.930000000000007</v>
      </c>
      <c r="BO1349">
        <v>79.930000000000007</v>
      </c>
      <c r="BQ1349" t="s">
        <v>2005</v>
      </c>
      <c r="BR1349" t="s">
        <v>84</v>
      </c>
      <c r="BS1349" s="3">
        <v>45819</v>
      </c>
      <c r="BT1349" s="4">
        <v>0.40416666666666667</v>
      </c>
      <c r="BU1349" t="s">
        <v>1885</v>
      </c>
      <c r="BV1349" t="s">
        <v>86</v>
      </c>
      <c r="BY1349">
        <v>1200</v>
      </c>
      <c r="CA1349" t="s">
        <v>271</v>
      </c>
      <c r="CC1349" t="s">
        <v>267</v>
      </c>
      <c r="CD1349">
        <v>6230</v>
      </c>
      <c r="CE1349" t="s">
        <v>215</v>
      </c>
      <c r="CF1349" s="3">
        <v>45819</v>
      </c>
      <c r="CI1349">
        <v>1</v>
      </c>
      <c r="CJ1349">
        <v>1</v>
      </c>
      <c r="CK1349">
        <v>21</v>
      </c>
      <c r="CL1349" t="s">
        <v>90</v>
      </c>
    </row>
    <row r="1350" spans="1:90" x14ac:dyDescent="0.3">
      <c r="A1350" t="s">
        <v>72</v>
      </c>
      <c r="B1350" t="s">
        <v>73</v>
      </c>
      <c r="C1350" t="s">
        <v>74</v>
      </c>
      <c r="E1350" t="str">
        <f>"080065871789"</f>
        <v>080065871789</v>
      </c>
      <c r="F1350" s="3">
        <v>45818</v>
      </c>
      <c r="G1350">
        <v>202603</v>
      </c>
      <c r="H1350" t="s">
        <v>75</v>
      </c>
      <c r="I1350" t="s">
        <v>76</v>
      </c>
      <c r="J1350" t="s">
        <v>77</v>
      </c>
      <c r="K1350" t="s">
        <v>78</v>
      </c>
      <c r="L1350" t="s">
        <v>266</v>
      </c>
      <c r="M1350" t="s">
        <v>267</v>
      </c>
      <c r="N1350" t="s">
        <v>2004</v>
      </c>
      <c r="O1350" t="s">
        <v>82</v>
      </c>
      <c r="P1350" t="str">
        <f>"4170043194                    "</f>
        <v xml:space="preserve">4170043194                    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20.9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  <c r="BE1350">
        <v>0</v>
      </c>
      <c r="BF1350">
        <v>0</v>
      </c>
      <c r="BG1350">
        <v>0</v>
      </c>
      <c r="BH1350">
        <v>1</v>
      </c>
      <c r="BI1350">
        <v>1</v>
      </c>
      <c r="BJ1350">
        <v>0.2</v>
      </c>
      <c r="BK1350">
        <v>1</v>
      </c>
      <c r="BL1350">
        <v>69.5</v>
      </c>
      <c r="BM1350">
        <v>10.43</v>
      </c>
      <c r="BN1350">
        <v>79.930000000000007</v>
      </c>
      <c r="BO1350">
        <v>79.930000000000007</v>
      </c>
      <c r="BQ1350" t="s">
        <v>2005</v>
      </c>
      <c r="BR1350" t="s">
        <v>84</v>
      </c>
      <c r="BS1350" s="3">
        <v>45819</v>
      </c>
      <c r="BT1350" s="4">
        <v>0.40347222222222223</v>
      </c>
      <c r="BU1350" t="s">
        <v>1885</v>
      </c>
      <c r="BV1350" t="s">
        <v>86</v>
      </c>
      <c r="BY1350">
        <v>1200</v>
      </c>
      <c r="CA1350" t="s">
        <v>271</v>
      </c>
      <c r="CC1350" t="s">
        <v>267</v>
      </c>
      <c r="CD1350">
        <v>6230</v>
      </c>
      <c r="CE1350" t="s">
        <v>215</v>
      </c>
      <c r="CF1350" s="3">
        <v>45819</v>
      </c>
      <c r="CI1350">
        <v>1</v>
      </c>
      <c r="CJ1350">
        <v>1</v>
      </c>
      <c r="CK1350">
        <v>21</v>
      </c>
      <c r="CL1350" t="s">
        <v>90</v>
      </c>
    </row>
    <row r="1351" spans="1:90" x14ac:dyDescent="0.3">
      <c r="A1351" t="s">
        <v>72</v>
      </c>
      <c r="B1351" t="s">
        <v>73</v>
      </c>
      <c r="C1351" t="s">
        <v>74</v>
      </c>
      <c r="E1351" t="str">
        <f>"080065871812"</f>
        <v>080065871812</v>
      </c>
      <c r="F1351" s="3">
        <v>45818</v>
      </c>
      <c r="G1351">
        <v>202603</v>
      </c>
      <c r="H1351" t="s">
        <v>75</v>
      </c>
      <c r="I1351" t="s">
        <v>76</v>
      </c>
      <c r="J1351" t="s">
        <v>77</v>
      </c>
      <c r="K1351" t="s">
        <v>78</v>
      </c>
      <c r="L1351" t="s">
        <v>136</v>
      </c>
      <c r="M1351" t="s">
        <v>137</v>
      </c>
      <c r="N1351" t="s">
        <v>317</v>
      </c>
      <c r="O1351" t="s">
        <v>82</v>
      </c>
      <c r="P1351" t="str">
        <f>"4170043234                    "</f>
        <v xml:space="preserve">4170043234                    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20.9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</v>
      </c>
      <c r="AX1351">
        <v>0</v>
      </c>
      <c r="AY1351">
        <v>0</v>
      </c>
      <c r="AZ1351">
        <v>0</v>
      </c>
      <c r="BA1351">
        <v>0</v>
      </c>
      <c r="BB1351">
        <v>0</v>
      </c>
      <c r="BC1351">
        <v>0</v>
      </c>
      <c r="BD1351">
        <v>0</v>
      </c>
      <c r="BE1351">
        <v>0</v>
      </c>
      <c r="BF1351">
        <v>0</v>
      </c>
      <c r="BG1351">
        <v>0</v>
      </c>
      <c r="BH1351">
        <v>1</v>
      </c>
      <c r="BI1351">
        <v>1</v>
      </c>
      <c r="BJ1351">
        <v>0.2</v>
      </c>
      <c r="BK1351">
        <v>1</v>
      </c>
      <c r="BL1351">
        <v>69.5</v>
      </c>
      <c r="BM1351">
        <v>10.43</v>
      </c>
      <c r="BN1351">
        <v>79.930000000000007</v>
      </c>
      <c r="BO1351">
        <v>79.930000000000007</v>
      </c>
      <c r="BQ1351" t="s">
        <v>318</v>
      </c>
      <c r="BR1351" t="s">
        <v>84</v>
      </c>
      <c r="BS1351" s="3">
        <v>45819</v>
      </c>
      <c r="BT1351" s="4">
        <v>0.46944444444444444</v>
      </c>
      <c r="BU1351" t="s">
        <v>319</v>
      </c>
      <c r="BV1351" t="s">
        <v>90</v>
      </c>
      <c r="BY1351">
        <v>1200</v>
      </c>
      <c r="CA1351" t="s">
        <v>320</v>
      </c>
      <c r="CC1351" t="s">
        <v>137</v>
      </c>
      <c r="CD1351">
        <v>5201</v>
      </c>
      <c r="CE1351" t="s">
        <v>215</v>
      </c>
      <c r="CI1351">
        <v>1</v>
      </c>
      <c r="CJ1351">
        <v>1</v>
      </c>
      <c r="CK1351">
        <v>21</v>
      </c>
      <c r="CL1351" t="s">
        <v>90</v>
      </c>
    </row>
    <row r="1352" spans="1:90" x14ac:dyDescent="0.3">
      <c r="A1352" t="s">
        <v>72</v>
      </c>
      <c r="B1352" t="s">
        <v>73</v>
      </c>
      <c r="C1352" t="s">
        <v>74</v>
      </c>
      <c r="E1352" t="str">
        <f>"080065871840"</f>
        <v>080065871840</v>
      </c>
      <c r="F1352" s="3">
        <v>45818</v>
      </c>
      <c r="G1352">
        <v>202603</v>
      </c>
      <c r="H1352" t="s">
        <v>75</v>
      </c>
      <c r="I1352" t="s">
        <v>76</v>
      </c>
      <c r="J1352" t="s">
        <v>77</v>
      </c>
      <c r="K1352" t="s">
        <v>78</v>
      </c>
      <c r="L1352" t="s">
        <v>100</v>
      </c>
      <c r="M1352" t="s">
        <v>101</v>
      </c>
      <c r="N1352" t="s">
        <v>391</v>
      </c>
      <c r="O1352" t="s">
        <v>82</v>
      </c>
      <c r="P1352" t="str">
        <f>"4170043322                    "</f>
        <v xml:space="preserve">4170043322                    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20.9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0</v>
      </c>
      <c r="AX1352">
        <v>0</v>
      </c>
      <c r="AY1352">
        <v>0</v>
      </c>
      <c r="AZ1352">
        <v>0</v>
      </c>
      <c r="BA1352">
        <v>0</v>
      </c>
      <c r="BB1352">
        <v>0</v>
      </c>
      <c r="BC1352">
        <v>0</v>
      </c>
      <c r="BD1352">
        <v>0</v>
      </c>
      <c r="BE1352">
        <v>0</v>
      </c>
      <c r="BF1352">
        <v>0</v>
      </c>
      <c r="BG1352">
        <v>0</v>
      </c>
      <c r="BH1352">
        <v>1</v>
      </c>
      <c r="BI1352">
        <v>1</v>
      </c>
      <c r="BJ1352">
        <v>0.2</v>
      </c>
      <c r="BK1352">
        <v>1</v>
      </c>
      <c r="BL1352">
        <v>69.5</v>
      </c>
      <c r="BM1352">
        <v>10.43</v>
      </c>
      <c r="BN1352">
        <v>79.930000000000007</v>
      </c>
      <c r="BO1352">
        <v>79.930000000000007</v>
      </c>
      <c r="BQ1352" t="s">
        <v>392</v>
      </c>
      <c r="BR1352" t="s">
        <v>84</v>
      </c>
      <c r="BS1352" s="3">
        <v>45819</v>
      </c>
      <c r="BT1352" s="4">
        <v>0.39583333333333331</v>
      </c>
      <c r="BU1352" t="s">
        <v>1796</v>
      </c>
      <c r="BV1352" t="s">
        <v>86</v>
      </c>
      <c r="BY1352">
        <v>1200</v>
      </c>
      <c r="BZ1352" t="s">
        <v>87</v>
      </c>
      <c r="CA1352" t="s">
        <v>394</v>
      </c>
      <c r="CC1352" t="s">
        <v>101</v>
      </c>
      <c r="CD1352">
        <v>6001</v>
      </c>
      <c r="CE1352" t="s">
        <v>89</v>
      </c>
      <c r="CF1352" s="3">
        <v>45819</v>
      </c>
      <c r="CI1352">
        <v>1</v>
      </c>
      <c r="CJ1352">
        <v>1</v>
      </c>
      <c r="CK1352">
        <v>21</v>
      </c>
      <c r="CL1352" t="s">
        <v>90</v>
      </c>
    </row>
    <row r="1353" spans="1:90" x14ac:dyDescent="0.3">
      <c r="A1353" t="s">
        <v>72</v>
      </c>
      <c r="B1353" t="s">
        <v>73</v>
      </c>
      <c r="C1353" t="s">
        <v>74</v>
      </c>
      <c r="E1353" t="str">
        <f>"080065871877"</f>
        <v>080065871877</v>
      </c>
      <c r="F1353" s="3">
        <v>45818</v>
      </c>
      <c r="G1353">
        <v>202603</v>
      </c>
      <c r="H1353" t="s">
        <v>75</v>
      </c>
      <c r="I1353" t="s">
        <v>76</v>
      </c>
      <c r="J1353" t="s">
        <v>77</v>
      </c>
      <c r="K1353" t="s">
        <v>78</v>
      </c>
      <c r="L1353" t="s">
        <v>710</v>
      </c>
      <c r="M1353" t="s">
        <v>711</v>
      </c>
      <c r="N1353" t="s">
        <v>712</v>
      </c>
      <c r="O1353" t="s">
        <v>82</v>
      </c>
      <c r="P1353" t="str">
        <f>"4170043321                    "</f>
        <v xml:space="preserve">4170043321                    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20.9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</v>
      </c>
      <c r="AX1353">
        <v>0</v>
      </c>
      <c r="AY1353">
        <v>0</v>
      </c>
      <c r="AZ1353">
        <v>0</v>
      </c>
      <c r="BA1353">
        <v>0</v>
      </c>
      <c r="BB1353">
        <v>0</v>
      </c>
      <c r="BC1353">
        <v>0</v>
      </c>
      <c r="BD1353">
        <v>0</v>
      </c>
      <c r="BE1353">
        <v>0</v>
      </c>
      <c r="BF1353">
        <v>0</v>
      </c>
      <c r="BG1353">
        <v>0</v>
      </c>
      <c r="BH1353">
        <v>1</v>
      </c>
      <c r="BI1353">
        <v>1</v>
      </c>
      <c r="BJ1353">
        <v>0.2</v>
      </c>
      <c r="BK1353">
        <v>1</v>
      </c>
      <c r="BL1353">
        <v>69.5</v>
      </c>
      <c r="BM1353">
        <v>10.43</v>
      </c>
      <c r="BN1353">
        <v>79.930000000000007</v>
      </c>
      <c r="BO1353">
        <v>79.930000000000007</v>
      </c>
      <c r="BQ1353" t="s">
        <v>713</v>
      </c>
      <c r="BR1353" t="s">
        <v>84</v>
      </c>
      <c r="BS1353" s="3">
        <v>45819</v>
      </c>
      <c r="BT1353" s="4">
        <v>0.36527777777777776</v>
      </c>
      <c r="BU1353" t="s">
        <v>2006</v>
      </c>
      <c r="BV1353" t="s">
        <v>86</v>
      </c>
      <c r="BY1353">
        <v>1200</v>
      </c>
      <c r="CA1353" t="s">
        <v>715</v>
      </c>
      <c r="CC1353" t="s">
        <v>711</v>
      </c>
      <c r="CD1353">
        <v>7600</v>
      </c>
      <c r="CE1353" t="s">
        <v>215</v>
      </c>
      <c r="CF1353" s="3">
        <v>45820</v>
      </c>
      <c r="CI1353">
        <v>1</v>
      </c>
      <c r="CJ1353">
        <v>1</v>
      </c>
      <c r="CK1353">
        <v>21</v>
      </c>
      <c r="CL1353" t="s">
        <v>90</v>
      </c>
    </row>
    <row r="1354" spans="1:90" x14ac:dyDescent="0.3">
      <c r="A1354" t="s">
        <v>72</v>
      </c>
      <c r="B1354" t="s">
        <v>73</v>
      </c>
      <c r="C1354" t="s">
        <v>74</v>
      </c>
      <c r="E1354" t="str">
        <f>"080065871914"</f>
        <v>080065871914</v>
      </c>
      <c r="F1354" s="3">
        <v>45818</v>
      </c>
      <c r="G1354">
        <v>202603</v>
      </c>
      <c r="H1354" t="s">
        <v>75</v>
      </c>
      <c r="I1354" t="s">
        <v>76</v>
      </c>
      <c r="J1354" t="s">
        <v>77</v>
      </c>
      <c r="K1354" t="s">
        <v>78</v>
      </c>
      <c r="L1354" t="s">
        <v>350</v>
      </c>
      <c r="M1354" t="s">
        <v>351</v>
      </c>
      <c r="N1354" t="s">
        <v>512</v>
      </c>
      <c r="O1354" t="s">
        <v>82</v>
      </c>
      <c r="P1354" t="str">
        <f>"4170043288                    "</f>
        <v xml:space="preserve">4170043288                    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20.9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  <c r="BB1354">
        <v>0</v>
      </c>
      <c r="BC1354">
        <v>0</v>
      </c>
      <c r="BD1354">
        <v>0</v>
      </c>
      <c r="BE1354">
        <v>0</v>
      </c>
      <c r="BF1354">
        <v>0</v>
      </c>
      <c r="BG1354">
        <v>0</v>
      </c>
      <c r="BH1354">
        <v>1</v>
      </c>
      <c r="BI1354">
        <v>1</v>
      </c>
      <c r="BJ1354">
        <v>0.2</v>
      </c>
      <c r="BK1354">
        <v>1</v>
      </c>
      <c r="BL1354">
        <v>69.5</v>
      </c>
      <c r="BM1354">
        <v>10.43</v>
      </c>
      <c r="BN1354">
        <v>79.930000000000007</v>
      </c>
      <c r="BO1354">
        <v>79.930000000000007</v>
      </c>
      <c r="BQ1354" t="s">
        <v>513</v>
      </c>
      <c r="BR1354" t="s">
        <v>84</v>
      </c>
      <c r="BS1354" s="3">
        <v>45819</v>
      </c>
      <c r="BT1354" s="4">
        <v>0.40763888888888888</v>
      </c>
      <c r="BU1354" t="s">
        <v>2007</v>
      </c>
      <c r="BV1354" t="s">
        <v>86</v>
      </c>
      <c r="BY1354">
        <v>1200</v>
      </c>
      <c r="CA1354" t="s">
        <v>2008</v>
      </c>
      <c r="CC1354" t="s">
        <v>351</v>
      </c>
      <c r="CD1354">
        <v>157</v>
      </c>
      <c r="CE1354" t="s">
        <v>215</v>
      </c>
      <c r="CF1354" s="3">
        <v>45819</v>
      </c>
      <c r="CI1354">
        <v>1</v>
      </c>
      <c r="CJ1354">
        <v>1</v>
      </c>
      <c r="CK1354">
        <v>21</v>
      </c>
      <c r="CL1354" t="s">
        <v>90</v>
      </c>
    </row>
    <row r="1355" spans="1:90" x14ac:dyDescent="0.3">
      <c r="A1355" t="s">
        <v>72</v>
      </c>
      <c r="B1355" t="s">
        <v>73</v>
      </c>
      <c r="C1355" t="s">
        <v>74</v>
      </c>
      <c r="E1355" t="str">
        <f>"080065871935"</f>
        <v>080065871935</v>
      </c>
      <c r="F1355" s="3">
        <v>45818</v>
      </c>
      <c r="G1355">
        <v>202603</v>
      </c>
      <c r="H1355" t="s">
        <v>75</v>
      </c>
      <c r="I1355" t="s">
        <v>76</v>
      </c>
      <c r="J1355" t="s">
        <v>77</v>
      </c>
      <c r="K1355" t="s">
        <v>78</v>
      </c>
      <c r="L1355" t="s">
        <v>106</v>
      </c>
      <c r="M1355" t="s">
        <v>107</v>
      </c>
      <c r="N1355" t="s">
        <v>1393</v>
      </c>
      <c r="O1355" t="s">
        <v>82</v>
      </c>
      <c r="P1355" t="str">
        <f>"4170043228                    "</f>
        <v xml:space="preserve">4170043228                    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20.9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>
        <v>0</v>
      </c>
      <c r="BD1355">
        <v>0</v>
      </c>
      <c r="BE1355">
        <v>0</v>
      </c>
      <c r="BF1355">
        <v>0</v>
      </c>
      <c r="BG1355">
        <v>0</v>
      </c>
      <c r="BH1355">
        <v>1</v>
      </c>
      <c r="BI1355">
        <v>1</v>
      </c>
      <c r="BJ1355">
        <v>0.2</v>
      </c>
      <c r="BK1355">
        <v>1</v>
      </c>
      <c r="BL1355">
        <v>69.5</v>
      </c>
      <c r="BM1355">
        <v>10.43</v>
      </c>
      <c r="BN1355">
        <v>79.930000000000007</v>
      </c>
      <c r="BO1355">
        <v>79.930000000000007</v>
      </c>
      <c r="BQ1355" t="s">
        <v>1394</v>
      </c>
      <c r="BR1355" t="s">
        <v>84</v>
      </c>
      <c r="BS1355" s="3">
        <v>45819</v>
      </c>
      <c r="BT1355" s="4">
        <v>0.35972222222222222</v>
      </c>
      <c r="BU1355" t="s">
        <v>2009</v>
      </c>
      <c r="BV1355" t="s">
        <v>86</v>
      </c>
      <c r="BY1355">
        <v>1200</v>
      </c>
      <c r="CA1355" t="s">
        <v>2010</v>
      </c>
      <c r="CC1355" t="s">
        <v>107</v>
      </c>
      <c r="CD1355">
        <v>2</v>
      </c>
      <c r="CE1355" t="s">
        <v>215</v>
      </c>
      <c r="CF1355" s="3">
        <v>45819</v>
      </c>
      <c r="CI1355">
        <v>1</v>
      </c>
      <c r="CJ1355">
        <v>1</v>
      </c>
      <c r="CK1355">
        <v>21</v>
      </c>
      <c r="CL1355" t="s">
        <v>90</v>
      </c>
    </row>
    <row r="1356" spans="1:90" x14ac:dyDescent="0.3">
      <c r="A1356" t="s">
        <v>72</v>
      </c>
      <c r="B1356" t="s">
        <v>73</v>
      </c>
      <c r="C1356" t="s">
        <v>74</v>
      </c>
      <c r="E1356" t="str">
        <f>"080065872228"</f>
        <v>080065872228</v>
      </c>
      <c r="F1356" s="3">
        <v>45818</v>
      </c>
      <c r="G1356">
        <v>202603</v>
      </c>
      <c r="H1356" t="s">
        <v>75</v>
      </c>
      <c r="I1356" t="s">
        <v>76</v>
      </c>
      <c r="J1356" t="s">
        <v>77</v>
      </c>
      <c r="K1356" t="s">
        <v>78</v>
      </c>
      <c r="L1356" t="s">
        <v>100</v>
      </c>
      <c r="M1356" t="s">
        <v>101</v>
      </c>
      <c r="N1356" t="s">
        <v>726</v>
      </c>
      <c r="O1356" t="s">
        <v>82</v>
      </c>
      <c r="P1356" t="str">
        <f>"4170043156                    "</f>
        <v xml:space="preserve">4170043156                    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41.78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</v>
      </c>
      <c r="AX1356">
        <v>0</v>
      </c>
      <c r="AY1356">
        <v>0</v>
      </c>
      <c r="AZ1356">
        <v>0</v>
      </c>
      <c r="BA1356">
        <v>0</v>
      </c>
      <c r="BB1356">
        <v>0</v>
      </c>
      <c r="BC1356">
        <v>0</v>
      </c>
      <c r="BD1356">
        <v>0</v>
      </c>
      <c r="BE1356">
        <v>0</v>
      </c>
      <c r="BF1356">
        <v>0</v>
      </c>
      <c r="BG1356">
        <v>0</v>
      </c>
      <c r="BH1356">
        <v>1</v>
      </c>
      <c r="BI1356">
        <v>4</v>
      </c>
      <c r="BJ1356">
        <v>1.9</v>
      </c>
      <c r="BK1356">
        <v>4</v>
      </c>
      <c r="BL1356">
        <v>138.94</v>
      </c>
      <c r="BM1356">
        <v>20.84</v>
      </c>
      <c r="BN1356">
        <v>159.78</v>
      </c>
      <c r="BO1356">
        <v>159.78</v>
      </c>
      <c r="BQ1356" t="s">
        <v>727</v>
      </c>
      <c r="BR1356" t="s">
        <v>84</v>
      </c>
      <c r="BS1356" s="3">
        <v>45819</v>
      </c>
      <c r="BT1356" s="4">
        <v>0.40972222222222221</v>
      </c>
      <c r="BU1356" t="s">
        <v>2011</v>
      </c>
      <c r="BV1356" t="s">
        <v>86</v>
      </c>
      <c r="BY1356">
        <v>9600</v>
      </c>
      <c r="BZ1356" t="s">
        <v>87</v>
      </c>
      <c r="CA1356" t="s">
        <v>394</v>
      </c>
      <c r="CC1356" t="s">
        <v>101</v>
      </c>
      <c r="CD1356">
        <v>6001</v>
      </c>
      <c r="CE1356" t="s">
        <v>99</v>
      </c>
      <c r="CF1356" s="3">
        <v>45819</v>
      </c>
      <c r="CI1356">
        <v>1</v>
      </c>
      <c r="CJ1356">
        <v>1</v>
      </c>
      <c r="CK1356">
        <v>21</v>
      </c>
      <c r="CL1356" t="s">
        <v>90</v>
      </c>
    </row>
    <row r="1357" spans="1:90" x14ac:dyDescent="0.3">
      <c r="A1357" t="s">
        <v>72</v>
      </c>
      <c r="B1357" t="s">
        <v>73</v>
      </c>
      <c r="C1357" t="s">
        <v>74</v>
      </c>
      <c r="E1357" t="str">
        <f>"080065872272"</f>
        <v>080065872272</v>
      </c>
      <c r="F1357" s="3">
        <v>45818</v>
      </c>
      <c r="G1357">
        <v>202603</v>
      </c>
      <c r="H1357" t="s">
        <v>75</v>
      </c>
      <c r="I1357" t="s">
        <v>76</v>
      </c>
      <c r="J1357" t="s">
        <v>77</v>
      </c>
      <c r="K1357" t="s">
        <v>78</v>
      </c>
      <c r="L1357" t="s">
        <v>159</v>
      </c>
      <c r="M1357" t="s">
        <v>160</v>
      </c>
      <c r="N1357" t="s">
        <v>2012</v>
      </c>
      <c r="O1357" t="s">
        <v>82</v>
      </c>
      <c r="P1357" t="str">
        <f>"4170043319                    "</f>
        <v xml:space="preserve">4170043319                    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20.9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16.739999999999998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>
        <v>0</v>
      </c>
      <c r="BD1357">
        <v>0</v>
      </c>
      <c r="BE1357">
        <v>0</v>
      </c>
      <c r="BF1357">
        <v>0</v>
      </c>
      <c r="BG1357">
        <v>0</v>
      </c>
      <c r="BH1357">
        <v>1</v>
      </c>
      <c r="BI1357">
        <v>1</v>
      </c>
      <c r="BJ1357">
        <v>1.1000000000000001</v>
      </c>
      <c r="BK1357">
        <v>1.5</v>
      </c>
      <c r="BL1357">
        <v>86.24</v>
      </c>
      <c r="BM1357">
        <v>12.94</v>
      </c>
      <c r="BN1357">
        <v>99.18</v>
      </c>
      <c r="BO1357">
        <v>99.18</v>
      </c>
      <c r="BQ1357" t="s">
        <v>2013</v>
      </c>
      <c r="BR1357" t="s">
        <v>84</v>
      </c>
      <c r="BS1357" s="3">
        <v>45819</v>
      </c>
      <c r="BT1357" s="4">
        <v>0.48333333333333334</v>
      </c>
      <c r="BU1357" t="s">
        <v>2014</v>
      </c>
      <c r="BV1357" t="s">
        <v>90</v>
      </c>
      <c r="BY1357">
        <v>5320</v>
      </c>
      <c r="BZ1357" t="s">
        <v>30</v>
      </c>
      <c r="CA1357" t="s">
        <v>2015</v>
      </c>
      <c r="CC1357" t="s">
        <v>160</v>
      </c>
      <c r="CD1357">
        <v>1821</v>
      </c>
      <c r="CE1357" t="s">
        <v>687</v>
      </c>
      <c r="CI1357">
        <v>0</v>
      </c>
      <c r="CJ1357">
        <v>0</v>
      </c>
      <c r="CK1357">
        <v>21</v>
      </c>
      <c r="CL1357" t="s">
        <v>90</v>
      </c>
    </row>
    <row r="1358" spans="1:90" x14ac:dyDescent="0.3">
      <c r="A1358" t="s">
        <v>72</v>
      </c>
      <c r="B1358" t="s">
        <v>73</v>
      </c>
      <c r="C1358" t="s">
        <v>74</v>
      </c>
      <c r="E1358" t="str">
        <f>"080065872334"</f>
        <v>080065872334</v>
      </c>
      <c r="F1358" s="3">
        <v>45818</v>
      </c>
      <c r="G1358">
        <v>202603</v>
      </c>
      <c r="H1358" t="s">
        <v>75</v>
      </c>
      <c r="I1358" t="s">
        <v>76</v>
      </c>
      <c r="J1358" t="s">
        <v>77</v>
      </c>
      <c r="K1358" t="s">
        <v>78</v>
      </c>
      <c r="L1358" t="s">
        <v>79</v>
      </c>
      <c r="M1358" t="s">
        <v>80</v>
      </c>
      <c r="N1358" t="s">
        <v>81</v>
      </c>
      <c r="O1358" t="s">
        <v>82</v>
      </c>
      <c r="P1358" t="str">
        <f>"4170043127                    "</f>
        <v xml:space="preserve">4170043127                    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86.63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>
        <v>0</v>
      </c>
      <c r="BD1358">
        <v>0</v>
      </c>
      <c r="BE1358">
        <v>0</v>
      </c>
      <c r="BF1358">
        <v>0</v>
      </c>
      <c r="BG1358">
        <v>0</v>
      </c>
      <c r="BH1358">
        <v>1</v>
      </c>
      <c r="BI1358">
        <v>6</v>
      </c>
      <c r="BJ1358">
        <v>1.7</v>
      </c>
      <c r="BK1358">
        <v>6</v>
      </c>
      <c r="BL1358">
        <v>288.10000000000002</v>
      </c>
      <c r="BM1358">
        <v>43.22</v>
      </c>
      <c r="BN1358">
        <v>331.32</v>
      </c>
      <c r="BO1358">
        <v>331.32</v>
      </c>
      <c r="BQ1358" t="s">
        <v>83</v>
      </c>
      <c r="BR1358" t="s">
        <v>84</v>
      </c>
      <c r="BS1358" s="3">
        <v>45819</v>
      </c>
      <c r="BT1358" s="4">
        <v>0.4152777777777778</v>
      </c>
      <c r="BU1358" t="s">
        <v>85</v>
      </c>
      <c r="BV1358" t="s">
        <v>86</v>
      </c>
      <c r="BY1358">
        <v>8512</v>
      </c>
      <c r="CA1358" t="s">
        <v>88</v>
      </c>
      <c r="CC1358" t="s">
        <v>80</v>
      </c>
      <c r="CD1358">
        <v>1739</v>
      </c>
      <c r="CE1358" t="s">
        <v>687</v>
      </c>
      <c r="CF1358" s="3">
        <v>45820</v>
      </c>
      <c r="CI1358">
        <v>1</v>
      </c>
      <c r="CJ1358">
        <v>1</v>
      </c>
      <c r="CK1358">
        <v>24</v>
      </c>
      <c r="CL1358" t="s">
        <v>90</v>
      </c>
    </row>
    <row r="1359" spans="1:90" x14ac:dyDescent="0.3">
      <c r="A1359" t="s">
        <v>72</v>
      </c>
      <c r="B1359" t="s">
        <v>73</v>
      </c>
      <c r="C1359" t="s">
        <v>74</v>
      </c>
      <c r="E1359" t="str">
        <f>"080065872406"</f>
        <v>080065872406</v>
      </c>
      <c r="F1359" s="3">
        <v>45818</v>
      </c>
      <c r="G1359">
        <v>202603</v>
      </c>
      <c r="H1359" t="s">
        <v>75</v>
      </c>
      <c r="I1359" t="s">
        <v>76</v>
      </c>
      <c r="J1359" t="s">
        <v>77</v>
      </c>
      <c r="K1359" t="s">
        <v>78</v>
      </c>
      <c r="L1359" t="s">
        <v>615</v>
      </c>
      <c r="M1359" t="s">
        <v>616</v>
      </c>
      <c r="N1359" t="s">
        <v>617</v>
      </c>
      <c r="O1359" t="s">
        <v>82</v>
      </c>
      <c r="P1359" t="str">
        <f>"4170043202                    "</f>
        <v xml:space="preserve">4170043202                    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40.49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  <c r="BB1359">
        <v>0</v>
      </c>
      <c r="BC1359">
        <v>0</v>
      </c>
      <c r="BD1359">
        <v>0</v>
      </c>
      <c r="BE1359">
        <v>0</v>
      </c>
      <c r="BF1359">
        <v>0</v>
      </c>
      <c r="BG1359">
        <v>0</v>
      </c>
      <c r="BH1359">
        <v>1</v>
      </c>
      <c r="BI1359">
        <v>2</v>
      </c>
      <c r="BJ1359">
        <v>1.1000000000000001</v>
      </c>
      <c r="BK1359">
        <v>2</v>
      </c>
      <c r="BL1359">
        <v>134.65</v>
      </c>
      <c r="BM1359">
        <v>20.2</v>
      </c>
      <c r="BN1359">
        <v>154.85</v>
      </c>
      <c r="BO1359">
        <v>154.85</v>
      </c>
      <c r="BQ1359" t="s">
        <v>618</v>
      </c>
      <c r="BR1359" t="s">
        <v>84</v>
      </c>
      <c r="BS1359" s="3">
        <v>45819</v>
      </c>
      <c r="BT1359" s="4">
        <v>0.56666666666666665</v>
      </c>
      <c r="BU1359" t="s">
        <v>2016</v>
      </c>
      <c r="BV1359" t="s">
        <v>86</v>
      </c>
      <c r="BY1359">
        <v>5320</v>
      </c>
      <c r="CA1359" t="s">
        <v>620</v>
      </c>
      <c r="CC1359" t="s">
        <v>616</v>
      </c>
      <c r="CD1359">
        <v>6850</v>
      </c>
      <c r="CE1359" t="s">
        <v>687</v>
      </c>
      <c r="CI1359">
        <v>2</v>
      </c>
      <c r="CJ1359">
        <v>1</v>
      </c>
      <c r="CK1359">
        <v>23</v>
      </c>
      <c r="CL1359" t="s">
        <v>90</v>
      </c>
    </row>
    <row r="1360" spans="1:90" x14ac:dyDescent="0.3">
      <c r="A1360" t="s">
        <v>72</v>
      </c>
      <c r="B1360" t="s">
        <v>73</v>
      </c>
      <c r="C1360" t="s">
        <v>74</v>
      </c>
      <c r="E1360" t="str">
        <f>"080065872481"</f>
        <v>080065872481</v>
      </c>
      <c r="F1360" s="3">
        <v>45818</v>
      </c>
      <c r="G1360">
        <v>202603</v>
      </c>
      <c r="H1360" t="s">
        <v>75</v>
      </c>
      <c r="I1360" t="s">
        <v>76</v>
      </c>
      <c r="J1360" t="s">
        <v>77</v>
      </c>
      <c r="K1360" t="s">
        <v>78</v>
      </c>
      <c r="L1360" t="s">
        <v>106</v>
      </c>
      <c r="M1360" t="s">
        <v>107</v>
      </c>
      <c r="N1360" t="s">
        <v>940</v>
      </c>
      <c r="O1360" t="s">
        <v>94</v>
      </c>
      <c r="P1360" t="str">
        <f>"4170043253                    "</f>
        <v xml:space="preserve">4170043253                    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40.409999999999997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  <c r="BB1360">
        <v>0</v>
      </c>
      <c r="BC1360">
        <v>0</v>
      </c>
      <c r="BD1360">
        <v>0</v>
      </c>
      <c r="BE1360">
        <v>0</v>
      </c>
      <c r="BF1360">
        <v>0</v>
      </c>
      <c r="BG1360">
        <v>0</v>
      </c>
      <c r="BH1360">
        <v>1</v>
      </c>
      <c r="BI1360">
        <v>13</v>
      </c>
      <c r="BJ1360">
        <v>5</v>
      </c>
      <c r="BK1360">
        <v>13</v>
      </c>
      <c r="BL1360">
        <v>139.96</v>
      </c>
      <c r="BM1360">
        <v>20.99</v>
      </c>
      <c r="BN1360">
        <v>160.94999999999999</v>
      </c>
      <c r="BO1360">
        <v>160.94999999999999</v>
      </c>
      <c r="BQ1360" t="s">
        <v>941</v>
      </c>
      <c r="BR1360" t="s">
        <v>84</v>
      </c>
      <c r="BS1360" s="3">
        <v>45819</v>
      </c>
      <c r="BT1360" s="4">
        <v>0.54166666666666663</v>
      </c>
      <c r="BU1360" t="s">
        <v>2017</v>
      </c>
      <c r="BV1360" t="s">
        <v>86</v>
      </c>
      <c r="BY1360">
        <v>25056</v>
      </c>
      <c r="CA1360" t="s">
        <v>1751</v>
      </c>
      <c r="CC1360" t="s">
        <v>107</v>
      </c>
      <c r="CD1360">
        <v>2</v>
      </c>
      <c r="CE1360" t="s">
        <v>166</v>
      </c>
      <c r="CF1360" s="3">
        <v>45819</v>
      </c>
      <c r="CI1360">
        <v>1</v>
      </c>
      <c r="CJ1360">
        <v>1</v>
      </c>
      <c r="CK1360">
        <v>41</v>
      </c>
      <c r="CL1360" t="s">
        <v>90</v>
      </c>
    </row>
    <row r="1361" spans="1:90" x14ac:dyDescent="0.3">
      <c r="A1361" t="s">
        <v>72</v>
      </c>
      <c r="B1361" t="s">
        <v>73</v>
      </c>
      <c r="C1361" t="s">
        <v>74</v>
      </c>
      <c r="E1361" t="str">
        <f>"080065872546"</f>
        <v>080065872546</v>
      </c>
      <c r="F1361" s="3">
        <v>45818</v>
      </c>
      <c r="G1361">
        <v>202603</v>
      </c>
      <c r="H1361" t="s">
        <v>75</v>
      </c>
      <c r="I1361" t="s">
        <v>76</v>
      </c>
      <c r="J1361" t="s">
        <v>77</v>
      </c>
      <c r="K1361" t="s">
        <v>78</v>
      </c>
      <c r="L1361" t="s">
        <v>91</v>
      </c>
      <c r="M1361" t="s">
        <v>92</v>
      </c>
      <c r="N1361" t="s">
        <v>763</v>
      </c>
      <c r="O1361" t="s">
        <v>82</v>
      </c>
      <c r="P1361" t="str">
        <f>"4170043273                    "</f>
        <v xml:space="preserve">4170043273                    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125.3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>
        <v>0</v>
      </c>
      <c r="BD1361">
        <v>0</v>
      </c>
      <c r="BE1361">
        <v>0</v>
      </c>
      <c r="BF1361">
        <v>0</v>
      </c>
      <c r="BG1361">
        <v>0</v>
      </c>
      <c r="BH1361">
        <v>1</v>
      </c>
      <c r="BI1361">
        <v>9</v>
      </c>
      <c r="BJ1361">
        <v>12</v>
      </c>
      <c r="BK1361">
        <v>12</v>
      </c>
      <c r="BL1361">
        <v>416.7</v>
      </c>
      <c r="BM1361">
        <v>62.51</v>
      </c>
      <c r="BN1361">
        <v>479.21</v>
      </c>
      <c r="BO1361">
        <v>479.21</v>
      </c>
      <c r="BQ1361" t="s">
        <v>764</v>
      </c>
      <c r="BR1361" t="s">
        <v>84</v>
      </c>
      <c r="BS1361" s="3">
        <v>45819</v>
      </c>
      <c r="BT1361" s="4">
        <v>0.50069444444444444</v>
      </c>
      <c r="BU1361" t="s">
        <v>765</v>
      </c>
      <c r="BV1361" t="s">
        <v>90</v>
      </c>
      <c r="BW1361" t="s">
        <v>1209</v>
      </c>
      <c r="BX1361" t="s">
        <v>344</v>
      </c>
      <c r="BY1361">
        <v>60000</v>
      </c>
      <c r="CA1361" t="s">
        <v>767</v>
      </c>
      <c r="CC1361" t="s">
        <v>92</v>
      </c>
      <c r="CD1361">
        <v>7550</v>
      </c>
      <c r="CE1361" t="s">
        <v>687</v>
      </c>
      <c r="CI1361">
        <v>1</v>
      </c>
      <c r="CJ1361">
        <v>1</v>
      </c>
      <c r="CK1361">
        <v>21</v>
      </c>
      <c r="CL1361" t="s">
        <v>90</v>
      </c>
    </row>
    <row r="1362" spans="1:90" x14ac:dyDescent="0.3">
      <c r="A1362" t="s">
        <v>72</v>
      </c>
      <c r="B1362" t="s">
        <v>73</v>
      </c>
      <c r="C1362" t="s">
        <v>74</v>
      </c>
      <c r="E1362" t="str">
        <f>"080065872708"</f>
        <v>080065872708</v>
      </c>
      <c r="F1362" s="3">
        <v>45818</v>
      </c>
      <c r="G1362">
        <v>202603</v>
      </c>
      <c r="H1362" t="s">
        <v>75</v>
      </c>
      <c r="I1362" t="s">
        <v>76</v>
      </c>
      <c r="J1362" t="s">
        <v>77</v>
      </c>
      <c r="K1362" t="s">
        <v>78</v>
      </c>
      <c r="L1362" t="s">
        <v>1618</v>
      </c>
      <c r="M1362" t="s">
        <v>1619</v>
      </c>
      <c r="N1362" t="s">
        <v>1620</v>
      </c>
      <c r="O1362" t="s">
        <v>82</v>
      </c>
      <c r="P1362" t="str">
        <f>"4170043285                    "</f>
        <v xml:space="preserve">4170043285                    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29.39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</v>
      </c>
      <c r="AX1362">
        <v>0</v>
      </c>
      <c r="AY1362">
        <v>0</v>
      </c>
      <c r="AZ1362">
        <v>0</v>
      </c>
      <c r="BA1362">
        <v>0</v>
      </c>
      <c r="BB1362">
        <v>0</v>
      </c>
      <c r="BC1362">
        <v>0</v>
      </c>
      <c r="BD1362">
        <v>0</v>
      </c>
      <c r="BE1362">
        <v>0</v>
      </c>
      <c r="BF1362">
        <v>0</v>
      </c>
      <c r="BG1362">
        <v>0</v>
      </c>
      <c r="BH1362">
        <v>1</v>
      </c>
      <c r="BI1362">
        <v>1</v>
      </c>
      <c r="BJ1362">
        <v>0.6</v>
      </c>
      <c r="BK1362">
        <v>1</v>
      </c>
      <c r="BL1362">
        <v>97.74</v>
      </c>
      <c r="BM1362">
        <v>14.66</v>
      </c>
      <c r="BN1362">
        <v>112.4</v>
      </c>
      <c r="BO1362">
        <v>112.4</v>
      </c>
      <c r="BQ1362" t="s">
        <v>1621</v>
      </c>
      <c r="BR1362" t="s">
        <v>84</v>
      </c>
      <c r="BS1362" s="3">
        <v>45819</v>
      </c>
      <c r="BT1362" s="4">
        <v>0.3</v>
      </c>
      <c r="BU1362" t="s">
        <v>1894</v>
      </c>
      <c r="BV1362" t="s">
        <v>86</v>
      </c>
      <c r="BY1362">
        <v>3192</v>
      </c>
      <c r="BZ1362" t="s">
        <v>87</v>
      </c>
      <c r="CA1362" t="s">
        <v>1622</v>
      </c>
      <c r="CC1362" t="s">
        <v>1619</v>
      </c>
      <c r="CD1362">
        <v>2210</v>
      </c>
      <c r="CE1362" t="s">
        <v>99</v>
      </c>
      <c r="CF1362" s="3">
        <v>45819</v>
      </c>
      <c r="CI1362">
        <v>1</v>
      </c>
      <c r="CJ1362">
        <v>1</v>
      </c>
      <c r="CK1362">
        <v>24</v>
      </c>
      <c r="CL1362" t="s">
        <v>90</v>
      </c>
    </row>
    <row r="1363" spans="1:90" x14ac:dyDescent="0.3">
      <c r="A1363" t="s">
        <v>72</v>
      </c>
      <c r="B1363" t="s">
        <v>73</v>
      </c>
      <c r="C1363" t="s">
        <v>74</v>
      </c>
      <c r="E1363" t="str">
        <f>"080065872776"</f>
        <v>080065872776</v>
      </c>
      <c r="F1363" s="3">
        <v>45818</v>
      </c>
      <c r="G1363">
        <v>202603</v>
      </c>
      <c r="H1363" t="s">
        <v>75</v>
      </c>
      <c r="I1363" t="s">
        <v>76</v>
      </c>
      <c r="J1363" t="s">
        <v>77</v>
      </c>
      <c r="K1363" t="s">
        <v>78</v>
      </c>
      <c r="L1363" t="s">
        <v>154</v>
      </c>
      <c r="M1363" t="s">
        <v>154</v>
      </c>
      <c r="N1363" t="s">
        <v>530</v>
      </c>
      <c r="O1363" t="s">
        <v>82</v>
      </c>
      <c r="P1363" t="str">
        <f>"4170043211                    "</f>
        <v xml:space="preserve">4170043211                    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40.49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>
        <v>0</v>
      </c>
      <c r="BD1363">
        <v>0</v>
      </c>
      <c r="BE1363">
        <v>0</v>
      </c>
      <c r="BF1363">
        <v>0</v>
      </c>
      <c r="BG1363">
        <v>0</v>
      </c>
      <c r="BH1363">
        <v>1</v>
      </c>
      <c r="BI1363">
        <v>1</v>
      </c>
      <c r="BJ1363">
        <v>1.1000000000000001</v>
      </c>
      <c r="BK1363">
        <v>1.5</v>
      </c>
      <c r="BL1363">
        <v>134.65</v>
      </c>
      <c r="BM1363">
        <v>20.2</v>
      </c>
      <c r="BN1363">
        <v>154.85</v>
      </c>
      <c r="BO1363">
        <v>154.85</v>
      </c>
      <c r="BQ1363" t="s">
        <v>531</v>
      </c>
      <c r="BR1363" t="s">
        <v>84</v>
      </c>
      <c r="BS1363" s="3">
        <v>45819</v>
      </c>
      <c r="BT1363" s="4">
        <v>0.54097222222222219</v>
      </c>
      <c r="BU1363" t="s">
        <v>532</v>
      </c>
      <c r="BV1363" t="s">
        <v>86</v>
      </c>
      <c r="BY1363">
        <v>5320</v>
      </c>
      <c r="CA1363" t="s">
        <v>158</v>
      </c>
      <c r="CC1363" t="s">
        <v>154</v>
      </c>
      <c r="CD1363">
        <v>7646</v>
      </c>
      <c r="CE1363" t="s">
        <v>687</v>
      </c>
      <c r="CI1363">
        <v>1</v>
      </c>
      <c r="CJ1363">
        <v>1</v>
      </c>
      <c r="CK1363">
        <v>23</v>
      </c>
      <c r="CL1363" t="s">
        <v>90</v>
      </c>
    </row>
    <row r="1364" spans="1:90" x14ac:dyDescent="0.3">
      <c r="A1364" t="s">
        <v>72</v>
      </c>
      <c r="B1364" t="s">
        <v>73</v>
      </c>
      <c r="C1364" t="s">
        <v>74</v>
      </c>
      <c r="E1364" t="str">
        <f>"080065872814"</f>
        <v>080065872814</v>
      </c>
      <c r="F1364" s="3">
        <v>45818</v>
      </c>
      <c r="G1364">
        <v>202603</v>
      </c>
      <c r="H1364" t="s">
        <v>75</v>
      </c>
      <c r="I1364" t="s">
        <v>76</v>
      </c>
      <c r="J1364" t="s">
        <v>77</v>
      </c>
      <c r="K1364" t="s">
        <v>78</v>
      </c>
      <c r="L1364" t="s">
        <v>106</v>
      </c>
      <c r="M1364" t="s">
        <v>107</v>
      </c>
      <c r="N1364" t="s">
        <v>1141</v>
      </c>
      <c r="O1364" t="s">
        <v>94</v>
      </c>
      <c r="P1364" t="str">
        <f>"4170043118                    "</f>
        <v xml:space="preserve">4170043118                    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208.92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</v>
      </c>
      <c r="AX1364">
        <v>0</v>
      </c>
      <c r="AY1364">
        <v>0</v>
      </c>
      <c r="AZ1364">
        <v>0</v>
      </c>
      <c r="BA1364">
        <v>0</v>
      </c>
      <c r="BB1364">
        <v>0</v>
      </c>
      <c r="BC1364">
        <v>0</v>
      </c>
      <c r="BD1364">
        <v>0</v>
      </c>
      <c r="BE1364">
        <v>0</v>
      </c>
      <c r="BF1364">
        <v>0</v>
      </c>
      <c r="BG1364">
        <v>0</v>
      </c>
      <c r="BH1364">
        <v>5</v>
      </c>
      <c r="BI1364">
        <v>116</v>
      </c>
      <c r="BJ1364">
        <v>98.7</v>
      </c>
      <c r="BK1364">
        <v>116</v>
      </c>
      <c r="BL1364">
        <v>700.35</v>
      </c>
      <c r="BM1364">
        <v>105.05</v>
      </c>
      <c r="BN1364">
        <v>805.4</v>
      </c>
      <c r="BO1364">
        <v>805.4</v>
      </c>
      <c r="BQ1364" t="s">
        <v>1142</v>
      </c>
      <c r="BR1364" t="s">
        <v>84</v>
      </c>
      <c r="BS1364" s="3">
        <v>45819</v>
      </c>
      <c r="BT1364" s="4">
        <v>0.51249999999999996</v>
      </c>
      <c r="BU1364" t="s">
        <v>2018</v>
      </c>
      <c r="BV1364" t="s">
        <v>86</v>
      </c>
      <c r="BY1364">
        <v>493420</v>
      </c>
      <c r="CA1364" t="s">
        <v>2019</v>
      </c>
      <c r="CC1364" t="s">
        <v>107</v>
      </c>
      <c r="CD1364">
        <v>127</v>
      </c>
      <c r="CE1364" t="s">
        <v>166</v>
      </c>
      <c r="CF1364" s="3">
        <v>45819</v>
      </c>
      <c r="CI1364">
        <v>1</v>
      </c>
      <c r="CJ1364">
        <v>1</v>
      </c>
      <c r="CK1364">
        <v>41</v>
      </c>
      <c r="CL1364" t="s">
        <v>90</v>
      </c>
    </row>
    <row r="1365" spans="1:90" x14ac:dyDescent="0.3">
      <c r="A1365" t="s">
        <v>72</v>
      </c>
      <c r="B1365" t="s">
        <v>73</v>
      </c>
      <c r="C1365" t="s">
        <v>74</v>
      </c>
      <c r="E1365" t="str">
        <f>"080065872899"</f>
        <v>080065872899</v>
      </c>
      <c r="F1365" s="3">
        <v>45818</v>
      </c>
      <c r="G1365">
        <v>202603</v>
      </c>
      <c r="H1365" t="s">
        <v>75</v>
      </c>
      <c r="I1365" t="s">
        <v>76</v>
      </c>
      <c r="J1365" t="s">
        <v>77</v>
      </c>
      <c r="K1365" t="s">
        <v>78</v>
      </c>
      <c r="L1365" t="s">
        <v>106</v>
      </c>
      <c r="M1365" t="s">
        <v>107</v>
      </c>
      <c r="N1365" t="s">
        <v>405</v>
      </c>
      <c r="O1365" t="s">
        <v>94</v>
      </c>
      <c r="P1365" t="str">
        <f>"4170043186                    "</f>
        <v xml:space="preserve">4170043186                    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40.409999999999997</v>
      </c>
      <c r="AR1365">
        <v>0</v>
      </c>
      <c r="AS1365">
        <v>0</v>
      </c>
      <c r="AT1365">
        <v>0</v>
      </c>
      <c r="AU1365">
        <v>0</v>
      </c>
      <c r="AV1365">
        <v>0</v>
      </c>
      <c r="AW1365">
        <v>0</v>
      </c>
      <c r="AX1365">
        <v>0</v>
      </c>
      <c r="AY1365">
        <v>0</v>
      </c>
      <c r="AZ1365">
        <v>0</v>
      </c>
      <c r="BA1365">
        <v>0</v>
      </c>
      <c r="BB1365">
        <v>0</v>
      </c>
      <c r="BC1365">
        <v>0</v>
      </c>
      <c r="BD1365">
        <v>0</v>
      </c>
      <c r="BE1365">
        <v>0</v>
      </c>
      <c r="BF1365">
        <v>0</v>
      </c>
      <c r="BG1365">
        <v>0</v>
      </c>
      <c r="BH1365">
        <v>1</v>
      </c>
      <c r="BI1365">
        <v>4</v>
      </c>
      <c r="BJ1365">
        <v>1.9</v>
      </c>
      <c r="BK1365">
        <v>4</v>
      </c>
      <c r="BL1365">
        <v>139.96</v>
      </c>
      <c r="BM1365">
        <v>20.99</v>
      </c>
      <c r="BN1365">
        <v>160.94999999999999</v>
      </c>
      <c r="BO1365">
        <v>160.94999999999999</v>
      </c>
      <c r="BQ1365" t="s">
        <v>406</v>
      </c>
      <c r="BR1365" t="s">
        <v>84</v>
      </c>
      <c r="BS1365" s="3">
        <v>45819</v>
      </c>
      <c r="BT1365" s="4">
        <v>0.66666666666666663</v>
      </c>
      <c r="BU1365" t="s">
        <v>2020</v>
      </c>
      <c r="BV1365" t="s">
        <v>86</v>
      </c>
      <c r="BY1365">
        <v>9600</v>
      </c>
      <c r="CA1365" t="s">
        <v>1751</v>
      </c>
      <c r="CC1365" t="s">
        <v>107</v>
      </c>
      <c r="CD1365">
        <v>186</v>
      </c>
      <c r="CE1365" t="s">
        <v>166</v>
      </c>
      <c r="CF1365" s="3">
        <v>45819</v>
      </c>
      <c r="CI1365">
        <v>1</v>
      </c>
      <c r="CJ1365">
        <v>1</v>
      </c>
      <c r="CK1365">
        <v>41</v>
      </c>
      <c r="CL1365" t="s">
        <v>90</v>
      </c>
    </row>
    <row r="1366" spans="1:90" x14ac:dyDescent="0.3">
      <c r="A1366" t="s">
        <v>72</v>
      </c>
      <c r="B1366" t="s">
        <v>73</v>
      </c>
      <c r="C1366" t="s">
        <v>74</v>
      </c>
      <c r="E1366" t="str">
        <f>"080065872956"</f>
        <v>080065872956</v>
      </c>
      <c r="F1366" s="3">
        <v>45818</v>
      </c>
      <c r="G1366">
        <v>202603</v>
      </c>
      <c r="H1366" t="s">
        <v>75</v>
      </c>
      <c r="I1366" t="s">
        <v>76</v>
      </c>
      <c r="J1366" t="s">
        <v>77</v>
      </c>
      <c r="K1366" t="s">
        <v>78</v>
      </c>
      <c r="L1366" t="s">
        <v>996</v>
      </c>
      <c r="M1366" t="s">
        <v>997</v>
      </c>
      <c r="N1366" t="s">
        <v>998</v>
      </c>
      <c r="O1366" t="s">
        <v>82</v>
      </c>
      <c r="P1366" t="str">
        <f>"4170043205                    "</f>
        <v xml:space="preserve">4170043205                    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40.49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  <c r="BB1366">
        <v>0</v>
      </c>
      <c r="BC1366">
        <v>0</v>
      </c>
      <c r="BD1366">
        <v>0</v>
      </c>
      <c r="BE1366">
        <v>0</v>
      </c>
      <c r="BF1366">
        <v>0</v>
      </c>
      <c r="BG1366">
        <v>0</v>
      </c>
      <c r="BH1366">
        <v>1</v>
      </c>
      <c r="BI1366">
        <v>1</v>
      </c>
      <c r="BJ1366">
        <v>0.6</v>
      </c>
      <c r="BK1366">
        <v>1</v>
      </c>
      <c r="BL1366">
        <v>134.65</v>
      </c>
      <c r="BM1366">
        <v>20.2</v>
      </c>
      <c r="BN1366">
        <v>154.85</v>
      </c>
      <c r="BO1366">
        <v>154.85</v>
      </c>
      <c r="BQ1366" t="s">
        <v>999</v>
      </c>
      <c r="BR1366" t="s">
        <v>84</v>
      </c>
      <c r="BS1366" s="3">
        <v>45819</v>
      </c>
      <c r="BT1366" s="4">
        <v>0.41666666666666669</v>
      </c>
      <c r="BU1366" t="s">
        <v>1000</v>
      </c>
      <c r="BV1366" t="s">
        <v>86</v>
      </c>
      <c r="BY1366">
        <v>3192</v>
      </c>
      <c r="CA1366" t="s">
        <v>1001</v>
      </c>
      <c r="CC1366" t="s">
        <v>997</v>
      </c>
      <c r="CD1366">
        <v>3310</v>
      </c>
      <c r="CE1366" t="s">
        <v>687</v>
      </c>
      <c r="CF1366" s="3">
        <v>45819</v>
      </c>
      <c r="CI1366">
        <v>1</v>
      </c>
      <c r="CJ1366">
        <v>1</v>
      </c>
      <c r="CK1366">
        <v>23</v>
      </c>
      <c r="CL1366" t="s">
        <v>90</v>
      </c>
    </row>
    <row r="1367" spans="1:90" x14ac:dyDescent="0.3">
      <c r="A1367" t="s">
        <v>72</v>
      </c>
      <c r="B1367" t="s">
        <v>73</v>
      </c>
      <c r="C1367" t="s">
        <v>74</v>
      </c>
      <c r="E1367" t="str">
        <f>"080065873042"</f>
        <v>080065873042</v>
      </c>
      <c r="F1367" s="3">
        <v>45818</v>
      </c>
      <c r="G1367">
        <v>202603</v>
      </c>
      <c r="H1367" t="s">
        <v>75</v>
      </c>
      <c r="I1367" t="s">
        <v>76</v>
      </c>
      <c r="J1367" t="s">
        <v>77</v>
      </c>
      <c r="K1367" t="s">
        <v>78</v>
      </c>
      <c r="L1367" t="s">
        <v>284</v>
      </c>
      <c r="M1367" t="s">
        <v>285</v>
      </c>
      <c r="N1367" t="s">
        <v>908</v>
      </c>
      <c r="O1367" t="s">
        <v>82</v>
      </c>
      <c r="P1367" t="str">
        <f>"4170043207                    "</f>
        <v xml:space="preserve">4170043207                    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16.32</v>
      </c>
      <c r="AR1367">
        <v>0</v>
      </c>
      <c r="AS1367">
        <v>0</v>
      </c>
      <c r="AT1367">
        <v>0</v>
      </c>
      <c r="AU1367">
        <v>0</v>
      </c>
      <c r="AV1367">
        <v>0</v>
      </c>
      <c r="AW1367">
        <v>0</v>
      </c>
      <c r="AX1367">
        <v>0</v>
      </c>
      <c r="AY1367">
        <v>0</v>
      </c>
      <c r="AZ1367">
        <v>0</v>
      </c>
      <c r="BA1367">
        <v>0</v>
      </c>
      <c r="BB1367">
        <v>0</v>
      </c>
      <c r="BC1367">
        <v>0</v>
      </c>
      <c r="BD1367">
        <v>0</v>
      </c>
      <c r="BE1367">
        <v>0</v>
      </c>
      <c r="BF1367">
        <v>0</v>
      </c>
      <c r="BG1367">
        <v>0</v>
      </c>
      <c r="BH1367">
        <v>1</v>
      </c>
      <c r="BI1367">
        <v>3</v>
      </c>
      <c r="BJ1367">
        <v>2</v>
      </c>
      <c r="BK1367">
        <v>3</v>
      </c>
      <c r="BL1367">
        <v>54.28</v>
      </c>
      <c r="BM1367">
        <v>8.14</v>
      </c>
      <c r="BN1367">
        <v>62.42</v>
      </c>
      <c r="BO1367">
        <v>62.42</v>
      </c>
      <c r="BQ1367" t="s">
        <v>909</v>
      </c>
      <c r="BR1367" t="s">
        <v>84</v>
      </c>
      <c r="BS1367" s="3">
        <v>45819</v>
      </c>
      <c r="BT1367" s="4">
        <v>0.40416666666666667</v>
      </c>
      <c r="BU1367" t="s">
        <v>2021</v>
      </c>
      <c r="BV1367" t="s">
        <v>86</v>
      </c>
      <c r="BY1367">
        <v>10192</v>
      </c>
      <c r="CA1367" t="s">
        <v>2022</v>
      </c>
      <c r="CC1367" t="s">
        <v>285</v>
      </c>
      <c r="CD1367">
        <v>1559</v>
      </c>
      <c r="CE1367" t="s">
        <v>166</v>
      </c>
      <c r="CF1367" s="3">
        <v>45819</v>
      </c>
      <c r="CI1367">
        <v>1</v>
      </c>
      <c r="CJ1367">
        <v>1</v>
      </c>
      <c r="CK1367">
        <v>22</v>
      </c>
      <c r="CL1367" t="s">
        <v>90</v>
      </c>
    </row>
    <row r="1368" spans="1:90" x14ac:dyDescent="0.3">
      <c r="A1368" t="s">
        <v>72</v>
      </c>
      <c r="B1368" t="s">
        <v>73</v>
      </c>
      <c r="C1368" t="s">
        <v>74</v>
      </c>
      <c r="E1368" t="str">
        <f>"080065873171"</f>
        <v>080065873171</v>
      </c>
      <c r="F1368" s="3">
        <v>45818</v>
      </c>
      <c r="G1368">
        <v>202603</v>
      </c>
      <c r="H1368" t="s">
        <v>75</v>
      </c>
      <c r="I1368" t="s">
        <v>76</v>
      </c>
      <c r="J1368" t="s">
        <v>77</v>
      </c>
      <c r="K1368" t="s">
        <v>78</v>
      </c>
      <c r="L1368" t="s">
        <v>426</v>
      </c>
      <c r="M1368" t="s">
        <v>427</v>
      </c>
      <c r="N1368" t="s">
        <v>759</v>
      </c>
      <c r="O1368" t="s">
        <v>82</v>
      </c>
      <c r="P1368" t="str">
        <f>"4170043219                    "</f>
        <v xml:space="preserve">4170043219                    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29.39</v>
      </c>
      <c r="AR1368">
        <v>0</v>
      </c>
      <c r="AS1368">
        <v>0</v>
      </c>
      <c r="AT1368">
        <v>0</v>
      </c>
      <c r="AU1368">
        <v>0</v>
      </c>
      <c r="AV1368">
        <v>0</v>
      </c>
      <c r="AW1368">
        <v>0</v>
      </c>
      <c r="AX1368">
        <v>0</v>
      </c>
      <c r="AY1368">
        <v>0</v>
      </c>
      <c r="AZ1368">
        <v>0</v>
      </c>
      <c r="BA1368">
        <v>0</v>
      </c>
      <c r="BB1368">
        <v>0</v>
      </c>
      <c r="BC1368">
        <v>0</v>
      </c>
      <c r="BD1368">
        <v>0</v>
      </c>
      <c r="BE1368">
        <v>0</v>
      </c>
      <c r="BF1368">
        <v>0</v>
      </c>
      <c r="BG1368">
        <v>0</v>
      </c>
      <c r="BH1368">
        <v>1</v>
      </c>
      <c r="BI1368">
        <v>1</v>
      </c>
      <c r="BJ1368">
        <v>0.2</v>
      </c>
      <c r="BK1368">
        <v>1</v>
      </c>
      <c r="BL1368">
        <v>97.74</v>
      </c>
      <c r="BM1368">
        <v>14.66</v>
      </c>
      <c r="BN1368">
        <v>112.4</v>
      </c>
      <c r="BO1368">
        <v>112.4</v>
      </c>
      <c r="BQ1368" t="s">
        <v>796</v>
      </c>
      <c r="BR1368" t="s">
        <v>84</v>
      </c>
      <c r="BS1368" s="3">
        <v>45819</v>
      </c>
      <c r="BT1368" s="4">
        <v>0.48333333333333334</v>
      </c>
      <c r="BU1368" t="s">
        <v>2023</v>
      </c>
      <c r="BV1368" t="s">
        <v>86</v>
      </c>
      <c r="BY1368">
        <v>1200</v>
      </c>
      <c r="CA1368" t="s">
        <v>432</v>
      </c>
      <c r="CC1368" t="s">
        <v>427</v>
      </c>
      <c r="CD1368">
        <v>1758</v>
      </c>
      <c r="CE1368" t="s">
        <v>215</v>
      </c>
      <c r="CF1368" s="3">
        <v>45819</v>
      </c>
      <c r="CI1368">
        <v>1</v>
      </c>
      <c r="CJ1368">
        <v>1</v>
      </c>
      <c r="CK1368">
        <v>24</v>
      </c>
      <c r="CL1368" t="s">
        <v>90</v>
      </c>
    </row>
    <row r="1369" spans="1:90" x14ac:dyDescent="0.3">
      <c r="A1369" t="s">
        <v>72</v>
      </c>
      <c r="B1369" t="s">
        <v>73</v>
      </c>
      <c r="C1369" t="s">
        <v>74</v>
      </c>
      <c r="E1369" t="str">
        <f>"080065873230"</f>
        <v>080065873230</v>
      </c>
      <c r="F1369" s="3">
        <v>45818</v>
      </c>
      <c r="G1369">
        <v>202603</v>
      </c>
      <c r="H1369" t="s">
        <v>75</v>
      </c>
      <c r="I1369" t="s">
        <v>76</v>
      </c>
      <c r="J1369" t="s">
        <v>77</v>
      </c>
      <c r="K1369" t="s">
        <v>78</v>
      </c>
      <c r="L1369" t="s">
        <v>350</v>
      </c>
      <c r="M1369" t="s">
        <v>351</v>
      </c>
      <c r="N1369" t="s">
        <v>352</v>
      </c>
      <c r="O1369" t="s">
        <v>82</v>
      </c>
      <c r="P1369" t="str">
        <f>"4170043260                    "</f>
        <v xml:space="preserve">4170043260                    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20.9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</v>
      </c>
      <c r="AX1369">
        <v>0</v>
      </c>
      <c r="AY1369">
        <v>0</v>
      </c>
      <c r="AZ1369">
        <v>0</v>
      </c>
      <c r="BA1369">
        <v>0</v>
      </c>
      <c r="BB1369">
        <v>0</v>
      </c>
      <c r="BC1369">
        <v>0</v>
      </c>
      <c r="BD1369">
        <v>0</v>
      </c>
      <c r="BE1369">
        <v>0</v>
      </c>
      <c r="BF1369">
        <v>0</v>
      </c>
      <c r="BG1369">
        <v>0</v>
      </c>
      <c r="BH1369">
        <v>1</v>
      </c>
      <c r="BI1369">
        <v>1</v>
      </c>
      <c r="BJ1369">
        <v>0.2</v>
      </c>
      <c r="BK1369">
        <v>1</v>
      </c>
      <c r="BL1369">
        <v>69.5</v>
      </c>
      <c r="BM1369">
        <v>10.43</v>
      </c>
      <c r="BN1369">
        <v>79.930000000000007</v>
      </c>
      <c r="BO1369">
        <v>79.930000000000007</v>
      </c>
      <c r="BQ1369" t="s">
        <v>353</v>
      </c>
      <c r="BR1369" t="s">
        <v>84</v>
      </c>
      <c r="BS1369" s="3">
        <v>45819</v>
      </c>
      <c r="BT1369" s="4">
        <v>0.38055555555555554</v>
      </c>
      <c r="BU1369" t="s">
        <v>354</v>
      </c>
      <c r="BV1369" t="s">
        <v>86</v>
      </c>
      <c r="BY1369">
        <v>1200</v>
      </c>
      <c r="CA1369" t="s">
        <v>355</v>
      </c>
      <c r="CC1369" t="s">
        <v>351</v>
      </c>
      <c r="CD1369">
        <v>157</v>
      </c>
      <c r="CE1369" t="s">
        <v>215</v>
      </c>
      <c r="CF1369" s="3">
        <v>45819</v>
      </c>
      <c r="CI1369">
        <v>1</v>
      </c>
      <c r="CJ1369">
        <v>1</v>
      </c>
      <c r="CK1369">
        <v>21</v>
      </c>
      <c r="CL1369" t="s">
        <v>90</v>
      </c>
    </row>
    <row r="1370" spans="1:90" x14ac:dyDescent="0.3">
      <c r="A1370" t="s">
        <v>72</v>
      </c>
      <c r="B1370" t="s">
        <v>73</v>
      </c>
      <c r="C1370" t="s">
        <v>74</v>
      </c>
      <c r="E1370" t="str">
        <f>"080065873272"</f>
        <v>080065873272</v>
      </c>
      <c r="F1370" s="3">
        <v>45818</v>
      </c>
      <c r="G1370">
        <v>202603</v>
      </c>
      <c r="H1370" t="s">
        <v>75</v>
      </c>
      <c r="I1370" t="s">
        <v>76</v>
      </c>
      <c r="J1370" t="s">
        <v>77</v>
      </c>
      <c r="K1370" t="s">
        <v>78</v>
      </c>
      <c r="L1370" t="s">
        <v>91</v>
      </c>
      <c r="M1370" t="s">
        <v>92</v>
      </c>
      <c r="N1370" t="s">
        <v>1252</v>
      </c>
      <c r="O1370" t="s">
        <v>82</v>
      </c>
      <c r="P1370" t="str">
        <f>"4170043210                    "</f>
        <v xml:space="preserve">4170043210                    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20.9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  <c r="BB1370">
        <v>0</v>
      </c>
      <c r="BC1370">
        <v>0</v>
      </c>
      <c r="BD1370">
        <v>0</v>
      </c>
      <c r="BE1370">
        <v>0</v>
      </c>
      <c r="BF1370">
        <v>0</v>
      </c>
      <c r="BG1370">
        <v>0</v>
      </c>
      <c r="BH1370">
        <v>1</v>
      </c>
      <c r="BI1370">
        <v>1</v>
      </c>
      <c r="BJ1370">
        <v>0.2</v>
      </c>
      <c r="BK1370">
        <v>1</v>
      </c>
      <c r="BL1370">
        <v>69.5</v>
      </c>
      <c r="BM1370">
        <v>10.43</v>
      </c>
      <c r="BN1370">
        <v>79.930000000000007</v>
      </c>
      <c r="BO1370">
        <v>79.930000000000007</v>
      </c>
      <c r="BQ1370" t="s">
        <v>1253</v>
      </c>
      <c r="BR1370" t="s">
        <v>84</v>
      </c>
      <c r="BS1370" s="3">
        <v>45819</v>
      </c>
      <c r="BT1370" s="4">
        <v>0.40347222222222223</v>
      </c>
      <c r="BU1370" t="s">
        <v>1254</v>
      </c>
      <c r="BV1370" t="s">
        <v>86</v>
      </c>
      <c r="BY1370">
        <v>1200</v>
      </c>
      <c r="CA1370" t="s">
        <v>1255</v>
      </c>
      <c r="CC1370" t="s">
        <v>92</v>
      </c>
      <c r="CD1370">
        <v>7800</v>
      </c>
      <c r="CE1370" t="s">
        <v>215</v>
      </c>
      <c r="CI1370">
        <v>1</v>
      </c>
      <c r="CJ1370">
        <v>1</v>
      </c>
      <c r="CK1370">
        <v>21</v>
      </c>
      <c r="CL1370" t="s">
        <v>90</v>
      </c>
    </row>
    <row r="1371" spans="1:90" x14ac:dyDescent="0.3">
      <c r="A1371" t="s">
        <v>72</v>
      </c>
      <c r="B1371" t="s">
        <v>73</v>
      </c>
      <c r="C1371" t="s">
        <v>74</v>
      </c>
      <c r="E1371" t="str">
        <f>"080065873363"</f>
        <v>080065873363</v>
      </c>
      <c r="F1371" s="3">
        <v>45818</v>
      </c>
      <c r="G1371">
        <v>202603</v>
      </c>
      <c r="H1371" t="s">
        <v>75</v>
      </c>
      <c r="I1371" t="s">
        <v>76</v>
      </c>
      <c r="J1371" t="s">
        <v>77</v>
      </c>
      <c r="K1371" t="s">
        <v>78</v>
      </c>
      <c r="L1371" t="s">
        <v>130</v>
      </c>
      <c r="M1371" t="s">
        <v>131</v>
      </c>
      <c r="N1371" t="s">
        <v>1064</v>
      </c>
      <c r="O1371" t="s">
        <v>82</v>
      </c>
      <c r="P1371" t="str">
        <f>"4170043323                    "</f>
        <v xml:space="preserve">4170043323                    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16.32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</v>
      </c>
      <c r="AX1371">
        <v>0</v>
      </c>
      <c r="AY1371">
        <v>0</v>
      </c>
      <c r="AZ1371">
        <v>0</v>
      </c>
      <c r="BA1371">
        <v>0</v>
      </c>
      <c r="BB1371">
        <v>0</v>
      </c>
      <c r="BC1371">
        <v>0</v>
      </c>
      <c r="BD1371">
        <v>0</v>
      </c>
      <c r="BE1371">
        <v>0</v>
      </c>
      <c r="BF1371">
        <v>0</v>
      </c>
      <c r="BG1371">
        <v>0</v>
      </c>
      <c r="BH1371">
        <v>1</v>
      </c>
      <c r="BI1371">
        <v>1</v>
      </c>
      <c r="BJ1371">
        <v>0.2</v>
      </c>
      <c r="BK1371">
        <v>1</v>
      </c>
      <c r="BL1371">
        <v>54.28</v>
      </c>
      <c r="BM1371">
        <v>8.14</v>
      </c>
      <c r="BN1371">
        <v>62.42</v>
      </c>
      <c r="BO1371">
        <v>62.42</v>
      </c>
      <c r="BQ1371" t="s">
        <v>1065</v>
      </c>
      <c r="BR1371" t="s">
        <v>84</v>
      </c>
      <c r="BS1371" s="3">
        <v>45819</v>
      </c>
      <c r="BT1371" s="4">
        <v>0.34166666666666667</v>
      </c>
      <c r="BU1371" t="s">
        <v>2024</v>
      </c>
      <c r="BV1371" t="s">
        <v>86</v>
      </c>
      <c r="BY1371">
        <v>1200</v>
      </c>
      <c r="CA1371" t="s">
        <v>135</v>
      </c>
      <c r="CC1371" t="s">
        <v>131</v>
      </c>
      <c r="CD1371">
        <v>1460</v>
      </c>
      <c r="CE1371" t="s">
        <v>215</v>
      </c>
      <c r="CF1371" s="3">
        <v>45820</v>
      </c>
      <c r="CI1371">
        <v>1</v>
      </c>
      <c r="CJ1371">
        <v>1</v>
      </c>
      <c r="CK1371">
        <v>22</v>
      </c>
      <c r="CL1371" t="s">
        <v>90</v>
      </c>
    </row>
    <row r="1372" spans="1:90" x14ac:dyDescent="0.3">
      <c r="A1372" t="s">
        <v>72</v>
      </c>
      <c r="B1372" t="s">
        <v>73</v>
      </c>
      <c r="C1372" t="s">
        <v>74</v>
      </c>
      <c r="E1372" t="str">
        <f>"080065873447"</f>
        <v>080065873447</v>
      </c>
      <c r="F1372" s="3">
        <v>45818</v>
      </c>
      <c r="G1372">
        <v>202603</v>
      </c>
      <c r="H1372" t="s">
        <v>75</v>
      </c>
      <c r="I1372" t="s">
        <v>76</v>
      </c>
      <c r="J1372" t="s">
        <v>77</v>
      </c>
      <c r="K1372" t="s">
        <v>78</v>
      </c>
      <c r="L1372" t="s">
        <v>100</v>
      </c>
      <c r="M1372" t="s">
        <v>101</v>
      </c>
      <c r="N1372" t="s">
        <v>2025</v>
      </c>
      <c r="O1372" t="s">
        <v>82</v>
      </c>
      <c r="P1372" t="str">
        <f>"4170043242                    "</f>
        <v xml:space="preserve">4170043242                    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20.9</v>
      </c>
      <c r="AR1372">
        <v>0</v>
      </c>
      <c r="AS1372">
        <v>0</v>
      </c>
      <c r="AT1372">
        <v>0</v>
      </c>
      <c r="AU1372">
        <v>0</v>
      </c>
      <c r="AV1372">
        <v>0</v>
      </c>
      <c r="AW1372">
        <v>0</v>
      </c>
      <c r="AX1372">
        <v>0</v>
      </c>
      <c r="AY1372">
        <v>0</v>
      </c>
      <c r="AZ1372">
        <v>0</v>
      </c>
      <c r="BA1372">
        <v>0</v>
      </c>
      <c r="BB1372">
        <v>0</v>
      </c>
      <c r="BC1372">
        <v>0</v>
      </c>
      <c r="BD1372">
        <v>0</v>
      </c>
      <c r="BE1372">
        <v>0</v>
      </c>
      <c r="BF1372">
        <v>0</v>
      </c>
      <c r="BG1372">
        <v>0</v>
      </c>
      <c r="BH1372">
        <v>1</v>
      </c>
      <c r="BI1372">
        <v>1</v>
      </c>
      <c r="BJ1372">
        <v>0.2</v>
      </c>
      <c r="BK1372">
        <v>1</v>
      </c>
      <c r="BL1372">
        <v>69.5</v>
      </c>
      <c r="BM1372">
        <v>10.43</v>
      </c>
      <c r="BN1372">
        <v>79.930000000000007</v>
      </c>
      <c r="BO1372">
        <v>79.930000000000007</v>
      </c>
      <c r="BQ1372" t="s">
        <v>2026</v>
      </c>
      <c r="BR1372" t="s">
        <v>84</v>
      </c>
      <c r="BS1372" s="3">
        <v>45819</v>
      </c>
      <c r="BT1372" s="4">
        <v>0.42986111111111114</v>
      </c>
      <c r="BU1372" t="s">
        <v>2027</v>
      </c>
      <c r="BV1372" t="s">
        <v>86</v>
      </c>
      <c r="BY1372">
        <v>1200</v>
      </c>
      <c r="CA1372" t="s">
        <v>223</v>
      </c>
      <c r="CC1372" t="s">
        <v>101</v>
      </c>
      <c r="CD1372">
        <v>6001</v>
      </c>
      <c r="CE1372" t="s">
        <v>215</v>
      </c>
      <c r="CF1372" s="3">
        <v>45819</v>
      </c>
      <c r="CI1372">
        <v>1</v>
      </c>
      <c r="CJ1372">
        <v>1</v>
      </c>
      <c r="CK1372">
        <v>21</v>
      </c>
      <c r="CL1372" t="s">
        <v>90</v>
      </c>
    </row>
    <row r="1373" spans="1:90" x14ac:dyDescent="0.3">
      <c r="A1373" t="s">
        <v>72</v>
      </c>
      <c r="B1373" t="s">
        <v>73</v>
      </c>
      <c r="C1373" t="s">
        <v>74</v>
      </c>
      <c r="E1373" t="str">
        <f>"080065873644"</f>
        <v>080065873644</v>
      </c>
      <c r="F1373" s="3">
        <v>45818</v>
      </c>
      <c r="G1373">
        <v>202603</v>
      </c>
      <c r="H1373" t="s">
        <v>75</v>
      </c>
      <c r="I1373" t="s">
        <v>76</v>
      </c>
      <c r="J1373" t="s">
        <v>77</v>
      </c>
      <c r="K1373" t="s">
        <v>78</v>
      </c>
      <c r="L1373" t="s">
        <v>302</v>
      </c>
      <c r="M1373" t="s">
        <v>303</v>
      </c>
      <c r="N1373" t="s">
        <v>304</v>
      </c>
      <c r="O1373" t="s">
        <v>82</v>
      </c>
      <c r="P1373" t="str">
        <f>"4170043282                    "</f>
        <v xml:space="preserve">4170043282                    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86.2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  <c r="BB1373">
        <v>0</v>
      </c>
      <c r="BC1373">
        <v>0</v>
      </c>
      <c r="BD1373">
        <v>0</v>
      </c>
      <c r="BE1373">
        <v>0</v>
      </c>
      <c r="BF1373">
        <v>0</v>
      </c>
      <c r="BG1373">
        <v>0</v>
      </c>
      <c r="BH1373">
        <v>1</v>
      </c>
      <c r="BI1373">
        <v>4</v>
      </c>
      <c r="BJ1373">
        <v>4.0999999999999996</v>
      </c>
      <c r="BK1373">
        <v>4.5</v>
      </c>
      <c r="BL1373">
        <v>286.66000000000003</v>
      </c>
      <c r="BM1373">
        <v>43</v>
      </c>
      <c r="BN1373">
        <v>329.66</v>
      </c>
      <c r="BO1373">
        <v>329.66</v>
      </c>
      <c r="BQ1373" t="s">
        <v>305</v>
      </c>
      <c r="BR1373" t="s">
        <v>84</v>
      </c>
      <c r="BS1373" s="3">
        <v>45819</v>
      </c>
      <c r="BT1373" s="4">
        <v>0.38124999999999998</v>
      </c>
      <c r="BU1373" t="s">
        <v>1962</v>
      </c>
      <c r="BV1373" t="s">
        <v>86</v>
      </c>
      <c r="BY1373">
        <v>20358</v>
      </c>
      <c r="CC1373" t="s">
        <v>303</v>
      </c>
      <c r="CD1373">
        <v>299</v>
      </c>
      <c r="CE1373" t="s">
        <v>687</v>
      </c>
      <c r="CI1373">
        <v>1</v>
      </c>
      <c r="CJ1373">
        <v>1</v>
      </c>
      <c r="CK1373">
        <v>23</v>
      </c>
      <c r="CL1373" t="s">
        <v>90</v>
      </c>
    </row>
    <row r="1374" spans="1:90" x14ac:dyDescent="0.3">
      <c r="A1374" t="s">
        <v>72</v>
      </c>
      <c r="B1374" t="s">
        <v>73</v>
      </c>
      <c r="C1374" t="s">
        <v>74</v>
      </c>
      <c r="E1374" t="str">
        <f>"080065873722"</f>
        <v>080065873722</v>
      </c>
      <c r="F1374" s="3">
        <v>45818</v>
      </c>
      <c r="G1374">
        <v>202603</v>
      </c>
      <c r="H1374" t="s">
        <v>75</v>
      </c>
      <c r="I1374" t="s">
        <v>76</v>
      </c>
      <c r="J1374" t="s">
        <v>77</v>
      </c>
      <c r="K1374" t="s">
        <v>78</v>
      </c>
      <c r="L1374" t="s">
        <v>106</v>
      </c>
      <c r="M1374" t="s">
        <v>107</v>
      </c>
      <c r="N1374" t="s">
        <v>1913</v>
      </c>
      <c r="O1374" t="s">
        <v>94</v>
      </c>
      <c r="P1374" t="str">
        <f>"4170043225                    "</f>
        <v xml:space="preserve">4170043225                    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40.409999999999997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  <c r="BB1374">
        <v>0</v>
      </c>
      <c r="BC1374">
        <v>0</v>
      </c>
      <c r="BD1374">
        <v>0</v>
      </c>
      <c r="BE1374">
        <v>0</v>
      </c>
      <c r="BF1374">
        <v>0</v>
      </c>
      <c r="BG1374">
        <v>0</v>
      </c>
      <c r="BH1374">
        <v>1</v>
      </c>
      <c r="BI1374">
        <v>10</v>
      </c>
      <c r="BJ1374">
        <v>3.4</v>
      </c>
      <c r="BK1374">
        <v>10</v>
      </c>
      <c r="BL1374">
        <v>139.96</v>
      </c>
      <c r="BM1374">
        <v>20.99</v>
      </c>
      <c r="BN1374">
        <v>160.94999999999999</v>
      </c>
      <c r="BO1374">
        <v>160.94999999999999</v>
      </c>
      <c r="BQ1374" t="s">
        <v>1914</v>
      </c>
      <c r="BR1374" t="s">
        <v>84</v>
      </c>
      <c r="BS1374" s="3">
        <v>45819</v>
      </c>
      <c r="BT1374" s="4">
        <v>0.39861111111111114</v>
      </c>
      <c r="BU1374" t="s">
        <v>1915</v>
      </c>
      <c r="BV1374" t="s">
        <v>86</v>
      </c>
      <c r="BY1374">
        <v>16965</v>
      </c>
      <c r="CA1374" t="s">
        <v>111</v>
      </c>
      <c r="CC1374" t="s">
        <v>107</v>
      </c>
      <c r="CD1374">
        <v>200</v>
      </c>
      <c r="CE1374" t="s">
        <v>687</v>
      </c>
      <c r="CF1374" s="3">
        <v>45819</v>
      </c>
      <c r="CI1374">
        <v>1</v>
      </c>
      <c r="CJ1374">
        <v>1</v>
      </c>
      <c r="CK1374">
        <v>41</v>
      </c>
      <c r="CL1374" t="s">
        <v>90</v>
      </c>
    </row>
    <row r="1375" spans="1:90" x14ac:dyDescent="0.3">
      <c r="A1375" t="s">
        <v>72</v>
      </c>
      <c r="B1375" t="s">
        <v>73</v>
      </c>
      <c r="C1375" t="s">
        <v>74</v>
      </c>
      <c r="E1375" t="str">
        <f>"080065873826"</f>
        <v>080065873826</v>
      </c>
      <c r="F1375" s="3">
        <v>45818</v>
      </c>
      <c r="G1375">
        <v>202603</v>
      </c>
      <c r="H1375" t="s">
        <v>75</v>
      </c>
      <c r="I1375" t="s">
        <v>76</v>
      </c>
      <c r="J1375" t="s">
        <v>77</v>
      </c>
      <c r="K1375" t="s">
        <v>78</v>
      </c>
      <c r="L1375" t="s">
        <v>426</v>
      </c>
      <c r="M1375" t="s">
        <v>427</v>
      </c>
      <c r="N1375" t="s">
        <v>428</v>
      </c>
      <c r="O1375" t="s">
        <v>94</v>
      </c>
      <c r="P1375" t="str">
        <f>"4170043226                    "</f>
        <v xml:space="preserve">4170043226                    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48.13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16.739999999999998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>
        <v>0</v>
      </c>
      <c r="BD1375">
        <v>0</v>
      </c>
      <c r="BE1375">
        <v>0</v>
      </c>
      <c r="BF1375">
        <v>0</v>
      </c>
      <c r="BG1375">
        <v>0</v>
      </c>
      <c r="BH1375">
        <v>2</v>
      </c>
      <c r="BI1375">
        <v>18</v>
      </c>
      <c r="BJ1375">
        <v>7.1</v>
      </c>
      <c r="BK1375">
        <v>18</v>
      </c>
      <c r="BL1375">
        <v>182.36</v>
      </c>
      <c r="BM1375">
        <v>27.35</v>
      </c>
      <c r="BN1375">
        <v>209.71</v>
      </c>
      <c r="BO1375">
        <v>209.71</v>
      </c>
      <c r="BQ1375" t="s">
        <v>429</v>
      </c>
      <c r="BR1375" t="s">
        <v>84</v>
      </c>
      <c r="BS1375" s="3">
        <v>45819</v>
      </c>
      <c r="BT1375" s="4">
        <v>0.56666666666666665</v>
      </c>
      <c r="BU1375" t="s">
        <v>430</v>
      </c>
      <c r="BV1375" t="s">
        <v>86</v>
      </c>
      <c r="BY1375">
        <v>17640</v>
      </c>
      <c r="BZ1375" t="s">
        <v>30</v>
      </c>
      <c r="CA1375" t="s">
        <v>432</v>
      </c>
      <c r="CC1375" t="s">
        <v>427</v>
      </c>
      <c r="CD1375">
        <v>1759</v>
      </c>
      <c r="CE1375" t="s">
        <v>2028</v>
      </c>
      <c r="CF1375" s="3">
        <v>45819</v>
      </c>
      <c r="CI1375">
        <v>1</v>
      </c>
      <c r="CJ1375">
        <v>1</v>
      </c>
      <c r="CK1375">
        <v>44</v>
      </c>
      <c r="CL1375" t="s">
        <v>90</v>
      </c>
    </row>
    <row r="1376" spans="1:90" x14ac:dyDescent="0.3">
      <c r="A1376" t="s">
        <v>72</v>
      </c>
      <c r="B1376" t="s">
        <v>73</v>
      </c>
      <c r="C1376" t="s">
        <v>74</v>
      </c>
      <c r="E1376" t="str">
        <f>"080065874232"</f>
        <v>080065874232</v>
      </c>
      <c r="F1376" s="3">
        <v>45818</v>
      </c>
      <c r="G1376">
        <v>202603</v>
      </c>
      <c r="H1376" t="s">
        <v>75</v>
      </c>
      <c r="I1376" t="s">
        <v>76</v>
      </c>
      <c r="J1376" t="s">
        <v>77</v>
      </c>
      <c r="K1376" t="s">
        <v>78</v>
      </c>
      <c r="L1376" t="s">
        <v>79</v>
      </c>
      <c r="M1376" t="s">
        <v>80</v>
      </c>
      <c r="N1376" t="s">
        <v>2029</v>
      </c>
      <c r="O1376" t="s">
        <v>82</v>
      </c>
      <c r="P1376" t="str">
        <f>"4170043105                    "</f>
        <v xml:space="preserve">4170043105                    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29.39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</v>
      </c>
      <c r="AX1376">
        <v>0</v>
      </c>
      <c r="AY1376">
        <v>0</v>
      </c>
      <c r="AZ1376">
        <v>0</v>
      </c>
      <c r="BA1376">
        <v>0</v>
      </c>
      <c r="BB1376">
        <v>0</v>
      </c>
      <c r="BC1376">
        <v>0</v>
      </c>
      <c r="BD1376">
        <v>0</v>
      </c>
      <c r="BE1376">
        <v>0</v>
      </c>
      <c r="BF1376">
        <v>0</v>
      </c>
      <c r="BG1376">
        <v>0</v>
      </c>
      <c r="BH1376">
        <v>1</v>
      </c>
      <c r="BI1376">
        <v>1</v>
      </c>
      <c r="BJ1376">
        <v>0.2</v>
      </c>
      <c r="BK1376">
        <v>1</v>
      </c>
      <c r="BL1376">
        <v>97.74</v>
      </c>
      <c r="BM1376">
        <v>14.66</v>
      </c>
      <c r="BN1376">
        <v>112.4</v>
      </c>
      <c r="BO1376">
        <v>112.4</v>
      </c>
      <c r="BQ1376" t="s">
        <v>2030</v>
      </c>
      <c r="BR1376" t="s">
        <v>84</v>
      </c>
      <c r="BS1376" s="3">
        <v>45819</v>
      </c>
      <c r="BT1376" s="4">
        <v>0.43541666666666667</v>
      </c>
      <c r="BU1376" t="s">
        <v>2031</v>
      </c>
      <c r="BV1376" t="s">
        <v>86</v>
      </c>
      <c r="BY1376">
        <v>1200</v>
      </c>
      <c r="CA1376" t="s">
        <v>2032</v>
      </c>
      <c r="CC1376" t="s">
        <v>80</v>
      </c>
      <c r="CD1376">
        <v>1739</v>
      </c>
      <c r="CE1376" t="s">
        <v>215</v>
      </c>
      <c r="CF1376" s="3">
        <v>45820</v>
      </c>
      <c r="CI1376">
        <v>1</v>
      </c>
      <c r="CJ1376">
        <v>1</v>
      </c>
      <c r="CK1376">
        <v>24</v>
      </c>
      <c r="CL1376" t="s">
        <v>90</v>
      </c>
    </row>
    <row r="1377" spans="1:90" x14ac:dyDescent="0.3">
      <c r="A1377" t="s">
        <v>72</v>
      </c>
      <c r="B1377" t="s">
        <v>73</v>
      </c>
      <c r="C1377" t="s">
        <v>74</v>
      </c>
      <c r="E1377" t="str">
        <f>"080065874273"</f>
        <v>080065874273</v>
      </c>
      <c r="F1377" s="3">
        <v>45818</v>
      </c>
      <c r="G1377">
        <v>202603</v>
      </c>
      <c r="H1377" t="s">
        <v>75</v>
      </c>
      <c r="I1377" t="s">
        <v>76</v>
      </c>
      <c r="J1377" t="s">
        <v>77</v>
      </c>
      <c r="K1377" t="s">
        <v>78</v>
      </c>
      <c r="L1377" t="s">
        <v>75</v>
      </c>
      <c r="M1377" t="s">
        <v>76</v>
      </c>
      <c r="N1377" t="s">
        <v>112</v>
      </c>
      <c r="O1377" t="s">
        <v>82</v>
      </c>
      <c r="P1377" t="str">
        <f>"4170043310                    "</f>
        <v xml:space="preserve">4170043310                    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16.32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</v>
      </c>
      <c r="AX1377">
        <v>0</v>
      </c>
      <c r="AY1377">
        <v>0</v>
      </c>
      <c r="AZ1377">
        <v>0</v>
      </c>
      <c r="BA1377">
        <v>0</v>
      </c>
      <c r="BB1377">
        <v>0</v>
      </c>
      <c r="BC1377">
        <v>0</v>
      </c>
      <c r="BD1377">
        <v>0</v>
      </c>
      <c r="BE1377">
        <v>0</v>
      </c>
      <c r="BF1377">
        <v>0</v>
      </c>
      <c r="BG1377">
        <v>0</v>
      </c>
      <c r="BH1377">
        <v>1</v>
      </c>
      <c r="BI1377">
        <v>8</v>
      </c>
      <c r="BJ1377">
        <v>4.0999999999999996</v>
      </c>
      <c r="BK1377">
        <v>8</v>
      </c>
      <c r="BL1377">
        <v>54.28</v>
      </c>
      <c r="BM1377">
        <v>8.14</v>
      </c>
      <c r="BN1377">
        <v>62.42</v>
      </c>
      <c r="BO1377">
        <v>62.42</v>
      </c>
      <c r="BQ1377" t="s">
        <v>113</v>
      </c>
      <c r="BR1377" t="s">
        <v>84</v>
      </c>
      <c r="BS1377" s="3">
        <v>45819</v>
      </c>
      <c r="BT1377" s="4">
        <v>0.35694444444444445</v>
      </c>
      <c r="BU1377" t="s">
        <v>1696</v>
      </c>
      <c r="BV1377" t="s">
        <v>86</v>
      </c>
      <c r="BY1377">
        <v>20358</v>
      </c>
      <c r="CA1377" t="s">
        <v>115</v>
      </c>
      <c r="CC1377" t="s">
        <v>76</v>
      </c>
      <c r="CD1377">
        <v>1600</v>
      </c>
      <c r="CE1377" t="s">
        <v>687</v>
      </c>
      <c r="CF1377" s="3">
        <v>45819</v>
      </c>
      <c r="CI1377">
        <v>1</v>
      </c>
      <c r="CJ1377">
        <v>1</v>
      </c>
      <c r="CK1377">
        <v>22</v>
      </c>
      <c r="CL1377" t="s">
        <v>90</v>
      </c>
    </row>
    <row r="1378" spans="1:90" x14ac:dyDescent="0.3">
      <c r="A1378" t="s">
        <v>72</v>
      </c>
      <c r="B1378" t="s">
        <v>73</v>
      </c>
      <c r="C1378" t="s">
        <v>74</v>
      </c>
      <c r="E1378" t="str">
        <f>"080065874285"</f>
        <v>080065874285</v>
      </c>
      <c r="F1378" s="3">
        <v>45818</v>
      </c>
      <c r="G1378">
        <v>202603</v>
      </c>
      <c r="H1378" t="s">
        <v>75</v>
      </c>
      <c r="I1378" t="s">
        <v>76</v>
      </c>
      <c r="J1378" t="s">
        <v>77</v>
      </c>
      <c r="K1378" t="s">
        <v>78</v>
      </c>
      <c r="L1378" t="s">
        <v>136</v>
      </c>
      <c r="M1378" t="s">
        <v>137</v>
      </c>
      <c r="N1378" t="s">
        <v>806</v>
      </c>
      <c r="O1378" t="s">
        <v>82</v>
      </c>
      <c r="P1378" t="str">
        <f>"4170043175                    "</f>
        <v xml:space="preserve">4170043175                    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20.9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</v>
      </c>
      <c r="AX1378">
        <v>0</v>
      </c>
      <c r="AY1378">
        <v>0</v>
      </c>
      <c r="AZ1378">
        <v>0</v>
      </c>
      <c r="BA1378">
        <v>0</v>
      </c>
      <c r="BB1378">
        <v>0</v>
      </c>
      <c r="BC1378">
        <v>0</v>
      </c>
      <c r="BD1378">
        <v>0</v>
      </c>
      <c r="BE1378">
        <v>0</v>
      </c>
      <c r="BF1378">
        <v>0</v>
      </c>
      <c r="BG1378">
        <v>0</v>
      </c>
      <c r="BH1378">
        <v>1</v>
      </c>
      <c r="BI1378">
        <v>1</v>
      </c>
      <c r="BJ1378">
        <v>0.2</v>
      </c>
      <c r="BK1378">
        <v>1</v>
      </c>
      <c r="BL1378">
        <v>69.5</v>
      </c>
      <c r="BM1378">
        <v>10.43</v>
      </c>
      <c r="BN1378">
        <v>79.930000000000007</v>
      </c>
      <c r="BO1378">
        <v>79.930000000000007</v>
      </c>
      <c r="BQ1378" t="s">
        <v>807</v>
      </c>
      <c r="BR1378" t="s">
        <v>84</v>
      </c>
      <c r="BS1378" s="3">
        <v>45819</v>
      </c>
      <c r="BT1378" s="4">
        <v>0.49375000000000002</v>
      </c>
      <c r="BU1378" t="s">
        <v>1905</v>
      </c>
      <c r="BV1378" t="s">
        <v>90</v>
      </c>
      <c r="BY1378">
        <v>1200</v>
      </c>
      <c r="CA1378" t="s">
        <v>320</v>
      </c>
      <c r="CC1378" t="s">
        <v>137</v>
      </c>
      <c r="CD1378">
        <v>5200</v>
      </c>
      <c r="CE1378" t="s">
        <v>215</v>
      </c>
      <c r="CI1378">
        <v>1</v>
      </c>
      <c r="CJ1378">
        <v>1</v>
      </c>
      <c r="CK1378">
        <v>21</v>
      </c>
      <c r="CL1378" t="s">
        <v>90</v>
      </c>
    </row>
    <row r="1379" spans="1:90" x14ac:dyDescent="0.3">
      <c r="A1379" t="s">
        <v>72</v>
      </c>
      <c r="B1379" t="s">
        <v>73</v>
      </c>
      <c r="C1379" t="s">
        <v>74</v>
      </c>
      <c r="E1379" t="str">
        <f>"080065874336"</f>
        <v>080065874336</v>
      </c>
      <c r="F1379" s="3">
        <v>45818</v>
      </c>
      <c r="G1379">
        <v>202603</v>
      </c>
      <c r="H1379" t="s">
        <v>75</v>
      </c>
      <c r="I1379" t="s">
        <v>76</v>
      </c>
      <c r="J1379" t="s">
        <v>77</v>
      </c>
      <c r="K1379" t="s">
        <v>78</v>
      </c>
      <c r="L1379" t="s">
        <v>75</v>
      </c>
      <c r="M1379" t="s">
        <v>76</v>
      </c>
      <c r="N1379" t="s">
        <v>112</v>
      </c>
      <c r="O1379" t="s">
        <v>82</v>
      </c>
      <c r="P1379" t="str">
        <f>"4170043305                    "</f>
        <v xml:space="preserve">4170043305                    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16.32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  <c r="BE1379">
        <v>0</v>
      </c>
      <c r="BF1379">
        <v>0</v>
      </c>
      <c r="BG1379">
        <v>0</v>
      </c>
      <c r="BH1379">
        <v>1</v>
      </c>
      <c r="BI1379">
        <v>4</v>
      </c>
      <c r="BJ1379">
        <v>1.7</v>
      </c>
      <c r="BK1379">
        <v>4</v>
      </c>
      <c r="BL1379">
        <v>54.28</v>
      </c>
      <c r="BM1379">
        <v>8.14</v>
      </c>
      <c r="BN1379">
        <v>62.42</v>
      </c>
      <c r="BO1379">
        <v>62.42</v>
      </c>
      <c r="BQ1379" t="s">
        <v>113</v>
      </c>
      <c r="BR1379" t="s">
        <v>84</v>
      </c>
      <c r="BS1379" s="3">
        <v>45819</v>
      </c>
      <c r="BT1379" s="4">
        <v>0.35694444444444445</v>
      </c>
      <c r="BU1379" t="s">
        <v>1696</v>
      </c>
      <c r="BV1379" t="s">
        <v>86</v>
      </c>
      <c r="BY1379">
        <v>8512</v>
      </c>
      <c r="CA1379" t="s">
        <v>115</v>
      </c>
      <c r="CC1379" t="s">
        <v>76</v>
      </c>
      <c r="CD1379">
        <v>1600</v>
      </c>
      <c r="CE1379" t="s">
        <v>687</v>
      </c>
      <c r="CF1379" s="3">
        <v>45819</v>
      </c>
      <c r="CI1379">
        <v>1</v>
      </c>
      <c r="CJ1379">
        <v>1</v>
      </c>
      <c r="CK1379">
        <v>22</v>
      </c>
      <c r="CL1379" t="s">
        <v>90</v>
      </c>
    </row>
    <row r="1380" spans="1:90" x14ac:dyDescent="0.3">
      <c r="A1380" t="s">
        <v>72</v>
      </c>
      <c r="B1380" t="s">
        <v>73</v>
      </c>
      <c r="C1380" t="s">
        <v>74</v>
      </c>
      <c r="E1380" t="str">
        <f>"080065874425"</f>
        <v>080065874425</v>
      </c>
      <c r="F1380" s="3">
        <v>45818</v>
      </c>
      <c r="G1380">
        <v>202603</v>
      </c>
      <c r="H1380" t="s">
        <v>75</v>
      </c>
      <c r="I1380" t="s">
        <v>76</v>
      </c>
      <c r="J1380" t="s">
        <v>77</v>
      </c>
      <c r="K1380" t="s">
        <v>78</v>
      </c>
      <c r="L1380" t="s">
        <v>331</v>
      </c>
      <c r="M1380" t="s">
        <v>332</v>
      </c>
      <c r="N1380" t="s">
        <v>1499</v>
      </c>
      <c r="O1380" t="s">
        <v>82</v>
      </c>
      <c r="P1380" t="str">
        <f>"4170043266                    "</f>
        <v xml:space="preserve">4170043266                    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93.98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</v>
      </c>
      <c r="AX1380">
        <v>0</v>
      </c>
      <c r="AY1380">
        <v>0</v>
      </c>
      <c r="AZ1380">
        <v>0</v>
      </c>
      <c r="BA1380">
        <v>0</v>
      </c>
      <c r="BB1380">
        <v>0</v>
      </c>
      <c r="BC1380">
        <v>0</v>
      </c>
      <c r="BD1380">
        <v>0</v>
      </c>
      <c r="BE1380">
        <v>0</v>
      </c>
      <c r="BF1380">
        <v>0</v>
      </c>
      <c r="BG1380">
        <v>0</v>
      </c>
      <c r="BH1380">
        <v>1</v>
      </c>
      <c r="BI1380">
        <v>9</v>
      </c>
      <c r="BJ1380">
        <v>7.8</v>
      </c>
      <c r="BK1380">
        <v>9</v>
      </c>
      <c r="BL1380">
        <v>312.54000000000002</v>
      </c>
      <c r="BM1380">
        <v>46.88</v>
      </c>
      <c r="BN1380">
        <v>359.42</v>
      </c>
      <c r="BO1380">
        <v>359.42</v>
      </c>
      <c r="BQ1380" t="s">
        <v>1500</v>
      </c>
      <c r="BR1380" t="s">
        <v>84</v>
      </c>
      <c r="BS1380" s="3">
        <v>45819</v>
      </c>
      <c r="BT1380" s="4">
        <v>0.42708333333333331</v>
      </c>
      <c r="BU1380" t="s">
        <v>335</v>
      </c>
      <c r="BV1380" t="s">
        <v>86</v>
      </c>
      <c r="BY1380">
        <v>39168</v>
      </c>
      <c r="CA1380" t="s">
        <v>2033</v>
      </c>
      <c r="CC1380" t="s">
        <v>332</v>
      </c>
      <c r="CD1380">
        <v>4051</v>
      </c>
      <c r="CE1380" t="s">
        <v>122</v>
      </c>
      <c r="CI1380">
        <v>1</v>
      </c>
      <c r="CJ1380">
        <v>1</v>
      </c>
      <c r="CK1380">
        <v>21</v>
      </c>
      <c r="CL1380" t="s">
        <v>90</v>
      </c>
    </row>
    <row r="1381" spans="1:90" x14ac:dyDescent="0.3">
      <c r="A1381" t="s">
        <v>72</v>
      </c>
      <c r="B1381" t="s">
        <v>73</v>
      </c>
      <c r="C1381" t="s">
        <v>74</v>
      </c>
      <c r="E1381" t="str">
        <f>"080065874473"</f>
        <v>080065874473</v>
      </c>
      <c r="F1381" s="3">
        <v>45818</v>
      </c>
      <c r="G1381">
        <v>202603</v>
      </c>
      <c r="H1381" t="s">
        <v>75</v>
      </c>
      <c r="I1381" t="s">
        <v>76</v>
      </c>
      <c r="J1381" t="s">
        <v>77</v>
      </c>
      <c r="K1381" t="s">
        <v>78</v>
      </c>
      <c r="L1381" t="s">
        <v>100</v>
      </c>
      <c r="M1381" t="s">
        <v>101</v>
      </c>
      <c r="N1381" t="s">
        <v>123</v>
      </c>
      <c r="O1381" t="s">
        <v>82</v>
      </c>
      <c r="P1381" t="str">
        <f>"4170043122                    "</f>
        <v xml:space="preserve">4170043122                    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20.9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</v>
      </c>
      <c r="AX1381">
        <v>0</v>
      </c>
      <c r="AY1381">
        <v>0</v>
      </c>
      <c r="AZ1381">
        <v>0</v>
      </c>
      <c r="BA1381">
        <v>0</v>
      </c>
      <c r="BB1381">
        <v>0</v>
      </c>
      <c r="BC1381">
        <v>0</v>
      </c>
      <c r="BD1381">
        <v>0</v>
      </c>
      <c r="BE1381">
        <v>0</v>
      </c>
      <c r="BF1381">
        <v>0</v>
      </c>
      <c r="BG1381">
        <v>0</v>
      </c>
      <c r="BH1381">
        <v>1</v>
      </c>
      <c r="BI1381">
        <v>1</v>
      </c>
      <c r="BJ1381">
        <v>1.7</v>
      </c>
      <c r="BK1381">
        <v>2</v>
      </c>
      <c r="BL1381">
        <v>69.5</v>
      </c>
      <c r="BM1381">
        <v>10.43</v>
      </c>
      <c r="BN1381">
        <v>79.930000000000007</v>
      </c>
      <c r="BO1381">
        <v>79.930000000000007</v>
      </c>
      <c r="BQ1381" t="s">
        <v>124</v>
      </c>
      <c r="BR1381" t="s">
        <v>84</v>
      </c>
      <c r="BS1381" s="3">
        <v>45819</v>
      </c>
      <c r="BT1381" s="4">
        <v>0.40902777777777777</v>
      </c>
      <c r="BU1381" t="s">
        <v>688</v>
      </c>
      <c r="BV1381" t="s">
        <v>86</v>
      </c>
      <c r="BY1381">
        <v>8512</v>
      </c>
      <c r="CA1381" t="s">
        <v>235</v>
      </c>
      <c r="CC1381" t="s">
        <v>101</v>
      </c>
      <c r="CD1381">
        <v>6001</v>
      </c>
      <c r="CE1381" t="s">
        <v>687</v>
      </c>
      <c r="CF1381" s="3">
        <v>45819</v>
      </c>
      <c r="CI1381">
        <v>1</v>
      </c>
      <c r="CJ1381">
        <v>1</v>
      </c>
      <c r="CK1381">
        <v>21</v>
      </c>
      <c r="CL1381" t="s">
        <v>90</v>
      </c>
    </row>
    <row r="1382" spans="1:90" x14ac:dyDescent="0.3">
      <c r="A1382" t="s">
        <v>72</v>
      </c>
      <c r="B1382" t="s">
        <v>73</v>
      </c>
      <c r="C1382" t="s">
        <v>74</v>
      </c>
      <c r="E1382" t="str">
        <f>"080065874987"</f>
        <v>080065874987</v>
      </c>
      <c r="F1382" s="3">
        <v>45818</v>
      </c>
      <c r="G1382">
        <v>202603</v>
      </c>
      <c r="H1382" t="s">
        <v>75</v>
      </c>
      <c r="I1382" t="s">
        <v>76</v>
      </c>
      <c r="J1382" t="s">
        <v>77</v>
      </c>
      <c r="K1382" t="s">
        <v>78</v>
      </c>
      <c r="L1382" t="s">
        <v>331</v>
      </c>
      <c r="M1382" t="s">
        <v>332</v>
      </c>
      <c r="N1382" t="s">
        <v>480</v>
      </c>
      <c r="O1382" t="s">
        <v>82</v>
      </c>
      <c r="P1382" t="str">
        <f>"4170043158                    "</f>
        <v xml:space="preserve">4170043158                    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20.9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  <c r="BE1382">
        <v>0</v>
      </c>
      <c r="BF1382">
        <v>0</v>
      </c>
      <c r="BG1382">
        <v>0</v>
      </c>
      <c r="BH1382">
        <v>1</v>
      </c>
      <c r="BI1382">
        <v>1</v>
      </c>
      <c r="BJ1382">
        <v>0.2</v>
      </c>
      <c r="BK1382">
        <v>1</v>
      </c>
      <c r="BL1382">
        <v>69.5</v>
      </c>
      <c r="BM1382">
        <v>10.43</v>
      </c>
      <c r="BN1382">
        <v>79.930000000000007</v>
      </c>
      <c r="BO1382">
        <v>79.930000000000007</v>
      </c>
      <c r="BQ1382" t="s">
        <v>1221</v>
      </c>
      <c r="BR1382" t="s">
        <v>84</v>
      </c>
      <c r="BS1382" s="3">
        <v>45819</v>
      </c>
      <c r="BT1382" s="4">
        <v>0.42430555555555555</v>
      </c>
      <c r="BU1382" t="s">
        <v>1624</v>
      </c>
      <c r="BV1382" t="s">
        <v>86</v>
      </c>
      <c r="BY1382">
        <v>1200</v>
      </c>
      <c r="CA1382" t="s">
        <v>487</v>
      </c>
      <c r="CC1382" t="s">
        <v>332</v>
      </c>
      <c r="CD1382">
        <v>4001</v>
      </c>
      <c r="CE1382" t="s">
        <v>215</v>
      </c>
      <c r="CF1382" s="3">
        <v>45820</v>
      </c>
      <c r="CI1382">
        <v>1</v>
      </c>
      <c r="CJ1382">
        <v>1</v>
      </c>
      <c r="CK1382">
        <v>21</v>
      </c>
      <c r="CL1382" t="s">
        <v>90</v>
      </c>
    </row>
    <row r="1383" spans="1:90" x14ac:dyDescent="0.3">
      <c r="A1383" t="s">
        <v>72</v>
      </c>
      <c r="B1383" t="s">
        <v>73</v>
      </c>
      <c r="C1383" t="s">
        <v>74</v>
      </c>
      <c r="E1383" t="str">
        <f>"080065875022"</f>
        <v>080065875022</v>
      </c>
      <c r="F1383" s="3">
        <v>45818</v>
      </c>
      <c r="G1383">
        <v>202603</v>
      </c>
      <c r="H1383" t="s">
        <v>75</v>
      </c>
      <c r="I1383" t="s">
        <v>76</v>
      </c>
      <c r="J1383" t="s">
        <v>77</v>
      </c>
      <c r="K1383" t="s">
        <v>78</v>
      </c>
      <c r="L1383" t="s">
        <v>91</v>
      </c>
      <c r="M1383" t="s">
        <v>92</v>
      </c>
      <c r="N1383" t="s">
        <v>1977</v>
      </c>
      <c r="O1383" t="s">
        <v>82</v>
      </c>
      <c r="P1383" t="str">
        <f>"4170043333                    "</f>
        <v xml:space="preserve">4170043333                    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20.9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  <c r="BB1383">
        <v>0</v>
      </c>
      <c r="BC1383">
        <v>0</v>
      </c>
      <c r="BD1383">
        <v>0</v>
      </c>
      <c r="BE1383">
        <v>0</v>
      </c>
      <c r="BF1383">
        <v>0</v>
      </c>
      <c r="BG1383">
        <v>0</v>
      </c>
      <c r="BH1383">
        <v>1</v>
      </c>
      <c r="BI1383">
        <v>1</v>
      </c>
      <c r="BJ1383">
        <v>0.2</v>
      </c>
      <c r="BK1383">
        <v>1</v>
      </c>
      <c r="BL1383">
        <v>69.5</v>
      </c>
      <c r="BM1383">
        <v>10.43</v>
      </c>
      <c r="BN1383">
        <v>79.930000000000007</v>
      </c>
      <c r="BO1383">
        <v>79.930000000000007</v>
      </c>
      <c r="BQ1383" t="s">
        <v>1978</v>
      </c>
      <c r="BR1383" t="s">
        <v>84</v>
      </c>
      <c r="BS1383" s="3">
        <v>45819</v>
      </c>
      <c r="BT1383" s="4">
        <v>0.43611111111111112</v>
      </c>
      <c r="BU1383" t="s">
        <v>1979</v>
      </c>
      <c r="BV1383" t="s">
        <v>86</v>
      </c>
      <c r="BY1383">
        <v>1200</v>
      </c>
      <c r="CA1383" t="s">
        <v>310</v>
      </c>
      <c r="CC1383" t="s">
        <v>92</v>
      </c>
      <c r="CD1383">
        <v>7460</v>
      </c>
      <c r="CE1383" t="s">
        <v>215</v>
      </c>
      <c r="CI1383">
        <v>1</v>
      </c>
      <c r="CJ1383">
        <v>1</v>
      </c>
      <c r="CK1383">
        <v>21</v>
      </c>
      <c r="CL1383" t="s">
        <v>90</v>
      </c>
    </row>
    <row r="1384" spans="1:90" x14ac:dyDescent="0.3">
      <c r="A1384" t="s">
        <v>72</v>
      </c>
      <c r="B1384" t="s">
        <v>73</v>
      </c>
      <c r="C1384" t="s">
        <v>74</v>
      </c>
      <c r="E1384" t="str">
        <f>"080065875065"</f>
        <v>080065875065</v>
      </c>
      <c r="F1384" s="3">
        <v>45818</v>
      </c>
      <c r="G1384">
        <v>202603</v>
      </c>
      <c r="H1384" t="s">
        <v>75</v>
      </c>
      <c r="I1384" t="s">
        <v>76</v>
      </c>
      <c r="J1384" t="s">
        <v>77</v>
      </c>
      <c r="K1384" t="s">
        <v>78</v>
      </c>
      <c r="L1384" t="s">
        <v>154</v>
      </c>
      <c r="M1384" t="s">
        <v>154</v>
      </c>
      <c r="N1384" t="s">
        <v>1610</v>
      </c>
      <c r="O1384" t="s">
        <v>82</v>
      </c>
      <c r="P1384" t="str">
        <f>"4170043150                    "</f>
        <v xml:space="preserve">4170043150                    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40.49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</v>
      </c>
      <c r="AX1384">
        <v>0</v>
      </c>
      <c r="AY1384">
        <v>0</v>
      </c>
      <c r="AZ1384">
        <v>0</v>
      </c>
      <c r="BA1384">
        <v>0</v>
      </c>
      <c r="BB1384">
        <v>0</v>
      </c>
      <c r="BC1384">
        <v>0</v>
      </c>
      <c r="BD1384">
        <v>0</v>
      </c>
      <c r="BE1384">
        <v>0</v>
      </c>
      <c r="BF1384">
        <v>0</v>
      </c>
      <c r="BG1384">
        <v>0</v>
      </c>
      <c r="BH1384">
        <v>1</v>
      </c>
      <c r="BI1384">
        <v>1</v>
      </c>
      <c r="BJ1384">
        <v>0.2</v>
      </c>
      <c r="BK1384">
        <v>1</v>
      </c>
      <c r="BL1384">
        <v>134.65</v>
      </c>
      <c r="BM1384">
        <v>20.2</v>
      </c>
      <c r="BN1384">
        <v>154.85</v>
      </c>
      <c r="BO1384">
        <v>154.85</v>
      </c>
      <c r="BQ1384" t="s">
        <v>1611</v>
      </c>
      <c r="BR1384" t="s">
        <v>84</v>
      </c>
      <c r="BS1384" s="3">
        <v>45819</v>
      </c>
      <c r="BT1384" s="4">
        <v>0.54166666666666663</v>
      </c>
      <c r="BU1384" t="s">
        <v>2034</v>
      </c>
      <c r="BV1384" t="s">
        <v>86</v>
      </c>
      <c r="BY1384">
        <v>1200</v>
      </c>
      <c r="CA1384" t="s">
        <v>158</v>
      </c>
      <c r="CC1384" t="s">
        <v>154</v>
      </c>
      <c r="CD1384">
        <v>7646</v>
      </c>
      <c r="CE1384" t="s">
        <v>215</v>
      </c>
      <c r="CI1384">
        <v>1</v>
      </c>
      <c r="CJ1384">
        <v>1</v>
      </c>
      <c r="CK1384">
        <v>23</v>
      </c>
      <c r="CL1384" t="s">
        <v>90</v>
      </c>
    </row>
    <row r="1385" spans="1:90" x14ac:dyDescent="0.3">
      <c r="A1385" t="s">
        <v>72</v>
      </c>
      <c r="B1385" t="s">
        <v>73</v>
      </c>
      <c r="C1385" t="s">
        <v>74</v>
      </c>
      <c r="E1385" t="str">
        <f>"080065875105"</f>
        <v>080065875105</v>
      </c>
      <c r="F1385" s="3">
        <v>45818</v>
      </c>
      <c r="G1385">
        <v>202603</v>
      </c>
      <c r="H1385" t="s">
        <v>75</v>
      </c>
      <c r="I1385" t="s">
        <v>76</v>
      </c>
      <c r="J1385" t="s">
        <v>77</v>
      </c>
      <c r="K1385" t="s">
        <v>78</v>
      </c>
      <c r="L1385" t="s">
        <v>321</v>
      </c>
      <c r="M1385" t="s">
        <v>322</v>
      </c>
      <c r="N1385" t="s">
        <v>2035</v>
      </c>
      <c r="O1385" t="s">
        <v>82</v>
      </c>
      <c r="P1385" t="str">
        <f>"4170043168                    "</f>
        <v xml:space="preserve">4170043168                    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29.39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  <c r="BB1385">
        <v>0</v>
      </c>
      <c r="BC1385">
        <v>0</v>
      </c>
      <c r="BD1385">
        <v>0</v>
      </c>
      <c r="BE1385">
        <v>0</v>
      </c>
      <c r="BF1385">
        <v>0</v>
      </c>
      <c r="BG1385">
        <v>0</v>
      </c>
      <c r="BH1385">
        <v>1</v>
      </c>
      <c r="BI1385">
        <v>1</v>
      </c>
      <c r="BJ1385">
        <v>0.2</v>
      </c>
      <c r="BK1385">
        <v>1</v>
      </c>
      <c r="BL1385">
        <v>97.74</v>
      </c>
      <c r="BM1385">
        <v>14.66</v>
      </c>
      <c r="BN1385">
        <v>112.4</v>
      </c>
      <c r="BO1385">
        <v>112.4</v>
      </c>
      <c r="BQ1385" t="s">
        <v>2036</v>
      </c>
      <c r="BR1385" t="s">
        <v>84</v>
      </c>
      <c r="BS1385" s="3">
        <v>45819</v>
      </c>
      <c r="BT1385" s="4">
        <v>0.39930555555555558</v>
      </c>
      <c r="BU1385" t="s">
        <v>2037</v>
      </c>
      <c r="BV1385" t="s">
        <v>86</v>
      </c>
      <c r="BY1385">
        <v>1200</v>
      </c>
      <c r="CA1385" t="s">
        <v>326</v>
      </c>
      <c r="CC1385" t="s">
        <v>322</v>
      </c>
      <c r="CD1385">
        <v>1438</v>
      </c>
      <c r="CE1385" t="s">
        <v>215</v>
      </c>
      <c r="CF1385" s="3">
        <v>45820</v>
      </c>
      <c r="CI1385">
        <v>1</v>
      </c>
      <c r="CJ1385">
        <v>1</v>
      </c>
      <c r="CK1385">
        <v>24</v>
      </c>
      <c r="CL1385" t="s">
        <v>90</v>
      </c>
    </row>
    <row r="1386" spans="1:90" x14ac:dyDescent="0.3">
      <c r="A1386" t="s">
        <v>72</v>
      </c>
      <c r="B1386" t="s">
        <v>73</v>
      </c>
      <c r="C1386" t="s">
        <v>74</v>
      </c>
      <c r="E1386" t="str">
        <f>"080065875142"</f>
        <v>080065875142</v>
      </c>
      <c r="F1386" s="3">
        <v>45818</v>
      </c>
      <c r="G1386">
        <v>202603</v>
      </c>
      <c r="H1386" t="s">
        <v>75</v>
      </c>
      <c r="I1386" t="s">
        <v>76</v>
      </c>
      <c r="J1386" t="s">
        <v>77</v>
      </c>
      <c r="K1386" t="s">
        <v>78</v>
      </c>
      <c r="L1386" t="s">
        <v>75</v>
      </c>
      <c r="M1386" t="s">
        <v>76</v>
      </c>
      <c r="N1386" t="s">
        <v>525</v>
      </c>
      <c r="O1386" t="s">
        <v>82</v>
      </c>
      <c r="P1386" t="str">
        <f>"4170043128                    "</f>
        <v xml:space="preserve">4170043128                    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16.32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>
        <v>0</v>
      </c>
      <c r="BD1386">
        <v>0</v>
      </c>
      <c r="BE1386">
        <v>0</v>
      </c>
      <c r="BF1386">
        <v>0</v>
      </c>
      <c r="BG1386">
        <v>0</v>
      </c>
      <c r="BH1386">
        <v>1</v>
      </c>
      <c r="BI1386">
        <v>1</v>
      </c>
      <c r="BJ1386">
        <v>1.1000000000000001</v>
      </c>
      <c r="BK1386">
        <v>2</v>
      </c>
      <c r="BL1386">
        <v>54.28</v>
      </c>
      <c r="BM1386">
        <v>8.14</v>
      </c>
      <c r="BN1386">
        <v>62.42</v>
      </c>
      <c r="BO1386">
        <v>62.42</v>
      </c>
      <c r="BQ1386" t="s">
        <v>526</v>
      </c>
      <c r="BR1386" t="s">
        <v>84</v>
      </c>
      <c r="BS1386" s="3">
        <v>45819</v>
      </c>
      <c r="BT1386" s="4">
        <v>0.33402777777777776</v>
      </c>
      <c r="BU1386" t="s">
        <v>1907</v>
      </c>
      <c r="BV1386" t="s">
        <v>86</v>
      </c>
      <c r="BY1386">
        <v>5320</v>
      </c>
      <c r="CA1386" t="s">
        <v>1022</v>
      </c>
      <c r="CC1386" t="s">
        <v>76</v>
      </c>
      <c r="CD1386">
        <v>1645</v>
      </c>
      <c r="CE1386" t="s">
        <v>687</v>
      </c>
      <c r="CF1386" s="3">
        <v>45819</v>
      </c>
      <c r="CI1386">
        <v>1</v>
      </c>
      <c r="CJ1386">
        <v>1</v>
      </c>
      <c r="CK1386">
        <v>22</v>
      </c>
      <c r="CL1386" t="s">
        <v>90</v>
      </c>
    </row>
    <row r="1387" spans="1:90" x14ac:dyDescent="0.3">
      <c r="A1387" t="s">
        <v>72</v>
      </c>
      <c r="B1387" t="s">
        <v>73</v>
      </c>
      <c r="C1387" t="s">
        <v>74</v>
      </c>
      <c r="E1387" t="str">
        <f>"080065875155"</f>
        <v>080065875155</v>
      </c>
      <c r="F1387" s="3">
        <v>45818</v>
      </c>
      <c r="G1387">
        <v>202603</v>
      </c>
      <c r="H1387" t="s">
        <v>75</v>
      </c>
      <c r="I1387" t="s">
        <v>76</v>
      </c>
      <c r="J1387" t="s">
        <v>77</v>
      </c>
      <c r="K1387" t="s">
        <v>78</v>
      </c>
      <c r="L1387" t="s">
        <v>159</v>
      </c>
      <c r="M1387" t="s">
        <v>160</v>
      </c>
      <c r="N1387" t="s">
        <v>571</v>
      </c>
      <c r="O1387" t="s">
        <v>82</v>
      </c>
      <c r="P1387" t="str">
        <f>"4170043272                    "</f>
        <v xml:space="preserve">4170043272                    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16.32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</v>
      </c>
      <c r="AX1387">
        <v>0</v>
      </c>
      <c r="AY1387">
        <v>0</v>
      </c>
      <c r="AZ1387">
        <v>0</v>
      </c>
      <c r="BA1387">
        <v>0</v>
      </c>
      <c r="BB1387">
        <v>0</v>
      </c>
      <c r="BC1387">
        <v>0</v>
      </c>
      <c r="BD1387">
        <v>0</v>
      </c>
      <c r="BE1387">
        <v>0</v>
      </c>
      <c r="BF1387">
        <v>0</v>
      </c>
      <c r="BG1387">
        <v>0</v>
      </c>
      <c r="BH1387">
        <v>1</v>
      </c>
      <c r="BI1387">
        <v>1</v>
      </c>
      <c r="BJ1387">
        <v>0.2</v>
      </c>
      <c r="BK1387">
        <v>1</v>
      </c>
      <c r="BL1387">
        <v>54.28</v>
      </c>
      <c r="BM1387">
        <v>8.14</v>
      </c>
      <c r="BN1387">
        <v>62.42</v>
      </c>
      <c r="BO1387">
        <v>62.42</v>
      </c>
      <c r="BQ1387" t="s">
        <v>572</v>
      </c>
      <c r="BR1387" t="s">
        <v>84</v>
      </c>
      <c r="BS1387" s="3">
        <v>45819</v>
      </c>
      <c r="BT1387" s="4">
        <v>0.4201388888888889</v>
      </c>
      <c r="BU1387" t="s">
        <v>573</v>
      </c>
      <c r="BV1387" t="s">
        <v>86</v>
      </c>
      <c r="BY1387">
        <v>1200</v>
      </c>
      <c r="CA1387" t="s">
        <v>444</v>
      </c>
      <c r="CC1387" t="s">
        <v>160</v>
      </c>
      <c r="CD1387">
        <v>2013</v>
      </c>
      <c r="CE1387" t="s">
        <v>215</v>
      </c>
      <c r="CF1387" s="3">
        <v>45820</v>
      </c>
      <c r="CI1387">
        <v>1</v>
      </c>
      <c r="CJ1387">
        <v>1</v>
      </c>
      <c r="CK1387">
        <v>22</v>
      </c>
      <c r="CL1387" t="s">
        <v>90</v>
      </c>
    </row>
    <row r="1388" spans="1:90" x14ac:dyDescent="0.3">
      <c r="A1388" t="s">
        <v>72</v>
      </c>
      <c r="B1388" t="s">
        <v>73</v>
      </c>
      <c r="C1388" t="s">
        <v>74</v>
      </c>
      <c r="E1388" t="str">
        <f>"080065875176"</f>
        <v>080065875176</v>
      </c>
      <c r="F1388" s="3">
        <v>45818</v>
      </c>
      <c r="G1388">
        <v>202603</v>
      </c>
      <c r="H1388" t="s">
        <v>75</v>
      </c>
      <c r="I1388" t="s">
        <v>76</v>
      </c>
      <c r="J1388" t="s">
        <v>77</v>
      </c>
      <c r="K1388" t="s">
        <v>78</v>
      </c>
      <c r="L1388" t="s">
        <v>100</v>
      </c>
      <c r="M1388" t="s">
        <v>101</v>
      </c>
      <c r="N1388" t="s">
        <v>585</v>
      </c>
      <c r="O1388" t="s">
        <v>82</v>
      </c>
      <c r="P1388" t="str">
        <f>"4170043188                    "</f>
        <v xml:space="preserve">4170043188                    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20.9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  <c r="BE1388">
        <v>0</v>
      </c>
      <c r="BF1388">
        <v>0</v>
      </c>
      <c r="BG1388">
        <v>0</v>
      </c>
      <c r="BH1388">
        <v>1</v>
      </c>
      <c r="BI1388">
        <v>1</v>
      </c>
      <c r="BJ1388">
        <v>0.9</v>
      </c>
      <c r="BK1388">
        <v>1</v>
      </c>
      <c r="BL1388">
        <v>69.5</v>
      </c>
      <c r="BM1388">
        <v>10.43</v>
      </c>
      <c r="BN1388">
        <v>79.930000000000007</v>
      </c>
      <c r="BO1388">
        <v>79.930000000000007</v>
      </c>
      <c r="BQ1388" t="s">
        <v>1933</v>
      </c>
      <c r="BR1388" t="s">
        <v>84</v>
      </c>
      <c r="BS1388" s="3">
        <v>45819</v>
      </c>
      <c r="BT1388" s="4">
        <v>0.40416666666666667</v>
      </c>
      <c r="BU1388" t="s">
        <v>783</v>
      </c>
      <c r="BV1388" t="s">
        <v>86</v>
      </c>
      <c r="BY1388">
        <v>4275</v>
      </c>
      <c r="CA1388" t="s">
        <v>589</v>
      </c>
      <c r="CC1388" t="s">
        <v>101</v>
      </c>
      <c r="CD1388">
        <v>6001</v>
      </c>
      <c r="CE1388" t="s">
        <v>687</v>
      </c>
      <c r="CF1388" s="3">
        <v>45819</v>
      </c>
      <c r="CI1388">
        <v>1</v>
      </c>
      <c r="CJ1388">
        <v>1</v>
      </c>
      <c r="CK1388">
        <v>21</v>
      </c>
      <c r="CL1388" t="s">
        <v>90</v>
      </c>
    </row>
    <row r="1389" spans="1:90" x14ac:dyDescent="0.3">
      <c r="A1389" t="s">
        <v>72</v>
      </c>
      <c r="B1389" t="s">
        <v>73</v>
      </c>
      <c r="C1389" t="s">
        <v>74</v>
      </c>
      <c r="E1389" t="str">
        <f>"080065875212"</f>
        <v>080065875212</v>
      </c>
      <c r="F1389" s="3">
        <v>45818</v>
      </c>
      <c r="G1389">
        <v>202603</v>
      </c>
      <c r="H1389" t="s">
        <v>75</v>
      </c>
      <c r="I1389" t="s">
        <v>76</v>
      </c>
      <c r="J1389" t="s">
        <v>77</v>
      </c>
      <c r="K1389" t="s">
        <v>78</v>
      </c>
      <c r="L1389" t="s">
        <v>266</v>
      </c>
      <c r="M1389" t="s">
        <v>267</v>
      </c>
      <c r="N1389" t="s">
        <v>268</v>
      </c>
      <c r="O1389" t="s">
        <v>82</v>
      </c>
      <c r="P1389" t="str">
        <f>"4170043191                    "</f>
        <v xml:space="preserve">4170043191                    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20.9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</v>
      </c>
      <c r="AX1389">
        <v>0</v>
      </c>
      <c r="AY1389">
        <v>0</v>
      </c>
      <c r="AZ1389">
        <v>0</v>
      </c>
      <c r="BA1389">
        <v>0</v>
      </c>
      <c r="BB1389">
        <v>0</v>
      </c>
      <c r="BC1389">
        <v>0</v>
      </c>
      <c r="BD1389">
        <v>0</v>
      </c>
      <c r="BE1389">
        <v>0</v>
      </c>
      <c r="BF1389">
        <v>0</v>
      </c>
      <c r="BG1389">
        <v>0</v>
      </c>
      <c r="BH1389">
        <v>1</v>
      </c>
      <c r="BI1389">
        <v>1</v>
      </c>
      <c r="BJ1389">
        <v>0.2</v>
      </c>
      <c r="BK1389">
        <v>1</v>
      </c>
      <c r="BL1389">
        <v>69.5</v>
      </c>
      <c r="BM1389">
        <v>10.43</v>
      </c>
      <c r="BN1389">
        <v>79.930000000000007</v>
      </c>
      <c r="BO1389">
        <v>79.930000000000007</v>
      </c>
      <c r="BQ1389" t="s">
        <v>269</v>
      </c>
      <c r="BR1389" t="s">
        <v>84</v>
      </c>
      <c r="BS1389" s="3">
        <v>45819</v>
      </c>
      <c r="BT1389" s="4">
        <v>0.46319444444444446</v>
      </c>
      <c r="BU1389" t="s">
        <v>1555</v>
      </c>
      <c r="BV1389" t="s">
        <v>90</v>
      </c>
      <c r="BY1389">
        <v>1200</v>
      </c>
      <c r="CA1389" t="s">
        <v>271</v>
      </c>
      <c r="CC1389" t="s">
        <v>267</v>
      </c>
      <c r="CD1389">
        <v>6229</v>
      </c>
      <c r="CE1389" t="s">
        <v>215</v>
      </c>
      <c r="CF1389" s="3">
        <v>45819</v>
      </c>
      <c r="CI1389">
        <v>1</v>
      </c>
      <c r="CJ1389">
        <v>1</v>
      </c>
      <c r="CK1389">
        <v>21</v>
      </c>
      <c r="CL1389" t="s">
        <v>90</v>
      </c>
    </row>
    <row r="1390" spans="1:90" x14ac:dyDescent="0.3">
      <c r="A1390" t="s">
        <v>72</v>
      </c>
      <c r="B1390" t="s">
        <v>73</v>
      </c>
      <c r="C1390" t="s">
        <v>74</v>
      </c>
      <c r="E1390" t="str">
        <f>"080065875250"</f>
        <v>080065875250</v>
      </c>
      <c r="F1390" s="3">
        <v>45818</v>
      </c>
      <c r="G1390">
        <v>202603</v>
      </c>
      <c r="H1390" t="s">
        <v>75</v>
      </c>
      <c r="I1390" t="s">
        <v>76</v>
      </c>
      <c r="J1390" t="s">
        <v>77</v>
      </c>
      <c r="K1390" t="s">
        <v>78</v>
      </c>
      <c r="L1390" t="s">
        <v>293</v>
      </c>
      <c r="M1390" t="s">
        <v>294</v>
      </c>
      <c r="N1390" t="s">
        <v>1191</v>
      </c>
      <c r="O1390" t="s">
        <v>82</v>
      </c>
      <c r="P1390" t="str">
        <f>"4170043231                    "</f>
        <v xml:space="preserve">4170043231                    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40.49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  <c r="BE1390">
        <v>0</v>
      </c>
      <c r="BF1390">
        <v>0</v>
      </c>
      <c r="BG1390">
        <v>0</v>
      </c>
      <c r="BH1390">
        <v>1</v>
      </c>
      <c r="BI1390">
        <v>1</v>
      </c>
      <c r="BJ1390">
        <v>1.1000000000000001</v>
      </c>
      <c r="BK1390">
        <v>1.5</v>
      </c>
      <c r="BL1390">
        <v>134.65</v>
      </c>
      <c r="BM1390">
        <v>20.2</v>
      </c>
      <c r="BN1390">
        <v>154.85</v>
      </c>
      <c r="BO1390">
        <v>154.85</v>
      </c>
      <c r="BQ1390" t="s">
        <v>1192</v>
      </c>
      <c r="BR1390" t="s">
        <v>84</v>
      </c>
      <c r="BS1390" s="3">
        <v>45819</v>
      </c>
      <c r="BT1390" s="4">
        <v>0.41111111111111109</v>
      </c>
      <c r="BU1390" t="s">
        <v>2038</v>
      </c>
      <c r="BV1390" t="s">
        <v>86</v>
      </c>
      <c r="BY1390">
        <v>5320</v>
      </c>
      <c r="CA1390" t="s">
        <v>945</v>
      </c>
      <c r="CC1390" t="s">
        <v>294</v>
      </c>
      <c r="CD1390">
        <v>1900</v>
      </c>
      <c r="CE1390" t="s">
        <v>687</v>
      </c>
      <c r="CF1390" s="3">
        <v>45819</v>
      </c>
      <c r="CI1390">
        <v>1</v>
      </c>
      <c r="CJ1390">
        <v>1</v>
      </c>
      <c r="CK1390">
        <v>23</v>
      </c>
      <c r="CL1390" t="s">
        <v>90</v>
      </c>
    </row>
    <row r="1391" spans="1:90" x14ac:dyDescent="0.3">
      <c r="A1391" t="s">
        <v>72</v>
      </c>
      <c r="B1391" t="s">
        <v>73</v>
      </c>
      <c r="C1391" t="s">
        <v>74</v>
      </c>
      <c r="E1391" t="str">
        <f>"080065875268"</f>
        <v>080065875268</v>
      </c>
      <c r="F1391" s="3">
        <v>45818</v>
      </c>
      <c r="G1391">
        <v>202603</v>
      </c>
      <c r="H1391" t="s">
        <v>75</v>
      </c>
      <c r="I1391" t="s">
        <v>76</v>
      </c>
      <c r="J1391" t="s">
        <v>77</v>
      </c>
      <c r="K1391" t="s">
        <v>78</v>
      </c>
      <c r="L1391" t="s">
        <v>284</v>
      </c>
      <c r="M1391" t="s">
        <v>285</v>
      </c>
      <c r="N1391" t="s">
        <v>968</v>
      </c>
      <c r="O1391" t="s">
        <v>82</v>
      </c>
      <c r="P1391" t="str">
        <f>"4170043286                    "</f>
        <v xml:space="preserve">4170043286                    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16.32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</v>
      </c>
      <c r="AX1391">
        <v>0</v>
      </c>
      <c r="AY1391">
        <v>0</v>
      </c>
      <c r="AZ1391">
        <v>0</v>
      </c>
      <c r="BA1391">
        <v>0</v>
      </c>
      <c r="BB1391">
        <v>0</v>
      </c>
      <c r="BC1391">
        <v>0</v>
      </c>
      <c r="BD1391">
        <v>0</v>
      </c>
      <c r="BE1391">
        <v>0</v>
      </c>
      <c r="BF1391">
        <v>0</v>
      </c>
      <c r="BG1391">
        <v>0</v>
      </c>
      <c r="BH1391">
        <v>1</v>
      </c>
      <c r="BI1391">
        <v>1</v>
      </c>
      <c r="BJ1391">
        <v>0.2</v>
      </c>
      <c r="BK1391">
        <v>1</v>
      </c>
      <c r="BL1391">
        <v>54.28</v>
      </c>
      <c r="BM1391">
        <v>8.14</v>
      </c>
      <c r="BN1391">
        <v>62.42</v>
      </c>
      <c r="BO1391">
        <v>62.42</v>
      </c>
      <c r="BQ1391" t="s">
        <v>969</v>
      </c>
      <c r="BR1391" t="s">
        <v>84</v>
      </c>
      <c r="BS1391" s="3">
        <v>45819</v>
      </c>
      <c r="BT1391" s="4">
        <v>0.2986111111111111</v>
      </c>
      <c r="BU1391" t="s">
        <v>2039</v>
      </c>
      <c r="BV1391" t="s">
        <v>86</v>
      </c>
      <c r="BY1391">
        <v>1200</v>
      </c>
      <c r="CA1391" t="s">
        <v>971</v>
      </c>
      <c r="CC1391" t="s">
        <v>285</v>
      </c>
      <c r="CD1391">
        <v>1559</v>
      </c>
      <c r="CE1391" t="s">
        <v>215</v>
      </c>
      <c r="CF1391" s="3">
        <v>45820</v>
      </c>
      <c r="CI1391">
        <v>1</v>
      </c>
      <c r="CJ1391">
        <v>1</v>
      </c>
      <c r="CK1391">
        <v>22</v>
      </c>
      <c r="CL1391" t="s">
        <v>90</v>
      </c>
    </row>
    <row r="1392" spans="1:90" x14ac:dyDescent="0.3">
      <c r="A1392" t="s">
        <v>72</v>
      </c>
      <c r="B1392" t="s">
        <v>73</v>
      </c>
      <c r="C1392" t="s">
        <v>74</v>
      </c>
      <c r="E1392" t="str">
        <f>"080065875308"</f>
        <v>080065875308</v>
      </c>
      <c r="F1392" s="3">
        <v>45818</v>
      </c>
      <c r="G1392">
        <v>202603</v>
      </c>
      <c r="H1392" t="s">
        <v>75</v>
      </c>
      <c r="I1392" t="s">
        <v>76</v>
      </c>
      <c r="J1392" t="s">
        <v>77</v>
      </c>
      <c r="K1392" t="s">
        <v>78</v>
      </c>
      <c r="L1392" t="s">
        <v>1645</v>
      </c>
      <c r="M1392" t="s">
        <v>1646</v>
      </c>
      <c r="N1392" t="s">
        <v>1647</v>
      </c>
      <c r="O1392" t="s">
        <v>82</v>
      </c>
      <c r="P1392" t="str">
        <f>"4170043247                    "</f>
        <v xml:space="preserve">4170043247                    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115.25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  <c r="BB1392">
        <v>0</v>
      </c>
      <c r="BC1392">
        <v>0</v>
      </c>
      <c r="BD1392">
        <v>0</v>
      </c>
      <c r="BE1392">
        <v>0</v>
      </c>
      <c r="BF1392">
        <v>0</v>
      </c>
      <c r="BG1392">
        <v>0</v>
      </c>
      <c r="BH1392">
        <v>1</v>
      </c>
      <c r="BI1392">
        <v>7</v>
      </c>
      <c r="BJ1392">
        <v>8</v>
      </c>
      <c r="BK1392">
        <v>8</v>
      </c>
      <c r="BL1392">
        <v>383.28</v>
      </c>
      <c r="BM1392">
        <v>57.49</v>
      </c>
      <c r="BN1392">
        <v>440.77</v>
      </c>
      <c r="BO1392">
        <v>440.77</v>
      </c>
      <c r="BQ1392" t="s">
        <v>1648</v>
      </c>
      <c r="BR1392" t="s">
        <v>84</v>
      </c>
      <c r="BS1392" t="s">
        <v>189</v>
      </c>
      <c r="BY1392">
        <v>40000</v>
      </c>
      <c r="CC1392" t="s">
        <v>1646</v>
      </c>
      <c r="CD1392">
        <v>2410</v>
      </c>
      <c r="CE1392" t="s">
        <v>166</v>
      </c>
      <c r="CI1392">
        <v>1</v>
      </c>
      <c r="CJ1392" t="s">
        <v>189</v>
      </c>
      <c r="CK1392">
        <v>24</v>
      </c>
      <c r="CL1392" t="s">
        <v>90</v>
      </c>
    </row>
    <row r="1393" spans="1:90" x14ac:dyDescent="0.3">
      <c r="A1393" t="s">
        <v>72</v>
      </c>
      <c r="B1393" t="s">
        <v>73</v>
      </c>
      <c r="C1393" t="s">
        <v>74</v>
      </c>
      <c r="E1393" t="str">
        <f>"080065875386"</f>
        <v>080065875386</v>
      </c>
      <c r="F1393" s="3">
        <v>45818</v>
      </c>
      <c r="G1393">
        <v>202603</v>
      </c>
      <c r="H1393" t="s">
        <v>75</v>
      </c>
      <c r="I1393" t="s">
        <v>76</v>
      </c>
      <c r="J1393" t="s">
        <v>77</v>
      </c>
      <c r="K1393" t="s">
        <v>78</v>
      </c>
      <c r="L1393" t="s">
        <v>331</v>
      </c>
      <c r="M1393" t="s">
        <v>332</v>
      </c>
      <c r="N1393" t="s">
        <v>484</v>
      </c>
      <c r="O1393" t="s">
        <v>82</v>
      </c>
      <c r="P1393" t="str">
        <f>"4170043142                    "</f>
        <v xml:space="preserve">4170043142                    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20.9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  <c r="AX1393">
        <v>0</v>
      </c>
      <c r="AY1393">
        <v>0</v>
      </c>
      <c r="AZ1393">
        <v>0</v>
      </c>
      <c r="BA1393">
        <v>0</v>
      </c>
      <c r="BB1393">
        <v>0</v>
      </c>
      <c r="BC1393">
        <v>0</v>
      </c>
      <c r="BD1393">
        <v>0</v>
      </c>
      <c r="BE1393">
        <v>0</v>
      </c>
      <c r="BF1393">
        <v>0</v>
      </c>
      <c r="BG1393">
        <v>0</v>
      </c>
      <c r="BH1393">
        <v>1</v>
      </c>
      <c r="BI1393">
        <v>1</v>
      </c>
      <c r="BJ1393">
        <v>0.2</v>
      </c>
      <c r="BK1393">
        <v>1</v>
      </c>
      <c r="BL1393">
        <v>69.5</v>
      </c>
      <c r="BM1393">
        <v>10.43</v>
      </c>
      <c r="BN1393">
        <v>79.930000000000007</v>
      </c>
      <c r="BO1393">
        <v>79.930000000000007</v>
      </c>
      <c r="BQ1393" t="s">
        <v>485</v>
      </c>
      <c r="BR1393" t="s">
        <v>84</v>
      </c>
      <c r="BS1393" s="3">
        <v>45819</v>
      </c>
      <c r="BT1393" s="4">
        <v>0.45624999999999999</v>
      </c>
      <c r="BU1393" t="s">
        <v>1441</v>
      </c>
      <c r="BV1393" t="s">
        <v>90</v>
      </c>
      <c r="BY1393">
        <v>1200</v>
      </c>
      <c r="CA1393" t="s">
        <v>418</v>
      </c>
      <c r="CC1393" t="s">
        <v>332</v>
      </c>
      <c r="CD1393">
        <v>4052</v>
      </c>
      <c r="CE1393" t="s">
        <v>215</v>
      </c>
      <c r="CI1393">
        <v>1</v>
      </c>
      <c r="CJ1393">
        <v>1</v>
      </c>
      <c r="CK1393">
        <v>21</v>
      </c>
      <c r="CL1393" t="s">
        <v>90</v>
      </c>
    </row>
    <row r="1394" spans="1:90" x14ac:dyDescent="0.3">
      <c r="A1394" t="s">
        <v>72</v>
      </c>
      <c r="B1394" t="s">
        <v>73</v>
      </c>
      <c r="C1394" t="s">
        <v>74</v>
      </c>
      <c r="E1394" t="str">
        <f>"080065875397"</f>
        <v>080065875397</v>
      </c>
      <c r="F1394" s="3">
        <v>45818</v>
      </c>
      <c r="G1394">
        <v>202603</v>
      </c>
      <c r="H1394" t="s">
        <v>75</v>
      </c>
      <c r="I1394" t="s">
        <v>76</v>
      </c>
      <c r="J1394" t="s">
        <v>77</v>
      </c>
      <c r="K1394" t="s">
        <v>78</v>
      </c>
      <c r="L1394" t="s">
        <v>1097</v>
      </c>
      <c r="M1394" t="s">
        <v>1098</v>
      </c>
      <c r="N1394" t="s">
        <v>2040</v>
      </c>
      <c r="O1394" t="s">
        <v>82</v>
      </c>
      <c r="P1394" t="str">
        <f>"4170043124                    "</f>
        <v xml:space="preserve">4170043124                    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16.32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</v>
      </c>
      <c r="AX1394">
        <v>0</v>
      </c>
      <c r="AY1394">
        <v>0</v>
      </c>
      <c r="AZ1394">
        <v>0</v>
      </c>
      <c r="BA1394">
        <v>0</v>
      </c>
      <c r="BB1394">
        <v>0</v>
      </c>
      <c r="BC1394">
        <v>0</v>
      </c>
      <c r="BD1394">
        <v>0</v>
      </c>
      <c r="BE1394">
        <v>0</v>
      </c>
      <c r="BF1394">
        <v>0</v>
      </c>
      <c r="BG1394">
        <v>0</v>
      </c>
      <c r="BH1394">
        <v>1</v>
      </c>
      <c r="BI1394">
        <v>2</v>
      </c>
      <c r="BJ1394">
        <v>1.2</v>
      </c>
      <c r="BK1394">
        <v>2</v>
      </c>
      <c r="BL1394">
        <v>54.28</v>
      </c>
      <c r="BM1394">
        <v>8.14</v>
      </c>
      <c r="BN1394">
        <v>62.42</v>
      </c>
      <c r="BO1394">
        <v>62.42</v>
      </c>
      <c r="BQ1394" t="s">
        <v>2041</v>
      </c>
      <c r="BR1394" t="s">
        <v>84</v>
      </c>
      <c r="BS1394" s="3">
        <v>45819</v>
      </c>
      <c r="BT1394" s="4">
        <v>0.39513888888888887</v>
      </c>
      <c r="BU1394" t="s">
        <v>2042</v>
      </c>
      <c r="BV1394" t="s">
        <v>86</v>
      </c>
      <c r="BY1394">
        <v>5760</v>
      </c>
      <c r="CA1394" t="s">
        <v>1102</v>
      </c>
      <c r="CC1394" t="s">
        <v>1098</v>
      </c>
      <c r="CD1394">
        <v>1451</v>
      </c>
      <c r="CE1394" t="s">
        <v>166</v>
      </c>
      <c r="CF1394" s="3">
        <v>45820</v>
      </c>
      <c r="CI1394">
        <v>1</v>
      </c>
      <c r="CJ1394">
        <v>1</v>
      </c>
      <c r="CK1394">
        <v>22</v>
      </c>
      <c r="CL1394" t="s">
        <v>90</v>
      </c>
    </row>
    <row r="1395" spans="1:90" x14ac:dyDescent="0.3">
      <c r="A1395" t="s">
        <v>72</v>
      </c>
      <c r="B1395" t="s">
        <v>73</v>
      </c>
      <c r="C1395" t="s">
        <v>74</v>
      </c>
      <c r="E1395" t="str">
        <f>"080065875425"</f>
        <v>080065875425</v>
      </c>
      <c r="F1395" s="3">
        <v>45818</v>
      </c>
      <c r="G1395">
        <v>202603</v>
      </c>
      <c r="H1395" t="s">
        <v>75</v>
      </c>
      <c r="I1395" t="s">
        <v>76</v>
      </c>
      <c r="J1395" t="s">
        <v>77</v>
      </c>
      <c r="K1395" t="s">
        <v>78</v>
      </c>
      <c r="L1395" t="s">
        <v>224</v>
      </c>
      <c r="M1395" t="s">
        <v>225</v>
      </c>
      <c r="N1395" t="s">
        <v>1442</v>
      </c>
      <c r="O1395" t="s">
        <v>82</v>
      </c>
      <c r="P1395" t="str">
        <f>"4170043182                    "</f>
        <v xml:space="preserve">4170043182                    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40.49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>
        <v>0</v>
      </c>
      <c r="BD1395">
        <v>0</v>
      </c>
      <c r="BE1395">
        <v>0</v>
      </c>
      <c r="BF1395">
        <v>0</v>
      </c>
      <c r="BG1395">
        <v>0</v>
      </c>
      <c r="BH1395">
        <v>1</v>
      </c>
      <c r="BI1395">
        <v>1</v>
      </c>
      <c r="BJ1395">
        <v>0.2</v>
      </c>
      <c r="BK1395">
        <v>1</v>
      </c>
      <c r="BL1395">
        <v>134.65</v>
      </c>
      <c r="BM1395">
        <v>20.2</v>
      </c>
      <c r="BN1395">
        <v>154.85</v>
      </c>
      <c r="BO1395">
        <v>154.85</v>
      </c>
      <c r="BQ1395" t="s">
        <v>1443</v>
      </c>
      <c r="BR1395" t="s">
        <v>84</v>
      </c>
      <c r="BS1395" s="3">
        <v>45819</v>
      </c>
      <c r="BT1395" s="4">
        <v>0.58611111111111114</v>
      </c>
      <c r="BU1395" t="s">
        <v>228</v>
      </c>
      <c r="BV1395" t="s">
        <v>86</v>
      </c>
      <c r="BY1395">
        <v>1200</v>
      </c>
      <c r="CA1395" t="s">
        <v>229</v>
      </c>
      <c r="CC1395" t="s">
        <v>225</v>
      </c>
      <c r="CD1395">
        <v>6300</v>
      </c>
      <c r="CE1395" t="s">
        <v>215</v>
      </c>
      <c r="CF1395" s="3">
        <v>45819</v>
      </c>
      <c r="CI1395">
        <v>2</v>
      </c>
      <c r="CJ1395">
        <v>1</v>
      </c>
      <c r="CK1395">
        <v>23</v>
      </c>
      <c r="CL1395" t="s">
        <v>90</v>
      </c>
    </row>
    <row r="1396" spans="1:90" x14ac:dyDescent="0.3">
      <c r="A1396" t="s">
        <v>72</v>
      </c>
      <c r="B1396" t="s">
        <v>73</v>
      </c>
      <c r="C1396" t="s">
        <v>74</v>
      </c>
      <c r="E1396" t="str">
        <f>"080065875438"</f>
        <v>080065875438</v>
      </c>
      <c r="F1396" s="3">
        <v>45818</v>
      </c>
      <c r="G1396">
        <v>202603</v>
      </c>
      <c r="H1396" t="s">
        <v>75</v>
      </c>
      <c r="I1396" t="s">
        <v>76</v>
      </c>
      <c r="J1396" t="s">
        <v>77</v>
      </c>
      <c r="K1396" t="s">
        <v>78</v>
      </c>
      <c r="L1396" t="s">
        <v>350</v>
      </c>
      <c r="M1396" t="s">
        <v>351</v>
      </c>
      <c r="N1396" t="s">
        <v>352</v>
      </c>
      <c r="O1396" t="s">
        <v>94</v>
      </c>
      <c r="P1396" t="str">
        <f>"4170043065                    "</f>
        <v xml:space="preserve">4170043065                    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40.409999999999997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</v>
      </c>
      <c r="AX1396">
        <v>0</v>
      </c>
      <c r="AY1396">
        <v>0</v>
      </c>
      <c r="AZ1396">
        <v>0</v>
      </c>
      <c r="BA1396">
        <v>0</v>
      </c>
      <c r="BB1396">
        <v>0</v>
      </c>
      <c r="BC1396">
        <v>0</v>
      </c>
      <c r="BD1396">
        <v>0</v>
      </c>
      <c r="BE1396">
        <v>0</v>
      </c>
      <c r="BF1396">
        <v>0</v>
      </c>
      <c r="BG1396">
        <v>0</v>
      </c>
      <c r="BH1396">
        <v>1</v>
      </c>
      <c r="BI1396">
        <v>9</v>
      </c>
      <c r="BJ1396">
        <v>5.5</v>
      </c>
      <c r="BK1396">
        <v>9</v>
      </c>
      <c r="BL1396">
        <v>139.96</v>
      </c>
      <c r="BM1396">
        <v>20.99</v>
      </c>
      <c r="BN1396">
        <v>160.94999999999999</v>
      </c>
      <c r="BO1396">
        <v>160.94999999999999</v>
      </c>
      <c r="BQ1396" t="s">
        <v>353</v>
      </c>
      <c r="BR1396" t="s">
        <v>84</v>
      </c>
      <c r="BS1396" s="3">
        <v>45819</v>
      </c>
      <c r="BT1396" s="4">
        <v>0.38124999999999998</v>
      </c>
      <c r="BU1396" t="s">
        <v>354</v>
      </c>
      <c r="BV1396" t="s">
        <v>86</v>
      </c>
      <c r="BY1396">
        <v>27456</v>
      </c>
      <c r="CA1396" t="s">
        <v>355</v>
      </c>
      <c r="CC1396" t="s">
        <v>351</v>
      </c>
      <c r="CD1396">
        <v>157</v>
      </c>
      <c r="CE1396" t="s">
        <v>687</v>
      </c>
      <c r="CF1396" s="3">
        <v>45819</v>
      </c>
      <c r="CI1396">
        <v>1</v>
      </c>
      <c r="CJ1396">
        <v>1</v>
      </c>
      <c r="CK1396">
        <v>41</v>
      </c>
      <c r="CL1396" t="s">
        <v>90</v>
      </c>
    </row>
    <row r="1397" spans="1:90" x14ac:dyDescent="0.3">
      <c r="A1397" t="s">
        <v>72</v>
      </c>
      <c r="B1397" t="s">
        <v>73</v>
      </c>
      <c r="C1397" t="s">
        <v>74</v>
      </c>
      <c r="E1397" t="str">
        <f>"080065875480"</f>
        <v>080065875480</v>
      </c>
      <c r="F1397" s="3">
        <v>45818</v>
      </c>
      <c r="G1397">
        <v>202603</v>
      </c>
      <c r="H1397" t="s">
        <v>75</v>
      </c>
      <c r="I1397" t="s">
        <v>76</v>
      </c>
      <c r="J1397" t="s">
        <v>77</v>
      </c>
      <c r="K1397" t="s">
        <v>78</v>
      </c>
      <c r="L1397" t="s">
        <v>159</v>
      </c>
      <c r="M1397" t="s">
        <v>160</v>
      </c>
      <c r="N1397" t="s">
        <v>161</v>
      </c>
      <c r="O1397" t="s">
        <v>82</v>
      </c>
      <c r="P1397" t="str">
        <f>"4170043304                    "</f>
        <v xml:space="preserve">4170043304                    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16.32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  <c r="BB1397">
        <v>0</v>
      </c>
      <c r="BC1397">
        <v>0</v>
      </c>
      <c r="BD1397">
        <v>0</v>
      </c>
      <c r="BE1397">
        <v>0</v>
      </c>
      <c r="BF1397">
        <v>0</v>
      </c>
      <c r="BG1397">
        <v>0</v>
      </c>
      <c r="BH1397">
        <v>1</v>
      </c>
      <c r="BI1397">
        <v>1</v>
      </c>
      <c r="BJ1397">
        <v>0.2</v>
      </c>
      <c r="BK1397">
        <v>1</v>
      </c>
      <c r="BL1397">
        <v>54.28</v>
      </c>
      <c r="BM1397">
        <v>8.14</v>
      </c>
      <c r="BN1397">
        <v>62.42</v>
      </c>
      <c r="BO1397">
        <v>62.42</v>
      </c>
      <c r="BQ1397" t="s">
        <v>162</v>
      </c>
      <c r="BR1397" t="s">
        <v>84</v>
      </c>
      <c r="BS1397" s="3">
        <v>45819</v>
      </c>
      <c r="BT1397" s="4">
        <v>0.4597222222222222</v>
      </c>
      <c r="BU1397" t="s">
        <v>2043</v>
      </c>
      <c r="BV1397" t="s">
        <v>90</v>
      </c>
      <c r="BY1397">
        <v>1200</v>
      </c>
      <c r="CA1397" t="s">
        <v>165</v>
      </c>
      <c r="CC1397" t="s">
        <v>160</v>
      </c>
      <c r="CD1397">
        <v>2169</v>
      </c>
      <c r="CE1397" t="s">
        <v>215</v>
      </c>
      <c r="CF1397" s="3">
        <v>45820</v>
      </c>
      <c r="CI1397">
        <v>1</v>
      </c>
      <c r="CJ1397">
        <v>1</v>
      </c>
      <c r="CK1397">
        <v>22</v>
      </c>
      <c r="CL1397" t="s">
        <v>90</v>
      </c>
    </row>
    <row r="1398" spans="1:90" x14ac:dyDescent="0.3">
      <c r="A1398" t="s">
        <v>72</v>
      </c>
      <c r="B1398" t="s">
        <v>73</v>
      </c>
      <c r="C1398" t="s">
        <v>74</v>
      </c>
      <c r="E1398" t="str">
        <f>"080065875508"</f>
        <v>080065875508</v>
      </c>
      <c r="F1398" s="3">
        <v>45818</v>
      </c>
      <c r="G1398">
        <v>202603</v>
      </c>
      <c r="H1398" t="s">
        <v>75</v>
      </c>
      <c r="I1398" t="s">
        <v>76</v>
      </c>
      <c r="J1398" t="s">
        <v>77</v>
      </c>
      <c r="K1398" t="s">
        <v>78</v>
      </c>
      <c r="L1398" t="s">
        <v>79</v>
      </c>
      <c r="M1398" t="s">
        <v>80</v>
      </c>
      <c r="N1398" t="s">
        <v>2029</v>
      </c>
      <c r="O1398" t="s">
        <v>82</v>
      </c>
      <c r="P1398" t="str">
        <f>"4170043146                    "</f>
        <v xml:space="preserve">4170043146                    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29.39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>
        <v>0</v>
      </c>
      <c r="BD1398">
        <v>0</v>
      </c>
      <c r="BE1398">
        <v>0</v>
      </c>
      <c r="BF1398">
        <v>0</v>
      </c>
      <c r="BG1398">
        <v>0</v>
      </c>
      <c r="BH1398">
        <v>1</v>
      </c>
      <c r="BI1398">
        <v>2</v>
      </c>
      <c r="BJ1398">
        <v>1.1000000000000001</v>
      </c>
      <c r="BK1398">
        <v>2</v>
      </c>
      <c r="BL1398">
        <v>97.74</v>
      </c>
      <c r="BM1398">
        <v>14.66</v>
      </c>
      <c r="BN1398">
        <v>112.4</v>
      </c>
      <c r="BO1398">
        <v>112.4</v>
      </c>
      <c r="BQ1398" t="s">
        <v>2030</v>
      </c>
      <c r="BR1398" t="s">
        <v>84</v>
      </c>
      <c r="BS1398" s="3">
        <v>45819</v>
      </c>
      <c r="BT1398" s="4">
        <v>0.43541666666666667</v>
      </c>
      <c r="BU1398" t="s">
        <v>2031</v>
      </c>
      <c r="BV1398" t="s">
        <v>86</v>
      </c>
      <c r="BY1398">
        <v>5320</v>
      </c>
      <c r="CA1398" t="s">
        <v>2032</v>
      </c>
      <c r="CC1398" t="s">
        <v>80</v>
      </c>
      <c r="CD1398">
        <v>1739</v>
      </c>
      <c r="CE1398" t="s">
        <v>687</v>
      </c>
      <c r="CF1398" s="3">
        <v>45820</v>
      </c>
      <c r="CI1398">
        <v>1</v>
      </c>
      <c r="CJ1398">
        <v>1</v>
      </c>
      <c r="CK1398">
        <v>24</v>
      </c>
      <c r="CL1398" t="s">
        <v>90</v>
      </c>
    </row>
    <row r="1399" spans="1:90" x14ac:dyDescent="0.3">
      <c r="A1399" t="s">
        <v>72</v>
      </c>
      <c r="B1399" t="s">
        <v>73</v>
      </c>
      <c r="C1399" t="s">
        <v>74</v>
      </c>
      <c r="E1399" t="str">
        <f>"080065875521"</f>
        <v>080065875521</v>
      </c>
      <c r="F1399" s="3">
        <v>45818</v>
      </c>
      <c r="G1399">
        <v>202603</v>
      </c>
      <c r="H1399" t="s">
        <v>75</v>
      </c>
      <c r="I1399" t="s">
        <v>76</v>
      </c>
      <c r="J1399" t="s">
        <v>77</v>
      </c>
      <c r="K1399" t="s">
        <v>78</v>
      </c>
      <c r="L1399" t="s">
        <v>615</v>
      </c>
      <c r="M1399" t="s">
        <v>616</v>
      </c>
      <c r="N1399" t="s">
        <v>863</v>
      </c>
      <c r="O1399" t="s">
        <v>82</v>
      </c>
      <c r="P1399" t="str">
        <f>"4170043233                    "</f>
        <v xml:space="preserve">4170043233                    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40.49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</v>
      </c>
      <c r="AX1399">
        <v>0</v>
      </c>
      <c r="AY1399">
        <v>0</v>
      </c>
      <c r="AZ1399">
        <v>0</v>
      </c>
      <c r="BA1399">
        <v>0</v>
      </c>
      <c r="BB1399">
        <v>0</v>
      </c>
      <c r="BC1399">
        <v>0</v>
      </c>
      <c r="BD1399">
        <v>0</v>
      </c>
      <c r="BE1399">
        <v>0</v>
      </c>
      <c r="BF1399">
        <v>0</v>
      </c>
      <c r="BG1399">
        <v>0</v>
      </c>
      <c r="BH1399">
        <v>1</v>
      </c>
      <c r="BI1399">
        <v>1</v>
      </c>
      <c r="BJ1399">
        <v>0.2</v>
      </c>
      <c r="BK1399">
        <v>1</v>
      </c>
      <c r="BL1399">
        <v>134.65</v>
      </c>
      <c r="BM1399">
        <v>20.2</v>
      </c>
      <c r="BN1399">
        <v>154.85</v>
      </c>
      <c r="BO1399">
        <v>154.85</v>
      </c>
      <c r="BQ1399" t="s">
        <v>864</v>
      </c>
      <c r="BR1399" t="s">
        <v>84</v>
      </c>
      <c r="BS1399" s="3">
        <v>45819</v>
      </c>
      <c r="BT1399" s="4">
        <v>0.57916666666666672</v>
      </c>
      <c r="BU1399" t="s">
        <v>1107</v>
      </c>
      <c r="BV1399" t="s">
        <v>86</v>
      </c>
      <c r="BY1399">
        <v>1200</v>
      </c>
      <c r="CA1399" t="s">
        <v>620</v>
      </c>
      <c r="CC1399" t="s">
        <v>616</v>
      </c>
      <c r="CD1399">
        <v>6850</v>
      </c>
      <c r="CE1399" t="s">
        <v>215</v>
      </c>
      <c r="CI1399">
        <v>2</v>
      </c>
      <c r="CJ1399">
        <v>1</v>
      </c>
      <c r="CK1399">
        <v>23</v>
      </c>
      <c r="CL1399" t="s">
        <v>90</v>
      </c>
    </row>
    <row r="1400" spans="1:90" x14ac:dyDescent="0.3">
      <c r="A1400" t="s">
        <v>72</v>
      </c>
      <c r="B1400" t="s">
        <v>73</v>
      </c>
      <c r="C1400" t="s">
        <v>74</v>
      </c>
      <c r="E1400" t="str">
        <f>"080065875531"</f>
        <v>080065875531</v>
      </c>
      <c r="F1400" s="3">
        <v>45818</v>
      </c>
      <c r="G1400">
        <v>202603</v>
      </c>
      <c r="H1400" t="s">
        <v>75</v>
      </c>
      <c r="I1400" t="s">
        <v>76</v>
      </c>
      <c r="J1400" t="s">
        <v>77</v>
      </c>
      <c r="K1400" t="s">
        <v>78</v>
      </c>
      <c r="L1400" t="s">
        <v>628</v>
      </c>
      <c r="M1400" t="s">
        <v>629</v>
      </c>
      <c r="N1400" t="s">
        <v>1726</v>
      </c>
      <c r="O1400" t="s">
        <v>82</v>
      </c>
      <c r="P1400" t="str">
        <f>"4170043113                    "</f>
        <v xml:space="preserve">4170043113                    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20.9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</v>
      </c>
      <c r="AX1400">
        <v>0</v>
      </c>
      <c r="AY1400">
        <v>0</v>
      </c>
      <c r="AZ1400">
        <v>0</v>
      </c>
      <c r="BA1400">
        <v>0</v>
      </c>
      <c r="BB1400">
        <v>0</v>
      </c>
      <c r="BC1400">
        <v>0</v>
      </c>
      <c r="BD1400">
        <v>0</v>
      </c>
      <c r="BE1400">
        <v>0</v>
      </c>
      <c r="BF1400">
        <v>0</v>
      </c>
      <c r="BG1400">
        <v>0</v>
      </c>
      <c r="BH1400">
        <v>1</v>
      </c>
      <c r="BI1400">
        <v>1</v>
      </c>
      <c r="BJ1400">
        <v>0.6</v>
      </c>
      <c r="BK1400">
        <v>1</v>
      </c>
      <c r="BL1400">
        <v>69.5</v>
      </c>
      <c r="BM1400">
        <v>10.43</v>
      </c>
      <c r="BN1400">
        <v>79.930000000000007</v>
      </c>
      <c r="BO1400">
        <v>79.930000000000007</v>
      </c>
      <c r="BQ1400" t="s">
        <v>1727</v>
      </c>
      <c r="BR1400" t="s">
        <v>84</v>
      </c>
      <c r="BS1400" s="3">
        <v>45819</v>
      </c>
      <c r="BT1400" s="4">
        <v>0.48333333333333334</v>
      </c>
      <c r="BU1400" t="s">
        <v>748</v>
      </c>
      <c r="BV1400" t="s">
        <v>90</v>
      </c>
      <c r="BY1400">
        <v>3192</v>
      </c>
      <c r="CA1400" t="s">
        <v>223</v>
      </c>
      <c r="CC1400" t="s">
        <v>629</v>
      </c>
      <c r="CD1400">
        <v>6220</v>
      </c>
      <c r="CE1400" t="s">
        <v>687</v>
      </c>
      <c r="CF1400" s="3">
        <v>45819</v>
      </c>
      <c r="CI1400">
        <v>1</v>
      </c>
      <c r="CJ1400">
        <v>1</v>
      </c>
      <c r="CK1400">
        <v>21</v>
      </c>
      <c r="CL1400" t="s">
        <v>90</v>
      </c>
    </row>
    <row r="1401" spans="1:90" x14ac:dyDescent="0.3">
      <c r="A1401" t="s">
        <v>72</v>
      </c>
      <c r="B1401" t="s">
        <v>73</v>
      </c>
      <c r="C1401" t="s">
        <v>74</v>
      </c>
      <c r="E1401" t="str">
        <f>"080065875546"</f>
        <v>080065875546</v>
      </c>
      <c r="F1401" s="3">
        <v>45818</v>
      </c>
      <c r="G1401">
        <v>202603</v>
      </c>
      <c r="H1401" t="s">
        <v>75</v>
      </c>
      <c r="I1401" t="s">
        <v>76</v>
      </c>
      <c r="J1401" t="s">
        <v>77</v>
      </c>
      <c r="K1401" t="s">
        <v>78</v>
      </c>
      <c r="L1401" t="s">
        <v>75</v>
      </c>
      <c r="M1401" t="s">
        <v>76</v>
      </c>
      <c r="N1401" t="s">
        <v>2044</v>
      </c>
      <c r="O1401" t="s">
        <v>82</v>
      </c>
      <c r="P1401" t="str">
        <f>"4170043148                    "</f>
        <v xml:space="preserve">4170043148                    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16.32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</v>
      </c>
      <c r="AX1401">
        <v>0</v>
      </c>
      <c r="AY1401">
        <v>0</v>
      </c>
      <c r="AZ1401">
        <v>0</v>
      </c>
      <c r="BA1401">
        <v>0</v>
      </c>
      <c r="BB1401">
        <v>0</v>
      </c>
      <c r="BC1401">
        <v>0</v>
      </c>
      <c r="BD1401">
        <v>0</v>
      </c>
      <c r="BE1401">
        <v>0</v>
      </c>
      <c r="BF1401">
        <v>0</v>
      </c>
      <c r="BG1401">
        <v>0</v>
      </c>
      <c r="BH1401">
        <v>1</v>
      </c>
      <c r="BI1401">
        <v>1</v>
      </c>
      <c r="BJ1401">
        <v>0.2</v>
      </c>
      <c r="BK1401">
        <v>1</v>
      </c>
      <c r="BL1401">
        <v>54.28</v>
      </c>
      <c r="BM1401">
        <v>8.14</v>
      </c>
      <c r="BN1401">
        <v>62.42</v>
      </c>
      <c r="BO1401">
        <v>62.42</v>
      </c>
      <c r="BQ1401" t="s">
        <v>2045</v>
      </c>
      <c r="BR1401" t="s">
        <v>84</v>
      </c>
      <c r="BS1401" s="3">
        <v>45819</v>
      </c>
      <c r="BT1401" s="4">
        <v>0.36944444444444446</v>
      </c>
      <c r="BU1401" t="s">
        <v>2046</v>
      </c>
      <c r="BV1401" t="s">
        <v>86</v>
      </c>
      <c r="BY1401">
        <v>1200</v>
      </c>
      <c r="CA1401" t="s">
        <v>193</v>
      </c>
      <c r="CC1401" t="s">
        <v>76</v>
      </c>
      <c r="CD1401">
        <v>1600</v>
      </c>
      <c r="CE1401" t="s">
        <v>215</v>
      </c>
      <c r="CF1401" s="3">
        <v>45819</v>
      </c>
      <c r="CI1401">
        <v>1</v>
      </c>
      <c r="CJ1401">
        <v>1</v>
      </c>
      <c r="CK1401">
        <v>22</v>
      </c>
      <c r="CL1401" t="s">
        <v>90</v>
      </c>
    </row>
    <row r="1402" spans="1:90" x14ac:dyDescent="0.3">
      <c r="A1402" t="s">
        <v>72</v>
      </c>
      <c r="B1402" t="s">
        <v>73</v>
      </c>
      <c r="C1402" t="s">
        <v>74</v>
      </c>
      <c r="E1402" t="str">
        <f>"080065875552"</f>
        <v>080065875552</v>
      </c>
      <c r="F1402" s="3">
        <v>45818</v>
      </c>
      <c r="G1402">
        <v>202603</v>
      </c>
      <c r="H1402" t="s">
        <v>75</v>
      </c>
      <c r="I1402" t="s">
        <v>76</v>
      </c>
      <c r="J1402" t="s">
        <v>77</v>
      </c>
      <c r="K1402" t="s">
        <v>78</v>
      </c>
      <c r="L1402" t="s">
        <v>75</v>
      </c>
      <c r="M1402" t="s">
        <v>76</v>
      </c>
      <c r="N1402" t="s">
        <v>525</v>
      </c>
      <c r="O1402" t="s">
        <v>82</v>
      </c>
      <c r="P1402" t="str">
        <f>"4170043179                    "</f>
        <v xml:space="preserve">4170043179                    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16.32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  <c r="BB1402">
        <v>0</v>
      </c>
      <c r="BC1402">
        <v>0</v>
      </c>
      <c r="BD1402">
        <v>0</v>
      </c>
      <c r="BE1402">
        <v>0</v>
      </c>
      <c r="BF1402">
        <v>0</v>
      </c>
      <c r="BG1402">
        <v>0</v>
      </c>
      <c r="BH1402">
        <v>1</v>
      </c>
      <c r="BI1402">
        <v>2</v>
      </c>
      <c r="BJ1402">
        <v>4.5</v>
      </c>
      <c r="BK1402">
        <v>5</v>
      </c>
      <c r="BL1402">
        <v>54.28</v>
      </c>
      <c r="BM1402">
        <v>8.14</v>
      </c>
      <c r="BN1402">
        <v>62.42</v>
      </c>
      <c r="BO1402">
        <v>62.42</v>
      </c>
      <c r="BQ1402" t="s">
        <v>526</v>
      </c>
      <c r="BR1402" t="s">
        <v>84</v>
      </c>
      <c r="BS1402" s="3">
        <v>45819</v>
      </c>
      <c r="BT1402" s="4">
        <v>0.34027777777777779</v>
      </c>
      <c r="BU1402" t="s">
        <v>1907</v>
      </c>
      <c r="BV1402" t="s">
        <v>86</v>
      </c>
      <c r="BY1402">
        <v>22620</v>
      </c>
      <c r="CA1402" t="s">
        <v>1022</v>
      </c>
      <c r="CC1402" t="s">
        <v>76</v>
      </c>
      <c r="CD1402">
        <v>1645</v>
      </c>
      <c r="CE1402" t="s">
        <v>687</v>
      </c>
      <c r="CF1402" s="3">
        <v>45819</v>
      </c>
      <c r="CI1402">
        <v>1</v>
      </c>
      <c r="CJ1402">
        <v>1</v>
      </c>
      <c r="CK1402">
        <v>22</v>
      </c>
      <c r="CL1402" t="s">
        <v>90</v>
      </c>
    </row>
    <row r="1403" spans="1:90" x14ac:dyDescent="0.3">
      <c r="A1403" t="s">
        <v>72</v>
      </c>
      <c r="B1403" t="s">
        <v>73</v>
      </c>
      <c r="C1403" t="s">
        <v>74</v>
      </c>
      <c r="E1403" t="str">
        <f>"080065875569"</f>
        <v>080065875569</v>
      </c>
      <c r="F1403" s="3">
        <v>45818</v>
      </c>
      <c r="G1403">
        <v>202603</v>
      </c>
      <c r="H1403" t="s">
        <v>75</v>
      </c>
      <c r="I1403" t="s">
        <v>76</v>
      </c>
      <c r="J1403" t="s">
        <v>77</v>
      </c>
      <c r="K1403" t="s">
        <v>78</v>
      </c>
      <c r="L1403" t="s">
        <v>615</v>
      </c>
      <c r="M1403" t="s">
        <v>616</v>
      </c>
      <c r="N1403" t="s">
        <v>617</v>
      </c>
      <c r="O1403" t="s">
        <v>82</v>
      </c>
      <c r="P1403" t="str">
        <f>"4170043200                    "</f>
        <v xml:space="preserve">4170043200                    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40.49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</v>
      </c>
      <c r="AX1403">
        <v>0</v>
      </c>
      <c r="AY1403">
        <v>0</v>
      </c>
      <c r="AZ1403">
        <v>0</v>
      </c>
      <c r="BA1403">
        <v>0</v>
      </c>
      <c r="BB1403">
        <v>0</v>
      </c>
      <c r="BC1403">
        <v>0</v>
      </c>
      <c r="BD1403">
        <v>0</v>
      </c>
      <c r="BE1403">
        <v>0</v>
      </c>
      <c r="BF1403">
        <v>0</v>
      </c>
      <c r="BG1403">
        <v>0</v>
      </c>
      <c r="BH1403">
        <v>1</v>
      </c>
      <c r="BI1403">
        <v>1</v>
      </c>
      <c r="BJ1403">
        <v>0.2</v>
      </c>
      <c r="BK1403">
        <v>1</v>
      </c>
      <c r="BL1403">
        <v>134.65</v>
      </c>
      <c r="BM1403">
        <v>20.2</v>
      </c>
      <c r="BN1403">
        <v>154.85</v>
      </c>
      <c r="BO1403">
        <v>154.85</v>
      </c>
      <c r="BQ1403" t="s">
        <v>618</v>
      </c>
      <c r="BR1403" t="s">
        <v>84</v>
      </c>
      <c r="BS1403" s="3">
        <v>45819</v>
      </c>
      <c r="BT1403" s="4">
        <v>0.56736111111111109</v>
      </c>
      <c r="BU1403" t="s">
        <v>2016</v>
      </c>
      <c r="BV1403" t="s">
        <v>86</v>
      </c>
      <c r="BY1403">
        <v>1200</v>
      </c>
      <c r="CA1403" t="s">
        <v>620</v>
      </c>
      <c r="CC1403" t="s">
        <v>616</v>
      </c>
      <c r="CD1403">
        <v>6850</v>
      </c>
      <c r="CE1403" t="s">
        <v>215</v>
      </c>
      <c r="CI1403">
        <v>2</v>
      </c>
      <c r="CJ1403">
        <v>1</v>
      </c>
      <c r="CK1403">
        <v>23</v>
      </c>
      <c r="CL1403" t="s">
        <v>90</v>
      </c>
    </row>
    <row r="1404" spans="1:90" x14ac:dyDescent="0.3">
      <c r="A1404" t="s">
        <v>72</v>
      </c>
      <c r="B1404" t="s">
        <v>73</v>
      </c>
      <c r="C1404" t="s">
        <v>74</v>
      </c>
      <c r="E1404" t="str">
        <f>"080065875594"</f>
        <v>080065875594</v>
      </c>
      <c r="F1404" s="3">
        <v>45818</v>
      </c>
      <c r="G1404">
        <v>202603</v>
      </c>
      <c r="H1404" t="s">
        <v>75</v>
      </c>
      <c r="I1404" t="s">
        <v>76</v>
      </c>
      <c r="J1404" t="s">
        <v>77</v>
      </c>
      <c r="K1404" t="s">
        <v>78</v>
      </c>
      <c r="L1404" t="s">
        <v>331</v>
      </c>
      <c r="M1404" t="s">
        <v>332</v>
      </c>
      <c r="N1404" t="s">
        <v>1991</v>
      </c>
      <c r="O1404" t="s">
        <v>82</v>
      </c>
      <c r="P1404" t="str">
        <f>"4170043214                    "</f>
        <v xml:space="preserve">4170043214                    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20.9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</v>
      </c>
      <c r="AX1404">
        <v>0</v>
      </c>
      <c r="AY1404">
        <v>0</v>
      </c>
      <c r="AZ1404">
        <v>0</v>
      </c>
      <c r="BA1404">
        <v>0</v>
      </c>
      <c r="BB1404">
        <v>0</v>
      </c>
      <c r="BC1404">
        <v>0</v>
      </c>
      <c r="BD1404">
        <v>0</v>
      </c>
      <c r="BE1404">
        <v>0</v>
      </c>
      <c r="BF1404">
        <v>0</v>
      </c>
      <c r="BG1404">
        <v>0</v>
      </c>
      <c r="BH1404">
        <v>1</v>
      </c>
      <c r="BI1404">
        <v>1</v>
      </c>
      <c r="BJ1404">
        <v>0.6</v>
      </c>
      <c r="BK1404">
        <v>1</v>
      </c>
      <c r="BL1404">
        <v>69.5</v>
      </c>
      <c r="BM1404">
        <v>10.43</v>
      </c>
      <c r="BN1404">
        <v>79.930000000000007</v>
      </c>
      <c r="BO1404">
        <v>79.930000000000007</v>
      </c>
      <c r="BQ1404" t="s">
        <v>1992</v>
      </c>
      <c r="BR1404" t="s">
        <v>84</v>
      </c>
      <c r="BS1404" s="3">
        <v>45819</v>
      </c>
      <c r="BT1404" s="4">
        <v>0.42430555555555555</v>
      </c>
      <c r="BU1404" t="s">
        <v>1624</v>
      </c>
      <c r="BV1404" t="s">
        <v>86</v>
      </c>
      <c r="BY1404">
        <v>3192</v>
      </c>
      <c r="CA1404" t="s">
        <v>487</v>
      </c>
      <c r="CC1404" t="s">
        <v>332</v>
      </c>
      <c r="CD1404">
        <v>4001</v>
      </c>
      <c r="CE1404" t="s">
        <v>687</v>
      </c>
      <c r="CF1404" s="3">
        <v>45820</v>
      </c>
      <c r="CI1404">
        <v>1</v>
      </c>
      <c r="CJ1404">
        <v>1</v>
      </c>
      <c r="CK1404">
        <v>21</v>
      </c>
      <c r="CL1404" t="s">
        <v>90</v>
      </c>
    </row>
    <row r="1405" spans="1:90" x14ac:dyDescent="0.3">
      <c r="A1405" t="s">
        <v>72</v>
      </c>
      <c r="B1405" t="s">
        <v>73</v>
      </c>
      <c r="C1405" t="s">
        <v>74</v>
      </c>
      <c r="E1405" t="str">
        <f>"080065875602"</f>
        <v>080065875602</v>
      </c>
      <c r="F1405" s="3">
        <v>45818</v>
      </c>
      <c r="G1405">
        <v>202603</v>
      </c>
      <c r="H1405" t="s">
        <v>75</v>
      </c>
      <c r="I1405" t="s">
        <v>76</v>
      </c>
      <c r="J1405" t="s">
        <v>77</v>
      </c>
      <c r="K1405" t="s">
        <v>78</v>
      </c>
      <c r="L1405" t="s">
        <v>159</v>
      </c>
      <c r="M1405" t="s">
        <v>160</v>
      </c>
      <c r="N1405" t="s">
        <v>1302</v>
      </c>
      <c r="O1405" t="s">
        <v>82</v>
      </c>
      <c r="P1405" t="str">
        <f>"4170043139                    "</f>
        <v xml:space="preserve">4170043139                    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16.32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</v>
      </c>
      <c r="AX1405">
        <v>0</v>
      </c>
      <c r="AY1405">
        <v>0</v>
      </c>
      <c r="AZ1405">
        <v>0</v>
      </c>
      <c r="BA1405">
        <v>0</v>
      </c>
      <c r="BB1405">
        <v>0</v>
      </c>
      <c r="BC1405">
        <v>0</v>
      </c>
      <c r="BD1405">
        <v>0</v>
      </c>
      <c r="BE1405">
        <v>0</v>
      </c>
      <c r="BF1405">
        <v>0</v>
      </c>
      <c r="BG1405">
        <v>0</v>
      </c>
      <c r="BH1405">
        <v>1</v>
      </c>
      <c r="BI1405">
        <v>1</v>
      </c>
      <c r="BJ1405">
        <v>0.2</v>
      </c>
      <c r="BK1405">
        <v>1</v>
      </c>
      <c r="BL1405">
        <v>54.28</v>
      </c>
      <c r="BM1405">
        <v>8.14</v>
      </c>
      <c r="BN1405">
        <v>62.42</v>
      </c>
      <c r="BO1405">
        <v>62.42</v>
      </c>
      <c r="BQ1405" t="s">
        <v>1303</v>
      </c>
      <c r="BR1405" t="s">
        <v>84</v>
      </c>
      <c r="BS1405" s="3">
        <v>45819</v>
      </c>
      <c r="BT1405" s="4">
        <v>0.375</v>
      </c>
      <c r="BU1405" t="s">
        <v>2047</v>
      </c>
      <c r="BV1405" t="s">
        <v>86</v>
      </c>
      <c r="BY1405">
        <v>1200</v>
      </c>
      <c r="CA1405" t="s">
        <v>2048</v>
      </c>
      <c r="CC1405" t="s">
        <v>160</v>
      </c>
      <c r="CD1405">
        <v>2040</v>
      </c>
      <c r="CE1405" t="s">
        <v>215</v>
      </c>
      <c r="CF1405" s="3">
        <v>45819</v>
      </c>
      <c r="CI1405">
        <v>1</v>
      </c>
      <c r="CJ1405">
        <v>1</v>
      </c>
      <c r="CK1405">
        <v>22</v>
      </c>
      <c r="CL1405" t="s">
        <v>90</v>
      </c>
    </row>
    <row r="1406" spans="1:90" x14ac:dyDescent="0.3">
      <c r="A1406" t="s">
        <v>72</v>
      </c>
      <c r="B1406" t="s">
        <v>73</v>
      </c>
      <c r="C1406" t="s">
        <v>74</v>
      </c>
      <c r="E1406" t="str">
        <f>"080065875630"</f>
        <v>080065875630</v>
      </c>
      <c r="F1406" s="3">
        <v>45818</v>
      </c>
      <c r="G1406">
        <v>202603</v>
      </c>
      <c r="H1406" t="s">
        <v>75</v>
      </c>
      <c r="I1406" t="s">
        <v>76</v>
      </c>
      <c r="J1406" t="s">
        <v>77</v>
      </c>
      <c r="K1406" t="s">
        <v>78</v>
      </c>
      <c r="L1406" t="s">
        <v>350</v>
      </c>
      <c r="M1406" t="s">
        <v>351</v>
      </c>
      <c r="N1406" t="s">
        <v>512</v>
      </c>
      <c r="O1406" t="s">
        <v>82</v>
      </c>
      <c r="P1406" t="str">
        <f>"4170043287                    "</f>
        <v xml:space="preserve">4170043287                    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20.9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>
        <v>0</v>
      </c>
      <c r="BD1406">
        <v>0</v>
      </c>
      <c r="BE1406">
        <v>0</v>
      </c>
      <c r="BF1406">
        <v>0</v>
      </c>
      <c r="BG1406">
        <v>0</v>
      </c>
      <c r="BH1406">
        <v>1</v>
      </c>
      <c r="BI1406">
        <v>1</v>
      </c>
      <c r="BJ1406">
        <v>1.1000000000000001</v>
      </c>
      <c r="BK1406">
        <v>1.5</v>
      </c>
      <c r="BL1406">
        <v>69.5</v>
      </c>
      <c r="BM1406">
        <v>10.43</v>
      </c>
      <c r="BN1406">
        <v>79.930000000000007</v>
      </c>
      <c r="BO1406">
        <v>79.930000000000007</v>
      </c>
      <c r="BQ1406" t="s">
        <v>513</v>
      </c>
      <c r="BR1406" t="s">
        <v>84</v>
      </c>
      <c r="BS1406" s="3">
        <v>45819</v>
      </c>
      <c r="BT1406" s="4">
        <v>0.38680555555555557</v>
      </c>
      <c r="BU1406" t="s">
        <v>2049</v>
      </c>
      <c r="BV1406" t="s">
        <v>86</v>
      </c>
      <c r="BY1406">
        <v>5320</v>
      </c>
      <c r="CA1406" t="s">
        <v>515</v>
      </c>
      <c r="CC1406" t="s">
        <v>351</v>
      </c>
      <c r="CD1406">
        <v>157</v>
      </c>
      <c r="CE1406" t="s">
        <v>687</v>
      </c>
      <c r="CF1406" s="3">
        <v>45819</v>
      </c>
      <c r="CI1406">
        <v>1</v>
      </c>
      <c r="CJ1406">
        <v>1</v>
      </c>
      <c r="CK1406">
        <v>21</v>
      </c>
      <c r="CL1406" t="s">
        <v>90</v>
      </c>
    </row>
    <row r="1407" spans="1:90" x14ac:dyDescent="0.3">
      <c r="A1407" t="s">
        <v>72</v>
      </c>
      <c r="B1407" t="s">
        <v>73</v>
      </c>
      <c r="C1407" t="s">
        <v>74</v>
      </c>
      <c r="E1407" t="str">
        <f>"080065875650"</f>
        <v>080065875650</v>
      </c>
      <c r="F1407" s="3">
        <v>45818</v>
      </c>
      <c r="G1407">
        <v>202603</v>
      </c>
      <c r="H1407" t="s">
        <v>75</v>
      </c>
      <c r="I1407" t="s">
        <v>76</v>
      </c>
      <c r="J1407" t="s">
        <v>77</v>
      </c>
      <c r="K1407" t="s">
        <v>78</v>
      </c>
      <c r="L1407" t="s">
        <v>100</v>
      </c>
      <c r="M1407" t="s">
        <v>101</v>
      </c>
      <c r="N1407" t="s">
        <v>492</v>
      </c>
      <c r="O1407" t="s">
        <v>94</v>
      </c>
      <c r="P1407" t="str">
        <f>"4170043199                    "</f>
        <v xml:space="preserve">4170043199                    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80.45</v>
      </c>
      <c r="AR1407">
        <v>0</v>
      </c>
      <c r="AS1407">
        <v>0</v>
      </c>
      <c r="AT1407">
        <v>0</v>
      </c>
      <c r="AU1407">
        <v>0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  <c r="BB1407">
        <v>0</v>
      </c>
      <c r="BC1407">
        <v>0</v>
      </c>
      <c r="BD1407">
        <v>0</v>
      </c>
      <c r="BE1407">
        <v>0</v>
      </c>
      <c r="BF1407">
        <v>0</v>
      </c>
      <c r="BG1407">
        <v>0</v>
      </c>
      <c r="BH1407">
        <v>1</v>
      </c>
      <c r="BI1407">
        <v>39</v>
      </c>
      <c r="BJ1407">
        <v>29.8</v>
      </c>
      <c r="BK1407">
        <v>39</v>
      </c>
      <c r="BL1407">
        <v>273.12</v>
      </c>
      <c r="BM1407">
        <v>40.97</v>
      </c>
      <c r="BN1407">
        <v>314.08999999999997</v>
      </c>
      <c r="BO1407">
        <v>314.08999999999997</v>
      </c>
      <c r="BQ1407" t="s">
        <v>493</v>
      </c>
      <c r="BR1407" t="s">
        <v>84</v>
      </c>
      <c r="BS1407" t="s">
        <v>189</v>
      </c>
      <c r="BY1407">
        <v>148800</v>
      </c>
      <c r="CC1407" t="s">
        <v>101</v>
      </c>
      <c r="CD1407">
        <v>6001</v>
      </c>
      <c r="CE1407" t="s">
        <v>687</v>
      </c>
      <c r="CI1407">
        <v>3</v>
      </c>
      <c r="CJ1407" t="s">
        <v>189</v>
      </c>
      <c r="CK1407">
        <v>41</v>
      </c>
      <c r="CL1407" t="s">
        <v>90</v>
      </c>
    </row>
    <row r="1408" spans="1:90" x14ac:dyDescent="0.3">
      <c r="A1408" t="s">
        <v>72</v>
      </c>
      <c r="B1408" t="s">
        <v>73</v>
      </c>
      <c r="C1408" t="s">
        <v>74</v>
      </c>
      <c r="E1408" t="str">
        <f>"080065875665"</f>
        <v>080065875665</v>
      </c>
      <c r="F1408" s="3">
        <v>45818</v>
      </c>
      <c r="G1408">
        <v>202603</v>
      </c>
      <c r="H1408" t="s">
        <v>75</v>
      </c>
      <c r="I1408" t="s">
        <v>76</v>
      </c>
      <c r="J1408" t="s">
        <v>77</v>
      </c>
      <c r="K1408" t="s">
        <v>78</v>
      </c>
      <c r="L1408" t="s">
        <v>100</v>
      </c>
      <c r="M1408" t="s">
        <v>101</v>
      </c>
      <c r="N1408" t="s">
        <v>492</v>
      </c>
      <c r="O1408" t="s">
        <v>82</v>
      </c>
      <c r="P1408" t="str">
        <f>"4170043278                    "</f>
        <v xml:space="preserve">4170043278                    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62.66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  <c r="BB1408">
        <v>0</v>
      </c>
      <c r="BC1408">
        <v>0</v>
      </c>
      <c r="BD1408">
        <v>0</v>
      </c>
      <c r="BE1408">
        <v>0</v>
      </c>
      <c r="BF1408">
        <v>0</v>
      </c>
      <c r="BG1408">
        <v>0</v>
      </c>
      <c r="BH1408">
        <v>1</v>
      </c>
      <c r="BI1408">
        <v>6</v>
      </c>
      <c r="BJ1408">
        <v>3.1</v>
      </c>
      <c r="BK1408">
        <v>6</v>
      </c>
      <c r="BL1408">
        <v>208.38</v>
      </c>
      <c r="BM1408">
        <v>31.26</v>
      </c>
      <c r="BN1408">
        <v>239.64</v>
      </c>
      <c r="BO1408">
        <v>239.64</v>
      </c>
      <c r="BQ1408" t="s">
        <v>493</v>
      </c>
      <c r="BR1408" t="s">
        <v>84</v>
      </c>
      <c r="BS1408" s="3">
        <v>45819</v>
      </c>
      <c r="BT1408" s="4">
        <v>0.42430555555555555</v>
      </c>
      <c r="BU1408" t="s">
        <v>981</v>
      </c>
      <c r="BV1408" t="s">
        <v>86</v>
      </c>
      <c r="BY1408">
        <v>15360</v>
      </c>
      <c r="BZ1408" t="s">
        <v>87</v>
      </c>
      <c r="CA1408" t="s">
        <v>394</v>
      </c>
      <c r="CC1408" t="s">
        <v>101</v>
      </c>
      <c r="CD1408">
        <v>6001</v>
      </c>
      <c r="CE1408" t="s">
        <v>99</v>
      </c>
      <c r="CF1408" s="3">
        <v>45819</v>
      </c>
      <c r="CI1408">
        <v>1</v>
      </c>
      <c r="CJ1408">
        <v>1</v>
      </c>
      <c r="CK1408">
        <v>21</v>
      </c>
      <c r="CL1408" t="s">
        <v>90</v>
      </c>
    </row>
    <row r="1409" spans="1:90" x14ac:dyDescent="0.3">
      <c r="A1409" t="s">
        <v>72</v>
      </c>
      <c r="B1409" t="s">
        <v>73</v>
      </c>
      <c r="C1409" t="s">
        <v>74</v>
      </c>
      <c r="E1409" t="str">
        <f>"080065875705"</f>
        <v>080065875705</v>
      </c>
      <c r="F1409" s="3">
        <v>45818</v>
      </c>
      <c r="G1409">
        <v>202603</v>
      </c>
      <c r="H1409" t="s">
        <v>75</v>
      </c>
      <c r="I1409" t="s">
        <v>76</v>
      </c>
      <c r="J1409" t="s">
        <v>77</v>
      </c>
      <c r="K1409" t="s">
        <v>78</v>
      </c>
      <c r="L1409" t="s">
        <v>100</v>
      </c>
      <c r="M1409" t="s">
        <v>101</v>
      </c>
      <c r="N1409" t="s">
        <v>1078</v>
      </c>
      <c r="O1409" t="s">
        <v>82</v>
      </c>
      <c r="P1409" t="str">
        <f>"4170043130                    "</f>
        <v xml:space="preserve">4170043130                    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20.9</v>
      </c>
      <c r="AR1409">
        <v>0</v>
      </c>
      <c r="AS1409">
        <v>0</v>
      </c>
      <c r="AT1409">
        <v>0</v>
      </c>
      <c r="AU1409">
        <v>0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  <c r="BB1409">
        <v>0</v>
      </c>
      <c r="BC1409">
        <v>0</v>
      </c>
      <c r="BD1409">
        <v>0</v>
      </c>
      <c r="BE1409">
        <v>0</v>
      </c>
      <c r="BF1409">
        <v>0</v>
      </c>
      <c r="BG1409">
        <v>0</v>
      </c>
      <c r="BH1409">
        <v>1</v>
      </c>
      <c r="BI1409">
        <v>2</v>
      </c>
      <c r="BJ1409">
        <v>1.7</v>
      </c>
      <c r="BK1409">
        <v>2</v>
      </c>
      <c r="BL1409">
        <v>69.5</v>
      </c>
      <c r="BM1409">
        <v>10.43</v>
      </c>
      <c r="BN1409">
        <v>79.930000000000007</v>
      </c>
      <c r="BO1409">
        <v>79.930000000000007</v>
      </c>
      <c r="BQ1409" t="s">
        <v>1079</v>
      </c>
      <c r="BR1409" t="s">
        <v>84</v>
      </c>
      <c r="BS1409" s="3">
        <v>45819</v>
      </c>
      <c r="BT1409" s="4">
        <v>0.41666666666666669</v>
      </c>
      <c r="BU1409" t="s">
        <v>2050</v>
      </c>
      <c r="BV1409" t="s">
        <v>86</v>
      </c>
      <c r="BY1409">
        <v>8512</v>
      </c>
      <c r="CA1409" t="s">
        <v>271</v>
      </c>
      <c r="CC1409" t="s">
        <v>101</v>
      </c>
      <c r="CD1409">
        <v>6001</v>
      </c>
      <c r="CE1409" t="s">
        <v>687</v>
      </c>
      <c r="CF1409" s="3">
        <v>45819</v>
      </c>
      <c r="CI1409">
        <v>1</v>
      </c>
      <c r="CJ1409">
        <v>1</v>
      </c>
      <c r="CK1409">
        <v>21</v>
      </c>
      <c r="CL1409" t="s">
        <v>90</v>
      </c>
    </row>
    <row r="1410" spans="1:90" x14ac:dyDescent="0.3">
      <c r="A1410" t="s">
        <v>72</v>
      </c>
      <c r="B1410" t="s">
        <v>73</v>
      </c>
      <c r="C1410" t="s">
        <v>74</v>
      </c>
      <c r="E1410" t="str">
        <f>"080065875717"</f>
        <v>080065875717</v>
      </c>
      <c r="F1410" s="3">
        <v>45818</v>
      </c>
      <c r="G1410">
        <v>202603</v>
      </c>
      <c r="H1410" t="s">
        <v>75</v>
      </c>
      <c r="I1410" t="s">
        <v>76</v>
      </c>
      <c r="J1410" t="s">
        <v>77</v>
      </c>
      <c r="K1410" t="s">
        <v>78</v>
      </c>
      <c r="L1410" t="s">
        <v>91</v>
      </c>
      <c r="M1410" t="s">
        <v>92</v>
      </c>
      <c r="N1410" t="s">
        <v>763</v>
      </c>
      <c r="O1410" t="s">
        <v>82</v>
      </c>
      <c r="P1410" t="str">
        <f>"4170043275                    "</f>
        <v xml:space="preserve">4170043275                    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167.06</v>
      </c>
      <c r="AR1410">
        <v>0</v>
      </c>
      <c r="AS1410">
        <v>0</v>
      </c>
      <c r="AT1410">
        <v>0</v>
      </c>
      <c r="AU1410">
        <v>0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>
        <v>0</v>
      </c>
      <c r="BD1410">
        <v>0</v>
      </c>
      <c r="BE1410">
        <v>0</v>
      </c>
      <c r="BF1410">
        <v>0</v>
      </c>
      <c r="BG1410">
        <v>0</v>
      </c>
      <c r="BH1410">
        <v>1</v>
      </c>
      <c r="BI1410">
        <v>16</v>
      </c>
      <c r="BJ1410">
        <v>9.3000000000000007</v>
      </c>
      <c r="BK1410">
        <v>16</v>
      </c>
      <c r="BL1410">
        <v>555.58000000000004</v>
      </c>
      <c r="BM1410">
        <v>83.34</v>
      </c>
      <c r="BN1410">
        <v>638.91999999999996</v>
      </c>
      <c r="BO1410">
        <v>638.91999999999996</v>
      </c>
      <c r="BQ1410" t="s">
        <v>764</v>
      </c>
      <c r="BR1410" t="s">
        <v>84</v>
      </c>
      <c r="BS1410" s="3">
        <v>45819</v>
      </c>
      <c r="BT1410" s="4">
        <v>0.50069444444444444</v>
      </c>
      <c r="BU1410" t="s">
        <v>765</v>
      </c>
      <c r="BV1410" t="s">
        <v>90</v>
      </c>
      <c r="BW1410" t="s">
        <v>1209</v>
      </c>
      <c r="BX1410" t="s">
        <v>199</v>
      </c>
      <c r="BY1410">
        <v>46400</v>
      </c>
      <c r="CA1410" t="s">
        <v>767</v>
      </c>
      <c r="CC1410" t="s">
        <v>92</v>
      </c>
      <c r="CD1410">
        <v>7550</v>
      </c>
      <c r="CE1410" t="s">
        <v>166</v>
      </c>
      <c r="CI1410">
        <v>1</v>
      </c>
      <c r="CJ1410">
        <v>1</v>
      </c>
      <c r="CK1410">
        <v>21</v>
      </c>
      <c r="CL1410" t="s">
        <v>90</v>
      </c>
    </row>
    <row r="1411" spans="1:90" x14ac:dyDescent="0.3">
      <c r="A1411" t="s">
        <v>72</v>
      </c>
      <c r="B1411" t="s">
        <v>73</v>
      </c>
      <c r="C1411" t="s">
        <v>74</v>
      </c>
      <c r="E1411" t="str">
        <f>"080065875734"</f>
        <v>080065875734</v>
      </c>
      <c r="F1411" s="3">
        <v>45818</v>
      </c>
      <c r="G1411">
        <v>202603</v>
      </c>
      <c r="H1411" t="s">
        <v>75</v>
      </c>
      <c r="I1411" t="s">
        <v>76</v>
      </c>
      <c r="J1411" t="s">
        <v>77</v>
      </c>
      <c r="K1411" t="s">
        <v>78</v>
      </c>
      <c r="L1411" t="s">
        <v>375</v>
      </c>
      <c r="M1411" t="s">
        <v>376</v>
      </c>
      <c r="N1411" t="s">
        <v>2051</v>
      </c>
      <c r="O1411" t="s">
        <v>82</v>
      </c>
      <c r="P1411" t="str">
        <f>"4170043138                    "</f>
        <v xml:space="preserve">4170043138                    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16.32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  <c r="BB1411">
        <v>0</v>
      </c>
      <c r="BC1411">
        <v>0</v>
      </c>
      <c r="BD1411">
        <v>0</v>
      </c>
      <c r="BE1411">
        <v>0</v>
      </c>
      <c r="BF1411">
        <v>0</v>
      </c>
      <c r="BG1411">
        <v>0</v>
      </c>
      <c r="BH1411">
        <v>1</v>
      </c>
      <c r="BI1411">
        <v>1</v>
      </c>
      <c r="BJ1411">
        <v>0.2</v>
      </c>
      <c r="BK1411">
        <v>1</v>
      </c>
      <c r="BL1411">
        <v>54.28</v>
      </c>
      <c r="BM1411">
        <v>8.14</v>
      </c>
      <c r="BN1411">
        <v>62.42</v>
      </c>
      <c r="BO1411">
        <v>62.42</v>
      </c>
      <c r="BQ1411" t="s">
        <v>2052</v>
      </c>
      <c r="BR1411" t="s">
        <v>84</v>
      </c>
      <c r="BS1411" s="3">
        <v>45819</v>
      </c>
      <c r="BT1411" s="4">
        <v>0.43055555555555558</v>
      </c>
      <c r="BU1411" t="s">
        <v>2053</v>
      </c>
      <c r="BV1411" t="s">
        <v>86</v>
      </c>
      <c r="BY1411">
        <v>1200</v>
      </c>
      <c r="CA1411" t="s">
        <v>279</v>
      </c>
      <c r="CC1411" t="s">
        <v>376</v>
      </c>
      <c r="CD1411">
        <v>1429</v>
      </c>
      <c r="CE1411" t="s">
        <v>215</v>
      </c>
      <c r="CF1411" s="3">
        <v>45819</v>
      </c>
      <c r="CI1411">
        <v>1</v>
      </c>
      <c r="CJ1411">
        <v>1</v>
      </c>
      <c r="CK1411">
        <v>22</v>
      </c>
      <c r="CL1411" t="s">
        <v>90</v>
      </c>
    </row>
    <row r="1412" spans="1:90" x14ac:dyDescent="0.3">
      <c r="A1412" t="s">
        <v>72</v>
      </c>
      <c r="B1412" t="s">
        <v>73</v>
      </c>
      <c r="C1412" t="s">
        <v>74</v>
      </c>
      <c r="E1412" t="str">
        <f>"080065875761"</f>
        <v>080065875761</v>
      </c>
      <c r="F1412" s="3">
        <v>45818</v>
      </c>
      <c r="G1412">
        <v>202603</v>
      </c>
      <c r="H1412" t="s">
        <v>75</v>
      </c>
      <c r="I1412" t="s">
        <v>76</v>
      </c>
      <c r="J1412" t="s">
        <v>77</v>
      </c>
      <c r="K1412" t="s">
        <v>78</v>
      </c>
      <c r="L1412" t="s">
        <v>75</v>
      </c>
      <c r="M1412" t="s">
        <v>76</v>
      </c>
      <c r="N1412" t="s">
        <v>525</v>
      </c>
      <c r="O1412" t="s">
        <v>94</v>
      </c>
      <c r="P1412" t="str">
        <f>"4170043326                    "</f>
        <v xml:space="preserve">4170043326                    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33.92</v>
      </c>
      <c r="AR1412">
        <v>0</v>
      </c>
      <c r="AS1412">
        <v>0</v>
      </c>
      <c r="AT1412">
        <v>0</v>
      </c>
      <c r="AU1412">
        <v>0</v>
      </c>
      <c r="AV1412">
        <v>0</v>
      </c>
      <c r="AW1412">
        <v>0</v>
      </c>
      <c r="AX1412">
        <v>0</v>
      </c>
      <c r="AY1412">
        <v>0</v>
      </c>
      <c r="AZ1412">
        <v>0</v>
      </c>
      <c r="BA1412">
        <v>0</v>
      </c>
      <c r="BB1412">
        <v>0</v>
      </c>
      <c r="BC1412">
        <v>0</v>
      </c>
      <c r="BD1412">
        <v>0</v>
      </c>
      <c r="BE1412">
        <v>0</v>
      </c>
      <c r="BF1412">
        <v>0</v>
      </c>
      <c r="BG1412">
        <v>0</v>
      </c>
      <c r="BH1412">
        <v>1</v>
      </c>
      <c r="BI1412">
        <v>18</v>
      </c>
      <c r="BJ1412">
        <v>9.1</v>
      </c>
      <c r="BK1412">
        <v>18</v>
      </c>
      <c r="BL1412">
        <v>118.37</v>
      </c>
      <c r="BM1412">
        <v>17.760000000000002</v>
      </c>
      <c r="BN1412">
        <v>136.13</v>
      </c>
      <c r="BO1412">
        <v>136.13</v>
      </c>
      <c r="BQ1412" t="s">
        <v>526</v>
      </c>
      <c r="BR1412" t="s">
        <v>84</v>
      </c>
      <c r="BS1412" s="3">
        <v>45819</v>
      </c>
      <c r="BT1412" s="4">
        <v>0.3347222222222222</v>
      </c>
      <c r="BU1412" t="s">
        <v>1907</v>
      </c>
      <c r="BV1412" t="s">
        <v>86</v>
      </c>
      <c r="BY1412">
        <v>45632</v>
      </c>
      <c r="CA1412" t="s">
        <v>1022</v>
      </c>
      <c r="CC1412" t="s">
        <v>76</v>
      </c>
      <c r="CD1412">
        <v>1645</v>
      </c>
      <c r="CE1412" t="s">
        <v>687</v>
      </c>
      <c r="CF1412" s="3">
        <v>45819</v>
      </c>
      <c r="CI1412">
        <v>1</v>
      </c>
      <c r="CJ1412">
        <v>1</v>
      </c>
      <c r="CK1412">
        <v>42</v>
      </c>
      <c r="CL1412" t="s">
        <v>90</v>
      </c>
    </row>
    <row r="1413" spans="1:90" x14ac:dyDescent="0.3">
      <c r="A1413" t="s">
        <v>72</v>
      </c>
      <c r="B1413" t="s">
        <v>73</v>
      </c>
      <c r="C1413" t="s">
        <v>74</v>
      </c>
      <c r="E1413" t="str">
        <f>"080065875775"</f>
        <v>080065875775</v>
      </c>
      <c r="F1413" s="3">
        <v>45818</v>
      </c>
      <c r="G1413">
        <v>202603</v>
      </c>
      <c r="H1413" t="s">
        <v>75</v>
      </c>
      <c r="I1413" t="s">
        <v>76</v>
      </c>
      <c r="J1413" t="s">
        <v>77</v>
      </c>
      <c r="K1413" t="s">
        <v>78</v>
      </c>
      <c r="L1413" t="s">
        <v>100</v>
      </c>
      <c r="M1413" t="s">
        <v>101</v>
      </c>
      <c r="N1413" t="s">
        <v>102</v>
      </c>
      <c r="O1413" t="s">
        <v>82</v>
      </c>
      <c r="P1413" t="str">
        <f>"4170043337                    "</f>
        <v xml:space="preserve">4170043337                    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52.22</v>
      </c>
      <c r="AR1413">
        <v>0</v>
      </c>
      <c r="AS1413">
        <v>0</v>
      </c>
      <c r="AT1413">
        <v>0</v>
      </c>
      <c r="AU1413">
        <v>0</v>
      </c>
      <c r="AV1413">
        <v>0</v>
      </c>
      <c r="AW1413">
        <v>0</v>
      </c>
      <c r="AX1413">
        <v>0</v>
      </c>
      <c r="AY1413">
        <v>0</v>
      </c>
      <c r="AZ1413">
        <v>0</v>
      </c>
      <c r="BA1413">
        <v>0</v>
      </c>
      <c r="BB1413">
        <v>0</v>
      </c>
      <c r="BC1413">
        <v>0</v>
      </c>
      <c r="BD1413">
        <v>0</v>
      </c>
      <c r="BE1413">
        <v>0</v>
      </c>
      <c r="BF1413">
        <v>0</v>
      </c>
      <c r="BG1413">
        <v>0</v>
      </c>
      <c r="BH1413">
        <v>1</v>
      </c>
      <c r="BI1413">
        <v>5</v>
      </c>
      <c r="BJ1413">
        <v>3.1</v>
      </c>
      <c r="BK1413">
        <v>5</v>
      </c>
      <c r="BL1413">
        <v>173.66</v>
      </c>
      <c r="BM1413">
        <v>26.05</v>
      </c>
      <c r="BN1413">
        <v>199.71</v>
      </c>
      <c r="BO1413">
        <v>199.71</v>
      </c>
      <c r="BQ1413" t="s">
        <v>103</v>
      </c>
      <c r="BR1413" t="s">
        <v>84</v>
      </c>
      <c r="BS1413" s="3">
        <v>45819</v>
      </c>
      <c r="BT1413" s="4">
        <v>0.43472222222222223</v>
      </c>
      <c r="BU1413" t="s">
        <v>709</v>
      </c>
      <c r="BV1413" t="s">
        <v>86</v>
      </c>
      <c r="BY1413">
        <v>15360</v>
      </c>
      <c r="CA1413" t="s">
        <v>235</v>
      </c>
      <c r="CC1413" t="s">
        <v>101</v>
      </c>
      <c r="CD1413">
        <v>6056</v>
      </c>
      <c r="CE1413" t="s">
        <v>687</v>
      </c>
      <c r="CF1413" s="3">
        <v>45819</v>
      </c>
      <c r="CI1413">
        <v>1</v>
      </c>
      <c r="CJ1413">
        <v>1</v>
      </c>
      <c r="CK1413">
        <v>21</v>
      </c>
      <c r="CL1413" t="s">
        <v>90</v>
      </c>
    </row>
    <row r="1414" spans="1:90" x14ac:dyDescent="0.3">
      <c r="A1414" t="s">
        <v>72</v>
      </c>
      <c r="B1414" t="s">
        <v>73</v>
      </c>
      <c r="C1414" t="s">
        <v>74</v>
      </c>
      <c r="E1414" t="str">
        <f>"080065875825"</f>
        <v>080065875825</v>
      </c>
      <c r="F1414" s="3">
        <v>45818</v>
      </c>
      <c r="G1414">
        <v>202603</v>
      </c>
      <c r="H1414" t="s">
        <v>75</v>
      </c>
      <c r="I1414" t="s">
        <v>76</v>
      </c>
      <c r="J1414" t="s">
        <v>77</v>
      </c>
      <c r="K1414" t="s">
        <v>78</v>
      </c>
      <c r="L1414" t="s">
        <v>130</v>
      </c>
      <c r="M1414" t="s">
        <v>131</v>
      </c>
      <c r="N1414" t="s">
        <v>451</v>
      </c>
      <c r="O1414" t="s">
        <v>82</v>
      </c>
      <c r="P1414" t="str">
        <f>"4170043328                    "</f>
        <v xml:space="preserve">4170043328                    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16.32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  <c r="BE1414">
        <v>0</v>
      </c>
      <c r="BF1414">
        <v>0</v>
      </c>
      <c r="BG1414">
        <v>0</v>
      </c>
      <c r="BH1414">
        <v>1</v>
      </c>
      <c r="BI1414">
        <v>1</v>
      </c>
      <c r="BJ1414">
        <v>0.2</v>
      </c>
      <c r="BK1414">
        <v>1</v>
      </c>
      <c r="BL1414">
        <v>54.28</v>
      </c>
      <c r="BM1414">
        <v>8.14</v>
      </c>
      <c r="BN1414">
        <v>62.42</v>
      </c>
      <c r="BO1414">
        <v>62.42</v>
      </c>
      <c r="BQ1414" t="s">
        <v>452</v>
      </c>
      <c r="BR1414" t="s">
        <v>84</v>
      </c>
      <c r="BS1414" s="3">
        <v>45819</v>
      </c>
      <c r="BT1414" s="4">
        <v>0.3888888888888889</v>
      </c>
      <c r="BU1414" t="s">
        <v>2054</v>
      </c>
      <c r="BV1414" t="s">
        <v>86</v>
      </c>
      <c r="BY1414">
        <v>1200</v>
      </c>
      <c r="CA1414" t="s">
        <v>135</v>
      </c>
      <c r="CC1414" t="s">
        <v>131</v>
      </c>
      <c r="CD1414">
        <v>1459</v>
      </c>
      <c r="CE1414" t="s">
        <v>215</v>
      </c>
      <c r="CF1414" s="3">
        <v>45820</v>
      </c>
      <c r="CI1414">
        <v>1</v>
      </c>
      <c r="CJ1414">
        <v>1</v>
      </c>
      <c r="CK1414">
        <v>22</v>
      </c>
      <c r="CL1414" t="s">
        <v>90</v>
      </c>
    </row>
    <row r="1415" spans="1:90" x14ac:dyDescent="0.3">
      <c r="A1415" t="s">
        <v>72</v>
      </c>
      <c r="B1415" t="s">
        <v>73</v>
      </c>
      <c r="C1415" t="s">
        <v>74</v>
      </c>
      <c r="E1415" t="str">
        <f>"080065875829"</f>
        <v>080065875829</v>
      </c>
      <c r="F1415" s="3">
        <v>45818</v>
      </c>
      <c r="G1415">
        <v>202603</v>
      </c>
      <c r="H1415" t="s">
        <v>75</v>
      </c>
      <c r="I1415" t="s">
        <v>76</v>
      </c>
      <c r="J1415" t="s">
        <v>77</v>
      </c>
      <c r="K1415" t="s">
        <v>78</v>
      </c>
      <c r="L1415" t="s">
        <v>91</v>
      </c>
      <c r="M1415" t="s">
        <v>92</v>
      </c>
      <c r="N1415" t="s">
        <v>841</v>
      </c>
      <c r="O1415" t="s">
        <v>94</v>
      </c>
      <c r="P1415" t="str">
        <f>"009943879272                  "</f>
        <v xml:space="preserve">009943879272                  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53.76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</v>
      </c>
      <c r="AX1415">
        <v>0</v>
      </c>
      <c r="AY1415">
        <v>0</v>
      </c>
      <c r="AZ1415">
        <v>0</v>
      </c>
      <c r="BA1415">
        <v>0</v>
      </c>
      <c r="BB1415">
        <v>0</v>
      </c>
      <c r="BC1415">
        <v>0</v>
      </c>
      <c r="BD1415">
        <v>0</v>
      </c>
      <c r="BE1415">
        <v>0</v>
      </c>
      <c r="BF1415">
        <v>0</v>
      </c>
      <c r="BG1415">
        <v>0</v>
      </c>
      <c r="BH1415">
        <v>2</v>
      </c>
      <c r="BI1415">
        <v>23</v>
      </c>
      <c r="BJ1415">
        <v>13.9</v>
      </c>
      <c r="BK1415">
        <v>23</v>
      </c>
      <c r="BL1415">
        <v>184.35</v>
      </c>
      <c r="BM1415">
        <v>27.65</v>
      </c>
      <c r="BN1415">
        <v>212</v>
      </c>
      <c r="BO1415">
        <v>212</v>
      </c>
      <c r="BQ1415" t="s">
        <v>842</v>
      </c>
      <c r="BR1415" t="s">
        <v>84</v>
      </c>
      <c r="BS1415" t="s">
        <v>189</v>
      </c>
      <c r="BY1415">
        <v>69456</v>
      </c>
      <c r="CC1415" t="s">
        <v>92</v>
      </c>
      <c r="CD1415">
        <v>7535</v>
      </c>
      <c r="CE1415" t="s">
        <v>166</v>
      </c>
      <c r="CI1415">
        <v>3</v>
      </c>
      <c r="CJ1415" t="s">
        <v>189</v>
      </c>
      <c r="CK1415">
        <v>41</v>
      </c>
      <c r="CL1415" t="s">
        <v>90</v>
      </c>
    </row>
    <row r="1416" spans="1:90" x14ac:dyDescent="0.3">
      <c r="A1416" t="s">
        <v>72</v>
      </c>
      <c r="B1416" t="s">
        <v>73</v>
      </c>
      <c r="C1416" t="s">
        <v>74</v>
      </c>
      <c r="E1416" t="str">
        <f>"080065875868"</f>
        <v>080065875868</v>
      </c>
      <c r="F1416" s="3">
        <v>45818</v>
      </c>
      <c r="G1416">
        <v>202603</v>
      </c>
      <c r="H1416" t="s">
        <v>75</v>
      </c>
      <c r="I1416" t="s">
        <v>76</v>
      </c>
      <c r="J1416" t="s">
        <v>77</v>
      </c>
      <c r="K1416" t="s">
        <v>78</v>
      </c>
      <c r="L1416" t="s">
        <v>116</v>
      </c>
      <c r="M1416" t="s">
        <v>117</v>
      </c>
      <c r="N1416" t="s">
        <v>936</v>
      </c>
      <c r="O1416" t="s">
        <v>82</v>
      </c>
      <c r="P1416" t="str">
        <f>"4170043135                    "</f>
        <v xml:space="preserve">4170043135                    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20.9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</v>
      </c>
      <c r="AX1416">
        <v>0</v>
      </c>
      <c r="AY1416">
        <v>0</v>
      </c>
      <c r="AZ1416">
        <v>0</v>
      </c>
      <c r="BA1416">
        <v>0</v>
      </c>
      <c r="BB1416">
        <v>0</v>
      </c>
      <c r="BC1416">
        <v>0</v>
      </c>
      <c r="BD1416">
        <v>0</v>
      </c>
      <c r="BE1416">
        <v>0</v>
      </c>
      <c r="BF1416">
        <v>0</v>
      </c>
      <c r="BG1416">
        <v>0</v>
      </c>
      <c r="BH1416">
        <v>1</v>
      </c>
      <c r="BI1416">
        <v>1</v>
      </c>
      <c r="BJ1416">
        <v>0.2</v>
      </c>
      <c r="BK1416">
        <v>1</v>
      </c>
      <c r="BL1416">
        <v>69.5</v>
      </c>
      <c r="BM1416">
        <v>10.43</v>
      </c>
      <c r="BN1416">
        <v>79.930000000000007</v>
      </c>
      <c r="BO1416">
        <v>79.930000000000007</v>
      </c>
      <c r="BQ1416" t="s">
        <v>937</v>
      </c>
      <c r="BR1416" t="s">
        <v>84</v>
      </c>
      <c r="BS1416" s="3">
        <v>45819</v>
      </c>
      <c r="BT1416" s="4">
        <v>0.4236111111111111</v>
      </c>
      <c r="BU1416" t="s">
        <v>1889</v>
      </c>
      <c r="BV1416" t="s">
        <v>86</v>
      </c>
      <c r="BY1416">
        <v>1200</v>
      </c>
      <c r="CA1416" t="s">
        <v>939</v>
      </c>
      <c r="CC1416" t="s">
        <v>117</v>
      </c>
      <c r="CD1416">
        <v>3201</v>
      </c>
      <c r="CE1416" t="s">
        <v>215</v>
      </c>
      <c r="CF1416" s="3">
        <v>45819</v>
      </c>
      <c r="CI1416">
        <v>1</v>
      </c>
      <c r="CJ1416">
        <v>1</v>
      </c>
      <c r="CK1416">
        <v>21</v>
      </c>
      <c r="CL1416" t="s">
        <v>90</v>
      </c>
    </row>
    <row r="1417" spans="1:90" x14ac:dyDescent="0.3">
      <c r="A1417" t="s">
        <v>72</v>
      </c>
      <c r="B1417" t="s">
        <v>73</v>
      </c>
      <c r="C1417" t="s">
        <v>74</v>
      </c>
      <c r="E1417" t="str">
        <f>"080065875899"</f>
        <v>080065875899</v>
      </c>
      <c r="F1417" s="3">
        <v>45818</v>
      </c>
      <c r="G1417">
        <v>202603</v>
      </c>
      <c r="H1417" t="s">
        <v>75</v>
      </c>
      <c r="I1417" t="s">
        <v>76</v>
      </c>
      <c r="J1417" t="s">
        <v>77</v>
      </c>
      <c r="K1417" t="s">
        <v>78</v>
      </c>
      <c r="L1417" t="s">
        <v>331</v>
      </c>
      <c r="M1417" t="s">
        <v>332</v>
      </c>
      <c r="N1417" t="s">
        <v>484</v>
      </c>
      <c r="O1417" t="s">
        <v>82</v>
      </c>
      <c r="P1417" t="str">
        <f>"4170043132                    "</f>
        <v xml:space="preserve">4170043132                    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20.9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  <c r="BB1417">
        <v>0</v>
      </c>
      <c r="BC1417">
        <v>0</v>
      </c>
      <c r="BD1417">
        <v>0</v>
      </c>
      <c r="BE1417">
        <v>0</v>
      </c>
      <c r="BF1417">
        <v>0</v>
      </c>
      <c r="BG1417">
        <v>0</v>
      </c>
      <c r="BH1417">
        <v>1</v>
      </c>
      <c r="BI1417">
        <v>1</v>
      </c>
      <c r="BJ1417">
        <v>0.2</v>
      </c>
      <c r="BK1417">
        <v>1</v>
      </c>
      <c r="BL1417">
        <v>69.5</v>
      </c>
      <c r="BM1417">
        <v>10.43</v>
      </c>
      <c r="BN1417">
        <v>79.930000000000007</v>
      </c>
      <c r="BO1417">
        <v>79.930000000000007</v>
      </c>
      <c r="BQ1417" t="s">
        <v>485</v>
      </c>
      <c r="BR1417" t="s">
        <v>84</v>
      </c>
      <c r="BS1417" s="3">
        <v>45819</v>
      </c>
      <c r="BT1417" s="4">
        <v>0.45624999999999999</v>
      </c>
      <c r="BU1417" t="s">
        <v>1441</v>
      </c>
      <c r="BV1417" t="s">
        <v>90</v>
      </c>
      <c r="BY1417">
        <v>1200</v>
      </c>
      <c r="CA1417" t="s">
        <v>418</v>
      </c>
      <c r="CC1417" t="s">
        <v>332</v>
      </c>
      <c r="CD1417">
        <v>4052</v>
      </c>
      <c r="CE1417" t="s">
        <v>215</v>
      </c>
      <c r="CI1417">
        <v>1</v>
      </c>
      <c r="CJ1417">
        <v>1</v>
      </c>
      <c r="CK1417">
        <v>21</v>
      </c>
      <c r="CL1417" t="s">
        <v>90</v>
      </c>
    </row>
    <row r="1418" spans="1:90" x14ac:dyDescent="0.3">
      <c r="A1418" t="s">
        <v>72</v>
      </c>
      <c r="B1418" t="s">
        <v>73</v>
      </c>
      <c r="C1418" t="s">
        <v>74</v>
      </c>
      <c r="E1418" t="str">
        <f>"080065875897"</f>
        <v>080065875897</v>
      </c>
      <c r="F1418" s="3">
        <v>45818</v>
      </c>
      <c r="G1418">
        <v>202603</v>
      </c>
      <c r="H1418" t="s">
        <v>75</v>
      </c>
      <c r="I1418" t="s">
        <v>76</v>
      </c>
      <c r="J1418" t="s">
        <v>77</v>
      </c>
      <c r="K1418" t="s">
        <v>78</v>
      </c>
      <c r="L1418" t="s">
        <v>116</v>
      </c>
      <c r="M1418" t="s">
        <v>117</v>
      </c>
      <c r="N1418" t="s">
        <v>183</v>
      </c>
      <c r="O1418" t="s">
        <v>94</v>
      </c>
      <c r="P1418" t="str">
        <f>"4170043204                    "</f>
        <v xml:space="preserve">4170043204                    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40.409999999999997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  <c r="BE1418">
        <v>0</v>
      </c>
      <c r="BF1418">
        <v>0</v>
      </c>
      <c r="BG1418">
        <v>0</v>
      </c>
      <c r="BH1418">
        <v>1</v>
      </c>
      <c r="BI1418">
        <v>14</v>
      </c>
      <c r="BJ1418">
        <v>14.1</v>
      </c>
      <c r="BK1418">
        <v>15</v>
      </c>
      <c r="BL1418">
        <v>139.96</v>
      </c>
      <c r="BM1418">
        <v>20.99</v>
      </c>
      <c r="BN1418">
        <v>160.94999999999999</v>
      </c>
      <c r="BO1418">
        <v>160.94999999999999</v>
      </c>
      <c r="BQ1418" t="s">
        <v>184</v>
      </c>
      <c r="BR1418" t="s">
        <v>84</v>
      </c>
      <c r="BS1418" s="3">
        <v>45819</v>
      </c>
      <c r="BT1418" s="4">
        <v>0.57291666666666663</v>
      </c>
      <c r="BU1418" t="s">
        <v>1278</v>
      </c>
      <c r="BV1418" t="s">
        <v>86</v>
      </c>
      <c r="BY1418">
        <v>70560</v>
      </c>
      <c r="CA1418" t="s">
        <v>186</v>
      </c>
      <c r="CC1418" t="s">
        <v>117</v>
      </c>
      <c r="CD1418">
        <v>3212</v>
      </c>
      <c r="CE1418" t="s">
        <v>687</v>
      </c>
      <c r="CF1418" s="3">
        <v>45819</v>
      </c>
      <c r="CI1418">
        <v>3</v>
      </c>
      <c r="CJ1418">
        <v>1</v>
      </c>
      <c r="CK1418">
        <v>41</v>
      </c>
      <c r="CL1418" t="s">
        <v>90</v>
      </c>
    </row>
    <row r="1419" spans="1:90" x14ac:dyDescent="0.3">
      <c r="A1419" t="s">
        <v>72</v>
      </c>
      <c r="B1419" t="s">
        <v>73</v>
      </c>
      <c r="C1419" t="s">
        <v>74</v>
      </c>
      <c r="E1419" t="str">
        <f>"080065875943"</f>
        <v>080065875943</v>
      </c>
      <c r="F1419" s="3">
        <v>45818</v>
      </c>
      <c r="G1419">
        <v>202603</v>
      </c>
      <c r="H1419" t="s">
        <v>75</v>
      </c>
      <c r="I1419" t="s">
        <v>76</v>
      </c>
      <c r="J1419" t="s">
        <v>77</v>
      </c>
      <c r="K1419" t="s">
        <v>78</v>
      </c>
      <c r="L1419" t="s">
        <v>75</v>
      </c>
      <c r="M1419" t="s">
        <v>76</v>
      </c>
      <c r="N1419" t="s">
        <v>525</v>
      </c>
      <c r="O1419" t="s">
        <v>82</v>
      </c>
      <c r="P1419" t="str">
        <f>"4170042375                    "</f>
        <v xml:space="preserve">4170042375                    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16.32</v>
      </c>
      <c r="AR1419">
        <v>0</v>
      </c>
      <c r="AS1419">
        <v>0</v>
      </c>
      <c r="AT1419">
        <v>0</v>
      </c>
      <c r="AU1419">
        <v>0</v>
      </c>
      <c r="AV1419">
        <v>0</v>
      </c>
      <c r="AW1419">
        <v>0</v>
      </c>
      <c r="AX1419">
        <v>0</v>
      </c>
      <c r="AY1419">
        <v>0</v>
      </c>
      <c r="AZ1419">
        <v>0</v>
      </c>
      <c r="BA1419">
        <v>0</v>
      </c>
      <c r="BB1419">
        <v>0</v>
      </c>
      <c r="BC1419">
        <v>0</v>
      </c>
      <c r="BD1419">
        <v>0</v>
      </c>
      <c r="BE1419">
        <v>0</v>
      </c>
      <c r="BF1419">
        <v>0</v>
      </c>
      <c r="BG1419">
        <v>0</v>
      </c>
      <c r="BH1419">
        <v>1</v>
      </c>
      <c r="BI1419">
        <v>1</v>
      </c>
      <c r="BJ1419">
        <v>0.2</v>
      </c>
      <c r="BK1419">
        <v>1</v>
      </c>
      <c r="BL1419">
        <v>54.28</v>
      </c>
      <c r="BM1419">
        <v>8.14</v>
      </c>
      <c r="BN1419">
        <v>62.42</v>
      </c>
      <c r="BO1419">
        <v>62.42</v>
      </c>
      <c r="BQ1419" t="s">
        <v>526</v>
      </c>
      <c r="BR1419" t="s">
        <v>84</v>
      </c>
      <c r="BS1419" s="3">
        <v>45819</v>
      </c>
      <c r="BT1419" s="4">
        <v>0.33402777777777776</v>
      </c>
      <c r="BU1419" t="s">
        <v>1907</v>
      </c>
      <c r="BV1419" t="s">
        <v>86</v>
      </c>
      <c r="BY1419">
        <v>1200</v>
      </c>
      <c r="CA1419" t="s">
        <v>1022</v>
      </c>
      <c r="CC1419" t="s">
        <v>76</v>
      </c>
      <c r="CD1419">
        <v>1645</v>
      </c>
      <c r="CE1419" t="s">
        <v>215</v>
      </c>
      <c r="CF1419" s="3">
        <v>45819</v>
      </c>
      <c r="CI1419">
        <v>1</v>
      </c>
      <c r="CJ1419">
        <v>1</v>
      </c>
      <c r="CK1419">
        <v>22</v>
      </c>
      <c r="CL1419" t="s">
        <v>90</v>
      </c>
    </row>
    <row r="1420" spans="1:90" x14ac:dyDescent="0.3">
      <c r="A1420" t="s">
        <v>72</v>
      </c>
      <c r="B1420" t="s">
        <v>73</v>
      </c>
      <c r="C1420" t="s">
        <v>74</v>
      </c>
      <c r="E1420" t="str">
        <f>"080065875971"</f>
        <v>080065875971</v>
      </c>
      <c r="F1420" s="3">
        <v>45818</v>
      </c>
      <c r="G1420">
        <v>202603</v>
      </c>
      <c r="H1420" t="s">
        <v>75</v>
      </c>
      <c r="I1420" t="s">
        <v>76</v>
      </c>
      <c r="J1420" t="s">
        <v>77</v>
      </c>
      <c r="K1420" t="s">
        <v>78</v>
      </c>
      <c r="L1420" t="s">
        <v>91</v>
      </c>
      <c r="M1420" t="s">
        <v>92</v>
      </c>
      <c r="N1420" t="s">
        <v>763</v>
      </c>
      <c r="O1420" t="s">
        <v>82</v>
      </c>
      <c r="P1420" t="str">
        <f>"4170043276                    "</f>
        <v xml:space="preserve">4170043276                    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93.98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  <c r="BB1420">
        <v>0</v>
      </c>
      <c r="BC1420">
        <v>0</v>
      </c>
      <c r="BD1420">
        <v>0</v>
      </c>
      <c r="BE1420">
        <v>0</v>
      </c>
      <c r="BF1420">
        <v>0</v>
      </c>
      <c r="BG1420">
        <v>0</v>
      </c>
      <c r="BH1420">
        <v>1</v>
      </c>
      <c r="BI1420">
        <v>9</v>
      </c>
      <c r="BJ1420">
        <v>8.9</v>
      </c>
      <c r="BK1420">
        <v>9</v>
      </c>
      <c r="BL1420">
        <v>312.54000000000002</v>
      </c>
      <c r="BM1420">
        <v>46.88</v>
      </c>
      <c r="BN1420">
        <v>359.42</v>
      </c>
      <c r="BO1420">
        <v>359.42</v>
      </c>
      <c r="BQ1420" t="s">
        <v>764</v>
      </c>
      <c r="BR1420" t="s">
        <v>84</v>
      </c>
      <c r="BS1420" s="3">
        <v>45819</v>
      </c>
      <c r="BT1420" s="4">
        <v>0.50069444444444444</v>
      </c>
      <c r="BU1420" t="s">
        <v>765</v>
      </c>
      <c r="BV1420" t="s">
        <v>90</v>
      </c>
      <c r="BW1420" t="s">
        <v>1209</v>
      </c>
      <c r="BX1420" t="s">
        <v>199</v>
      </c>
      <c r="BY1420">
        <v>44460</v>
      </c>
      <c r="CA1420" t="s">
        <v>767</v>
      </c>
      <c r="CC1420" t="s">
        <v>92</v>
      </c>
      <c r="CD1420">
        <v>7550</v>
      </c>
      <c r="CE1420" t="s">
        <v>122</v>
      </c>
      <c r="CI1420">
        <v>1</v>
      </c>
      <c r="CJ1420">
        <v>1</v>
      </c>
      <c r="CK1420">
        <v>21</v>
      </c>
      <c r="CL1420" t="s">
        <v>90</v>
      </c>
    </row>
    <row r="1421" spans="1:90" x14ac:dyDescent="0.3">
      <c r="A1421" t="s">
        <v>72</v>
      </c>
      <c r="B1421" t="s">
        <v>73</v>
      </c>
      <c r="C1421" t="s">
        <v>74</v>
      </c>
      <c r="E1421" t="str">
        <f>"080065875979"</f>
        <v>080065875979</v>
      </c>
      <c r="F1421" s="3">
        <v>45818</v>
      </c>
      <c r="G1421">
        <v>202603</v>
      </c>
      <c r="H1421" t="s">
        <v>75</v>
      </c>
      <c r="I1421" t="s">
        <v>76</v>
      </c>
      <c r="J1421" t="s">
        <v>77</v>
      </c>
      <c r="K1421" t="s">
        <v>78</v>
      </c>
      <c r="L1421" t="s">
        <v>91</v>
      </c>
      <c r="M1421" t="s">
        <v>92</v>
      </c>
      <c r="N1421" t="s">
        <v>778</v>
      </c>
      <c r="O1421" t="s">
        <v>82</v>
      </c>
      <c r="P1421" t="str">
        <f>"4170043157                    "</f>
        <v xml:space="preserve">4170043157                    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20.9</v>
      </c>
      <c r="AR1421">
        <v>0</v>
      </c>
      <c r="AS1421">
        <v>0</v>
      </c>
      <c r="AT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>
        <v>0</v>
      </c>
      <c r="BD1421">
        <v>0</v>
      </c>
      <c r="BE1421">
        <v>0</v>
      </c>
      <c r="BF1421">
        <v>0</v>
      </c>
      <c r="BG1421">
        <v>0</v>
      </c>
      <c r="BH1421">
        <v>1</v>
      </c>
      <c r="BI1421">
        <v>1</v>
      </c>
      <c r="BJ1421">
        <v>0.2</v>
      </c>
      <c r="BK1421">
        <v>1</v>
      </c>
      <c r="BL1421">
        <v>69.5</v>
      </c>
      <c r="BM1421">
        <v>10.43</v>
      </c>
      <c r="BN1421">
        <v>79.930000000000007</v>
      </c>
      <c r="BO1421">
        <v>79.930000000000007</v>
      </c>
      <c r="BQ1421" t="s">
        <v>779</v>
      </c>
      <c r="BR1421" t="s">
        <v>84</v>
      </c>
      <c r="BS1421" s="3">
        <v>45819</v>
      </c>
      <c r="BT1421" s="4">
        <v>0.42222222222222222</v>
      </c>
      <c r="BU1421" t="s">
        <v>2055</v>
      </c>
      <c r="BV1421" t="s">
        <v>86</v>
      </c>
      <c r="BY1421">
        <v>1200</v>
      </c>
      <c r="CA1421" t="s">
        <v>780</v>
      </c>
      <c r="CC1421" t="s">
        <v>92</v>
      </c>
      <c r="CD1421">
        <v>7800</v>
      </c>
      <c r="CE1421" t="s">
        <v>215</v>
      </c>
      <c r="CF1421" s="3">
        <v>45820</v>
      </c>
      <c r="CI1421">
        <v>1</v>
      </c>
      <c r="CJ1421">
        <v>1</v>
      </c>
      <c r="CK1421">
        <v>21</v>
      </c>
      <c r="CL1421" t="s">
        <v>90</v>
      </c>
    </row>
    <row r="1422" spans="1:90" x14ac:dyDescent="0.3">
      <c r="A1422" t="s">
        <v>72</v>
      </c>
      <c r="B1422" t="s">
        <v>73</v>
      </c>
      <c r="C1422" t="s">
        <v>74</v>
      </c>
      <c r="E1422" t="str">
        <f>"080065876000"</f>
        <v>080065876000</v>
      </c>
      <c r="F1422" s="3">
        <v>45818</v>
      </c>
      <c r="G1422">
        <v>202603</v>
      </c>
      <c r="H1422" t="s">
        <v>75</v>
      </c>
      <c r="I1422" t="s">
        <v>76</v>
      </c>
      <c r="J1422" t="s">
        <v>77</v>
      </c>
      <c r="K1422" t="s">
        <v>78</v>
      </c>
      <c r="L1422" t="s">
        <v>159</v>
      </c>
      <c r="M1422" t="s">
        <v>160</v>
      </c>
      <c r="N1422" t="s">
        <v>2012</v>
      </c>
      <c r="O1422" t="s">
        <v>82</v>
      </c>
      <c r="P1422" t="str">
        <f>"4170043320                    "</f>
        <v xml:space="preserve">4170043320                    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20.9</v>
      </c>
      <c r="AR1422">
        <v>0</v>
      </c>
      <c r="AS1422">
        <v>0</v>
      </c>
      <c r="AT1422">
        <v>0</v>
      </c>
      <c r="AU1422">
        <v>0</v>
      </c>
      <c r="AV1422">
        <v>0</v>
      </c>
      <c r="AW1422">
        <v>16.739999999999998</v>
      </c>
      <c r="AX1422">
        <v>0</v>
      </c>
      <c r="AY1422">
        <v>0</v>
      </c>
      <c r="AZ1422">
        <v>0</v>
      </c>
      <c r="BA1422">
        <v>0</v>
      </c>
      <c r="BB1422">
        <v>0</v>
      </c>
      <c r="BC1422">
        <v>0</v>
      </c>
      <c r="BD1422">
        <v>0</v>
      </c>
      <c r="BE1422">
        <v>0</v>
      </c>
      <c r="BF1422">
        <v>0</v>
      </c>
      <c r="BG1422">
        <v>0</v>
      </c>
      <c r="BH1422">
        <v>1</v>
      </c>
      <c r="BI1422">
        <v>1</v>
      </c>
      <c r="BJ1422">
        <v>0.6</v>
      </c>
      <c r="BK1422">
        <v>1</v>
      </c>
      <c r="BL1422">
        <v>86.24</v>
      </c>
      <c r="BM1422">
        <v>12.94</v>
      </c>
      <c r="BN1422">
        <v>99.18</v>
      </c>
      <c r="BO1422">
        <v>99.18</v>
      </c>
      <c r="BQ1422" t="s">
        <v>2013</v>
      </c>
      <c r="BR1422" t="s">
        <v>84</v>
      </c>
      <c r="BS1422" s="3">
        <v>45819</v>
      </c>
      <c r="BT1422" s="4">
        <v>0.48333333333333334</v>
      </c>
      <c r="BU1422" t="s">
        <v>2014</v>
      </c>
      <c r="BV1422" t="s">
        <v>90</v>
      </c>
      <c r="BY1422">
        <v>3192</v>
      </c>
      <c r="BZ1422" t="s">
        <v>30</v>
      </c>
      <c r="CA1422" t="s">
        <v>2015</v>
      </c>
      <c r="CC1422" t="s">
        <v>160</v>
      </c>
      <c r="CD1422">
        <v>1821</v>
      </c>
      <c r="CE1422" t="s">
        <v>687</v>
      </c>
      <c r="CI1422">
        <v>0</v>
      </c>
      <c r="CJ1422">
        <v>0</v>
      </c>
      <c r="CK1422">
        <v>21</v>
      </c>
      <c r="CL1422" t="s">
        <v>90</v>
      </c>
    </row>
    <row r="1423" spans="1:90" x14ac:dyDescent="0.3">
      <c r="A1423" t="s">
        <v>72</v>
      </c>
      <c r="B1423" t="s">
        <v>73</v>
      </c>
      <c r="C1423" t="s">
        <v>74</v>
      </c>
      <c r="E1423" t="str">
        <f>"080065876005"</f>
        <v>080065876005</v>
      </c>
      <c r="F1423" s="3">
        <v>45818</v>
      </c>
      <c r="G1423">
        <v>202603</v>
      </c>
      <c r="H1423" t="s">
        <v>75</v>
      </c>
      <c r="I1423" t="s">
        <v>76</v>
      </c>
      <c r="J1423" t="s">
        <v>77</v>
      </c>
      <c r="K1423" t="s">
        <v>78</v>
      </c>
      <c r="L1423" t="s">
        <v>302</v>
      </c>
      <c r="M1423" t="s">
        <v>303</v>
      </c>
      <c r="N1423" t="s">
        <v>2056</v>
      </c>
      <c r="O1423" t="s">
        <v>82</v>
      </c>
      <c r="P1423" t="str">
        <f>"4170043147                    "</f>
        <v xml:space="preserve">4170043147                    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40.49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</v>
      </c>
      <c r="AX1423">
        <v>0</v>
      </c>
      <c r="AY1423">
        <v>0</v>
      </c>
      <c r="AZ1423">
        <v>0</v>
      </c>
      <c r="BA1423">
        <v>0</v>
      </c>
      <c r="BB1423">
        <v>0</v>
      </c>
      <c r="BC1423">
        <v>0</v>
      </c>
      <c r="BD1423">
        <v>0</v>
      </c>
      <c r="BE1423">
        <v>0</v>
      </c>
      <c r="BF1423">
        <v>0</v>
      </c>
      <c r="BG1423">
        <v>0</v>
      </c>
      <c r="BH1423">
        <v>1</v>
      </c>
      <c r="BI1423">
        <v>1</v>
      </c>
      <c r="BJ1423">
        <v>0.2</v>
      </c>
      <c r="BK1423">
        <v>1</v>
      </c>
      <c r="BL1423">
        <v>134.65</v>
      </c>
      <c r="BM1423">
        <v>20.2</v>
      </c>
      <c r="BN1423">
        <v>154.85</v>
      </c>
      <c r="BO1423">
        <v>154.85</v>
      </c>
      <c r="BQ1423" t="s">
        <v>2057</v>
      </c>
      <c r="BR1423" t="s">
        <v>84</v>
      </c>
      <c r="BS1423" s="3">
        <v>45819</v>
      </c>
      <c r="BT1423" s="4">
        <v>0.38472222222222224</v>
      </c>
      <c r="BU1423" t="s">
        <v>2058</v>
      </c>
      <c r="BV1423" t="s">
        <v>86</v>
      </c>
      <c r="BY1423">
        <v>1200</v>
      </c>
      <c r="CC1423" t="s">
        <v>303</v>
      </c>
      <c r="CD1423">
        <v>299</v>
      </c>
      <c r="CE1423" t="s">
        <v>215</v>
      </c>
      <c r="CI1423">
        <v>1</v>
      </c>
      <c r="CJ1423">
        <v>1</v>
      </c>
      <c r="CK1423">
        <v>23</v>
      </c>
      <c r="CL1423" t="s">
        <v>90</v>
      </c>
    </row>
    <row r="1424" spans="1:90" x14ac:dyDescent="0.3">
      <c r="A1424" t="s">
        <v>72</v>
      </c>
      <c r="B1424" t="s">
        <v>73</v>
      </c>
      <c r="C1424" t="s">
        <v>74</v>
      </c>
      <c r="E1424" t="str">
        <f>"080065876032"</f>
        <v>080065876032</v>
      </c>
      <c r="F1424" s="3">
        <v>45818</v>
      </c>
      <c r="G1424">
        <v>202603</v>
      </c>
      <c r="H1424" t="s">
        <v>75</v>
      </c>
      <c r="I1424" t="s">
        <v>76</v>
      </c>
      <c r="J1424" t="s">
        <v>77</v>
      </c>
      <c r="K1424" t="s">
        <v>78</v>
      </c>
      <c r="L1424" t="s">
        <v>474</v>
      </c>
      <c r="M1424" t="s">
        <v>475</v>
      </c>
      <c r="N1424" t="s">
        <v>476</v>
      </c>
      <c r="O1424" t="s">
        <v>82</v>
      </c>
      <c r="P1424" t="str">
        <f>"4170043342                    "</f>
        <v xml:space="preserve">4170043342                    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40.49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  <c r="BB1424">
        <v>0</v>
      </c>
      <c r="BC1424">
        <v>0</v>
      </c>
      <c r="BD1424">
        <v>0</v>
      </c>
      <c r="BE1424">
        <v>0</v>
      </c>
      <c r="BF1424">
        <v>0</v>
      </c>
      <c r="BG1424">
        <v>0</v>
      </c>
      <c r="BH1424">
        <v>1</v>
      </c>
      <c r="BI1424">
        <v>1</v>
      </c>
      <c r="BJ1424">
        <v>0.2</v>
      </c>
      <c r="BK1424">
        <v>1</v>
      </c>
      <c r="BL1424">
        <v>134.65</v>
      </c>
      <c r="BM1424">
        <v>20.2</v>
      </c>
      <c r="BN1424">
        <v>154.85</v>
      </c>
      <c r="BO1424">
        <v>154.85</v>
      </c>
      <c r="BQ1424" t="s">
        <v>477</v>
      </c>
      <c r="BR1424" t="s">
        <v>84</v>
      </c>
      <c r="BS1424" s="3">
        <v>45819</v>
      </c>
      <c r="BT1424" s="4">
        <v>0.49305555555555558</v>
      </c>
      <c r="BU1424" t="s">
        <v>2059</v>
      </c>
      <c r="BV1424" t="s">
        <v>86</v>
      </c>
      <c r="BY1424">
        <v>1200</v>
      </c>
      <c r="BZ1424" t="s">
        <v>87</v>
      </c>
      <c r="CC1424" t="s">
        <v>475</v>
      </c>
      <c r="CD1424">
        <v>6715</v>
      </c>
      <c r="CE1424" t="s">
        <v>89</v>
      </c>
      <c r="CI1424">
        <v>2</v>
      </c>
      <c r="CJ1424">
        <v>1</v>
      </c>
      <c r="CK1424">
        <v>23</v>
      </c>
      <c r="CL1424" t="s">
        <v>90</v>
      </c>
    </row>
    <row r="1425" spans="1:90" x14ac:dyDescent="0.3">
      <c r="A1425" t="s">
        <v>72</v>
      </c>
      <c r="B1425" t="s">
        <v>73</v>
      </c>
      <c r="C1425" t="s">
        <v>74</v>
      </c>
      <c r="E1425" t="str">
        <f>"080065876039"</f>
        <v>080065876039</v>
      </c>
      <c r="F1425" s="3">
        <v>45818</v>
      </c>
      <c r="G1425">
        <v>202603</v>
      </c>
      <c r="H1425" t="s">
        <v>75</v>
      </c>
      <c r="I1425" t="s">
        <v>76</v>
      </c>
      <c r="J1425" t="s">
        <v>77</v>
      </c>
      <c r="K1425" t="s">
        <v>78</v>
      </c>
      <c r="L1425" t="s">
        <v>106</v>
      </c>
      <c r="M1425" t="s">
        <v>107</v>
      </c>
      <c r="N1425" t="s">
        <v>1584</v>
      </c>
      <c r="O1425" t="s">
        <v>94</v>
      </c>
      <c r="P1425" t="str">
        <f>"4170043274                    "</f>
        <v xml:space="preserve">4170043274                    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50.42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</v>
      </c>
      <c r="AX1425">
        <v>0</v>
      </c>
      <c r="AY1425">
        <v>0</v>
      </c>
      <c r="AZ1425">
        <v>0</v>
      </c>
      <c r="BA1425">
        <v>0</v>
      </c>
      <c r="BB1425">
        <v>0</v>
      </c>
      <c r="BC1425">
        <v>0</v>
      </c>
      <c r="BD1425">
        <v>0</v>
      </c>
      <c r="BE1425">
        <v>0</v>
      </c>
      <c r="BF1425">
        <v>0</v>
      </c>
      <c r="BG1425">
        <v>0</v>
      </c>
      <c r="BH1425">
        <v>1</v>
      </c>
      <c r="BI1425">
        <v>13</v>
      </c>
      <c r="BJ1425">
        <v>20.5</v>
      </c>
      <c r="BK1425">
        <v>21</v>
      </c>
      <c r="BL1425">
        <v>173.25</v>
      </c>
      <c r="BM1425">
        <v>25.99</v>
      </c>
      <c r="BN1425">
        <v>199.24</v>
      </c>
      <c r="BO1425">
        <v>199.24</v>
      </c>
      <c r="BQ1425" t="s">
        <v>1585</v>
      </c>
      <c r="BR1425" t="s">
        <v>84</v>
      </c>
      <c r="BS1425" s="3">
        <v>45819</v>
      </c>
      <c r="BT1425" s="4">
        <v>0.43680555555555556</v>
      </c>
      <c r="BU1425" t="s">
        <v>2060</v>
      </c>
      <c r="BV1425" t="s">
        <v>86</v>
      </c>
      <c r="BY1425">
        <v>102541</v>
      </c>
      <c r="CA1425" t="s">
        <v>747</v>
      </c>
      <c r="CC1425" t="s">
        <v>107</v>
      </c>
      <c r="CD1425">
        <v>117</v>
      </c>
      <c r="CE1425" t="s">
        <v>687</v>
      </c>
      <c r="CF1425" s="3">
        <v>45819</v>
      </c>
      <c r="CI1425">
        <v>1</v>
      </c>
      <c r="CJ1425">
        <v>1</v>
      </c>
      <c r="CK1425">
        <v>41</v>
      </c>
      <c r="CL1425" t="s">
        <v>90</v>
      </c>
    </row>
    <row r="1426" spans="1:90" x14ac:dyDescent="0.3">
      <c r="A1426" t="s">
        <v>72</v>
      </c>
      <c r="B1426" t="s">
        <v>73</v>
      </c>
      <c r="C1426" t="s">
        <v>74</v>
      </c>
      <c r="E1426" t="str">
        <f>"080065876061"</f>
        <v>080065876061</v>
      </c>
      <c r="F1426" s="3">
        <v>45818</v>
      </c>
      <c r="G1426">
        <v>202603</v>
      </c>
      <c r="H1426" t="s">
        <v>75</v>
      </c>
      <c r="I1426" t="s">
        <v>76</v>
      </c>
      <c r="J1426" t="s">
        <v>77</v>
      </c>
      <c r="K1426" t="s">
        <v>78</v>
      </c>
      <c r="L1426" t="s">
        <v>75</v>
      </c>
      <c r="M1426" t="s">
        <v>76</v>
      </c>
      <c r="N1426" t="s">
        <v>1002</v>
      </c>
      <c r="O1426" t="s">
        <v>82</v>
      </c>
      <c r="P1426" t="str">
        <f>"4170043173                    "</f>
        <v xml:space="preserve">4170043173                    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16.32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  <c r="BE1426">
        <v>0</v>
      </c>
      <c r="BF1426">
        <v>0</v>
      </c>
      <c r="BG1426">
        <v>0</v>
      </c>
      <c r="BH1426">
        <v>1</v>
      </c>
      <c r="BI1426">
        <v>1</v>
      </c>
      <c r="BJ1426">
        <v>0.2</v>
      </c>
      <c r="BK1426">
        <v>1</v>
      </c>
      <c r="BL1426">
        <v>54.28</v>
      </c>
      <c r="BM1426">
        <v>8.14</v>
      </c>
      <c r="BN1426">
        <v>62.42</v>
      </c>
      <c r="BO1426">
        <v>62.42</v>
      </c>
      <c r="BQ1426" t="s">
        <v>1003</v>
      </c>
      <c r="BR1426" t="s">
        <v>84</v>
      </c>
      <c r="BS1426" s="3">
        <v>45819</v>
      </c>
      <c r="BT1426" s="4">
        <v>0.37638888888888888</v>
      </c>
      <c r="BU1426" t="s">
        <v>2061</v>
      </c>
      <c r="BV1426" t="s">
        <v>86</v>
      </c>
      <c r="BY1426">
        <v>1200</v>
      </c>
      <c r="CA1426" t="s">
        <v>1734</v>
      </c>
      <c r="CC1426" t="s">
        <v>76</v>
      </c>
      <c r="CD1426">
        <v>1666</v>
      </c>
      <c r="CE1426" t="s">
        <v>215</v>
      </c>
      <c r="CF1426" s="3">
        <v>45820</v>
      </c>
      <c r="CI1426">
        <v>1</v>
      </c>
      <c r="CJ1426">
        <v>1</v>
      </c>
      <c r="CK1426">
        <v>22</v>
      </c>
      <c r="CL1426" t="s">
        <v>90</v>
      </c>
    </row>
    <row r="1427" spans="1:90" x14ac:dyDescent="0.3">
      <c r="A1427" t="s">
        <v>72</v>
      </c>
      <c r="B1427" t="s">
        <v>73</v>
      </c>
      <c r="C1427" t="s">
        <v>74</v>
      </c>
      <c r="E1427" t="str">
        <f>"080065876073"</f>
        <v>080065876073</v>
      </c>
      <c r="F1427" s="3">
        <v>45818</v>
      </c>
      <c r="G1427">
        <v>202603</v>
      </c>
      <c r="H1427" t="s">
        <v>75</v>
      </c>
      <c r="I1427" t="s">
        <v>76</v>
      </c>
      <c r="J1427" t="s">
        <v>77</v>
      </c>
      <c r="K1427" t="s">
        <v>78</v>
      </c>
      <c r="L1427" t="s">
        <v>91</v>
      </c>
      <c r="M1427" t="s">
        <v>92</v>
      </c>
      <c r="N1427" t="s">
        <v>763</v>
      </c>
      <c r="O1427" t="s">
        <v>82</v>
      </c>
      <c r="P1427" t="str">
        <f>"4170043206                    "</f>
        <v xml:space="preserve">4170043206                    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Q1427">
        <v>20.9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  <c r="BB1427">
        <v>0</v>
      </c>
      <c r="BC1427">
        <v>0</v>
      </c>
      <c r="BD1427">
        <v>0</v>
      </c>
      <c r="BE1427">
        <v>0</v>
      </c>
      <c r="BF1427">
        <v>0</v>
      </c>
      <c r="BG1427">
        <v>0</v>
      </c>
      <c r="BH1427">
        <v>1</v>
      </c>
      <c r="BI1427">
        <v>1</v>
      </c>
      <c r="BJ1427">
        <v>0.2</v>
      </c>
      <c r="BK1427">
        <v>1</v>
      </c>
      <c r="BL1427">
        <v>69.5</v>
      </c>
      <c r="BM1427">
        <v>10.43</v>
      </c>
      <c r="BN1427">
        <v>79.930000000000007</v>
      </c>
      <c r="BO1427">
        <v>79.930000000000007</v>
      </c>
      <c r="BQ1427" t="s">
        <v>764</v>
      </c>
      <c r="BR1427" t="s">
        <v>84</v>
      </c>
      <c r="BS1427" s="3">
        <v>45819</v>
      </c>
      <c r="BT1427" s="4">
        <v>0.50069444444444444</v>
      </c>
      <c r="BU1427" t="s">
        <v>765</v>
      </c>
      <c r="BV1427" t="s">
        <v>90</v>
      </c>
      <c r="BW1427" t="s">
        <v>1209</v>
      </c>
      <c r="BX1427" t="s">
        <v>199</v>
      </c>
      <c r="BY1427">
        <v>1200</v>
      </c>
      <c r="CA1427" t="s">
        <v>767</v>
      </c>
      <c r="CC1427" t="s">
        <v>92</v>
      </c>
      <c r="CD1427">
        <v>7550</v>
      </c>
      <c r="CE1427" t="s">
        <v>1823</v>
      </c>
      <c r="CI1427">
        <v>1</v>
      </c>
      <c r="CJ1427">
        <v>1</v>
      </c>
      <c r="CK1427">
        <v>21</v>
      </c>
      <c r="CL1427" t="s">
        <v>90</v>
      </c>
    </row>
    <row r="1428" spans="1:90" x14ac:dyDescent="0.3">
      <c r="A1428" t="s">
        <v>72</v>
      </c>
      <c r="B1428" t="s">
        <v>73</v>
      </c>
      <c r="C1428" t="s">
        <v>74</v>
      </c>
      <c r="E1428" t="str">
        <f>"080065876095"</f>
        <v>080065876095</v>
      </c>
      <c r="F1428" s="3">
        <v>45818</v>
      </c>
      <c r="G1428">
        <v>202603</v>
      </c>
      <c r="H1428" t="s">
        <v>75</v>
      </c>
      <c r="I1428" t="s">
        <v>76</v>
      </c>
      <c r="J1428" t="s">
        <v>77</v>
      </c>
      <c r="K1428" t="s">
        <v>78</v>
      </c>
      <c r="L1428" t="s">
        <v>100</v>
      </c>
      <c r="M1428" t="s">
        <v>101</v>
      </c>
      <c r="N1428" t="s">
        <v>123</v>
      </c>
      <c r="O1428" t="s">
        <v>82</v>
      </c>
      <c r="P1428" t="str">
        <f>"4170043258                    "</f>
        <v xml:space="preserve">4170043258                    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20.9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</v>
      </c>
      <c r="AX1428">
        <v>0</v>
      </c>
      <c r="AY1428">
        <v>0</v>
      </c>
      <c r="AZ1428">
        <v>0</v>
      </c>
      <c r="BA1428">
        <v>0</v>
      </c>
      <c r="BB1428">
        <v>0</v>
      </c>
      <c r="BC1428">
        <v>0</v>
      </c>
      <c r="BD1428">
        <v>0</v>
      </c>
      <c r="BE1428">
        <v>0</v>
      </c>
      <c r="BF1428">
        <v>0</v>
      </c>
      <c r="BG1428">
        <v>0</v>
      </c>
      <c r="BH1428">
        <v>1</v>
      </c>
      <c r="BI1428">
        <v>1</v>
      </c>
      <c r="BJ1428">
        <v>0.2</v>
      </c>
      <c r="BK1428">
        <v>1</v>
      </c>
      <c r="BL1428">
        <v>69.5</v>
      </c>
      <c r="BM1428">
        <v>10.43</v>
      </c>
      <c r="BN1428">
        <v>79.930000000000007</v>
      </c>
      <c r="BO1428">
        <v>79.930000000000007</v>
      </c>
      <c r="BQ1428" t="s">
        <v>124</v>
      </c>
      <c r="BR1428" t="s">
        <v>84</v>
      </c>
      <c r="BS1428" s="3">
        <v>45819</v>
      </c>
      <c r="BT1428" s="4">
        <v>0.40902777777777777</v>
      </c>
      <c r="BU1428" t="s">
        <v>688</v>
      </c>
      <c r="BV1428" t="s">
        <v>86</v>
      </c>
      <c r="BY1428">
        <v>1200</v>
      </c>
      <c r="CA1428" t="s">
        <v>235</v>
      </c>
      <c r="CC1428" t="s">
        <v>101</v>
      </c>
      <c r="CD1428">
        <v>6001</v>
      </c>
      <c r="CE1428" t="s">
        <v>215</v>
      </c>
      <c r="CF1428" s="3">
        <v>45819</v>
      </c>
      <c r="CI1428">
        <v>1</v>
      </c>
      <c r="CJ1428">
        <v>1</v>
      </c>
      <c r="CK1428">
        <v>21</v>
      </c>
      <c r="CL1428" t="s">
        <v>90</v>
      </c>
    </row>
    <row r="1429" spans="1:90" x14ac:dyDescent="0.3">
      <c r="A1429" t="s">
        <v>72</v>
      </c>
      <c r="B1429" t="s">
        <v>73</v>
      </c>
      <c r="C1429" t="s">
        <v>74</v>
      </c>
      <c r="E1429" t="str">
        <f>"080065876093"</f>
        <v>080065876093</v>
      </c>
      <c r="F1429" s="3">
        <v>45818</v>
      </c>
      <c r="G1429">
        <v>202603</v>
      </c>
      <c r="H1429" t="s">
        <v>75</v>
      </c>
      <c r="I1429" t="s">
        <v>76</v>
      </c>
      <c r="J1429" t="s">
        <v>77</v>
      </c>
      <c r="K1429" t="s">
        <v>78</v>
      </c>
      <c r="L1429" t="s">
        <v>293</v>
      </c>
      <c r="M1429" t="s">
        <v>294</v>
      </c>
      <c r="N1429" t="s">
        <v>1336</v>
      </c>
      <c r="O1429" t="s">
        <v>82</v>
      </c>
      <c r="P1429" t="str">
        <f>"4170043134                    "</f>
        <v xml:space="preserve">4170043134                    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40.49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  <c r="BB1429">
        <v>0</v>
      </c>
      <c r="BC1429">
        <v>0</v>
      </c>
      <c r="BD1429">
        <v>0</v>
      </c>
      <c r="BE1429">
        <v>0</v>
      </c>
      <c r="BF1429">
        <v>0</v>
      </c>
      <c r="BG1429">
        <v>0</v>
      </c>
      <c r="BH1429">
        <v>1</v>
      </c>
      <c r="BI1429">
        <v>1</v>
      </c>
      <c r="BJ1429">
        <v>0.2</v>
      </c>
      <c r="BK1429">
        <v>1</v>
      </c>
      <c r="BL1429">
        <v>134.65</v>
      </c>
      <c r="BM1429">
        <v>20.2</v>
      </c>
      <c r="BN1429">
        <v>154.85</v>
      </c>
      <c r="BO1429">
        <v>154.85</v>
      </c>
      <c r="BQ1429" t="s">
        <v>1337</v>
      </c>
      <c r="BR1429" t="s">
        <v>84</v>
      </c>
      <c r="BS1429" s="3">
        <v>45819</v>
      </c>
      <c r="BT1429" s="4">
        <v>0.41944444444444445</v>
      </c>
      <c r="BU1429" t="s">
        <v>1390</v>
      </c>
      <c r="BV1429" t="s">
        <v>86</v>
      </c>
      <c r="BY1429">
        <v>1200</v>
      </c>
      <c r="CA1429" t="s">
        <v>945</v>
      </c>
      <c r="CC1429" t="s">
        <v>294</v>
      </c>
      <c r="CD1429">
        <v>1911</v>
      </c>
      <c r="CE1429" t="s">
        <v>215</v>
      </c>
      <c r="CF1429" s="3">
        <v>45819</v>
      </c>
      <c r="CI1429">
        <v>1</v>
      </c>
      <c r="CJ1429">
        <v>1</v>
      </c>
      <c r="CK1429">
        <v>23</v>
      </c>
      <c r="CL1429" t="s">
        <v>90</v>
      </c>
    </row>
    <row r="1430" spans="1:90" x14ac:dyDescent="0.3">
      <c r="A1430" t="s">
        <v>72</v>
      </c>
      <c r="B1430" t="s">
        <v>73</v>
      </c>
      <c r="C1430" t="s">
        <v>74</v>
      </c>
      <c r="E1430" t="str">
        <f>"080065876113"</f>
        <v>080065876113</v>
      </c>
      <c r="F1430" s="3">
        <v>45818</v>
      </c>
      <c r="G1430">
        <v>202603</v>
      </c>
      <c r="H1430" t="s">
        <v>75</v>
      </c>
      <c r="I1430" t="s">
        <v>76</v>
      </c>
      <c r="J1430" t="s">
        <v>77</v>
      </c>
      <c r="K1430" t="s">
        <v>78</v>
      </c>
      <c r="L1430" t="s">
        <v>331</v>
      </c>
      <c r="M1430" t="s">
        <v>332</v>
      </c>
      <c r="N1430" t="s">
        <v>484</v>
      </c>
      <c r="O1430" t="s">
        <v>82</v>
      </c>
      <c r="P1430" t="str">
        <f>"4170043149                    "</f>
        <v xml:space="preserve">4170043149                    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20.9</v>
      </c>
      <c r="AR1430">
        <v>0</v>
      </c>
      <c r="AS1430">
        <v>0</v>
      </c>
      <c r="AT1430">
        <v>0</v>
      </c>
      <c r="AU1430">
        <v>0</v>
      </c>
      <c r="AV1430">
        <v>0</v>
      </c>
      <c r="AW1430">
        <v>0</v>
      </c>
      <c r="AX1430">
        <v>0</v>
      </c>
      <c r="AY1430">
        <v>0</v>
      </c>
      <c r="AZ1430">
        <v>0</v>
      </c>
      <c r="BA1430">
        <v>0</v>
      </c>
      <c r="BB1430">
        <v>0</v>
      </c>
      <c r="BC1430">
        <v>0</v>
      </c>
      <c r="BD1430">
        <v>0</v>
      </c>
      <c r="BE1430">
        <v>0</v>
      </c>
      <c r="BF1430">
        <v>0</v>
      </c>
      <c r="BG1430">
        <v>0</v>
      </c>
      <c r="BH1430">
        <v>1</v>
      </c>
      <c r="BI1430">
        <v>1</v>
      </c>
      <c r="BJ1430">
        <v>0.2</v>
      </c>
      <c r="BK1430">
        <v>1</v>
      </c>
      <c r="BL1430">
        <v>69.5</v>
      </c>
      <c r="BM1430">
        <v>10.43</v>
      </c>
      <c r="BN1430">
        <v>79.930000000000007</v>
      </c>
      <c r="BO1430">
        <v>79.930000000000007</v>
      </c>
      <c r="BQ1430" t="s">
        <v>485</v>
      </c>
      <c r="BR1430" t="s">
        <v>84</v>
      </c>
      <c r="BS1430" s="3">
        <v>45819</v>
      </c>
      <c r="BT1430" s="4">
        <v>0.45624999999999999</v>
      </c>
      <c r="BU1430" t="s">
        <v>1441</v>
      </c>
      <c r="BV1430" t="s">
        <v>90</v>
      </c>
      <c r="BY1430">
        <v>1200</v>
      </c>
      <c r="CA1430" t="s">
        <v>418</v>
      </c>
      <c r="CC1430" t="s">
        <v>332</v>
      </c>
      <c r="CD1430">
        <v>4052</v>
      </c>
      <c r="CE1430" t="s">
        <v>215</v>
      </c>
      <c r="CI1430">
        <v>1</v>
      </c>
      <c r="CJ1430">
        <v>1</v>
      </c>
      <c r="CK1430">
        <v>21</v>
      </c>
      <c r="CL1430" t="s">
        <v>90</v>
      </c>
    </row>
    <row r="1431" spans="1:90" x14ac:dyDescent="0.3">
      <c r="A1431" t="s">
        <v>72</v>
      </c>
      <c r="B1431" t="s">
        <v>73</v>
      </c>
      <c r="C1431" t="s">
        <v>74</v>
      </c>
      <c r="E1431" t="str">
        <f>"080065876121"</f>
        <v>080065876121</v>
      </c>
      <c r="F1431" s="3">
        <v>45818</v>
      </c>
      <c r="G1431">
        <v>202603</v>
      </c>
      <c r="H1431" t="s">
        <v>75</v>
      </c>
      <c r="I1431" t="s">
        <v>76</v>
      </c>
      <c r="J1431" t="s">
        <v>77</v>
      </c>
      <c r="K1431" t="s">
        <v>78</v>
      </c>
      <c r="L1431" t="s">
        <v>100</v>
      </c>
      <c r="M1431" t="s">
        <v>101</v>
      </c>
      <c r="N1431" t="s">
        <v>123</v>
      </c>
      <c r="O1431" t="s">
        <v>82</v>
      </c>
      <c r="P1431" t="str">
        <f>"4170043197                    "</f>
        <v xml:space="preserve">4170043197                    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20.9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  <c r="BB1431">
        <v>0</v>
      </c>
      <c r="BC1431">
        <v>0</v>
      </c>
      <c r="BD1431">
        <v>0</v>
      </c>
      <c r="BE1431">
        <v>0</v>
      </c>
      <c r="BF1431">
        <v>0</v>
      </c>
      <c r="BG1431">
        <v>0</v>
      </c>
      <c r="BH1431">
        <v>1</v>
      </c>
      <c r="BI1431">
        <v>1</v>
      </c>
      <c r="BJ1431">
        <v>0.2</v>
      </c>
      <c r="BK1431">
        <v>1</v>
      </c>
      <c r="BL1431">
        <v>69.5</v>
      </c>
      <c r="BM1431">
        <v>10.43</v>
      </c>
      <c r="BN1431">
        <v>79.930000000000007</v>
      </c>
      <c r="BO1431">
        <v>79.930000000000007</v>
      </c>
      <c r="BQ1431" t="s">
        <v>124</v>
      </c>
      <c r="BR1431" t="s">
        <v>84</v>
      </c>
      <c r="BS1431" s="3">
        <v>45819</v>
      </c>
      <c r="BT1431" s="4">
        <v>0.40902777777777777</v>
      </c>
      <c r="BU1431" t="s">
        <v>688</v>
      </c>
      <c r="BV1431" t="s">
        <v>86</v>
      </c>
      <c r="BY1431">
        <v>1200</v>
      </c>
      <c r="CA1431" t="s">
        <v>235</v>
      </c>
      <c r="CC1431" t="s">
        <v>101</v>
      </c>
      <c r="CD1431">
        <v>6001</v>
      </c>
      <c r="CE1431" t="s">
        <v>1823</v>
      </c>
      <c r="CF1431" s="3">
        <v>45819</v>
      </c>
      <c r="CI1431">
        <v>1</v>
      </c>
      <c r="CJ1431">
        <v>1</v>
      </c>
      <c r="CK1431">
        <v>21</v>
      </c>
      <c r="CL1431" t="s">
        <v>90</v>
      </c>
    </row>
    <row r="1432" spans="1:90" x14ac:dyDescent="0.3">
      <c r="A1432" t="s">
        <v>72</v>
      </c>
      <c r="B1432" t="s">
        <v>73</v>
      </c>
      <c r="C1432" t="s">
        <v>74</v>
      </c>
      <c r="E1432" t="str">
        <f>"080065876135"</f>
        <v>080065876135</v>
      </c>
      <c r="F1432" s="3">
        <v>45818</v>
      </c>
      <c r="G1432">
        <v>202603</v>
      </c>
      <c r="H1432" t="s">
        <v>75</v>
      </c>
      <c r="I1432" t="s">
        <v>76</v>
      </c>
      <c r="J1432" t="s">
        <v>77</v>
      </c>
      <c r="K1432" t="s">
        <v>78</v>
      </c>
      <c r="L1432" t="s">
        <v>100</v>
      </c>
      <c r="M1432" t="s">
        <v>101</v>
      </c>
      <c r="N1432" t="s">
        <v>1642</v>
      </c>
      <c r="O1432" t="s">
        <v>82</v>
      </c>
      <c r="P1432" t="str">
        <f>"4170043170                    "</f>
        <v xml:space="preserve">4170043170                    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20.9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>
        <v>0</v>
      </c>
      <c r="AY1432">
        <v>0</v>
      </c>
      <c r="AZ1432">
        <v>0</v>
      </c>
      <c r="BA1432">
        <v>0</v>
      </c>
      <c r="BB1432">
        <v>0</v>
      </c>
      <c r="BC1432">
        <v>0</v>
      </c>
      <c r="BD1432">
        <v>0</v>
      </c>
      <c r="BE1432">
        <v>0</v>
      </c>
      <c r="BF1432">
        <v>0</v>
      </c>
      <c r="BG1432">
        <v>0</v>
      </c>
      <c r="BH1432">
        <v>1</v>
      </c>
      <c r="BI1432">
        <v>1</v>
      </c>
      <c r="BJ1432">
        <v>0.2</v>
      </c>
      <c r="BK1432">
        <v>1</v>
      </c>
      <c r="BL1432">
        <v>69.5</v>
      </c>
      <c r="BM1432">
        <v>10.43</v>
      </c>
      <c r="BN1432">
        <v>79.930000000000007</v>
      </c>
      <c r="BO1432">
        <v>79.930000000000007</v>
      </c>
      <c r="BQ1432" t="s">
        <v>1643</v>
      </c>
      <c r="BR1432" t="s">
        <v>84</v>
      </c>
      <c r="BS1432" s="3">
        <v>45819</v>
      </c>
      <c r="BT1432" s="4">
        <v>0.38680555555555557</v>
      </c>
      <c r="BU1432" t="s">
        <v>518</v>
      </c>
      <c r="BV1432" t="s">
        <v>86</v>
      </c>
      <c r="BY1432">
        <v>1200</v>
      </c>
      <c r="CA1432" t="s">
        <v>283</v>
      </c>
      <c r="CC1432" t="s">
        <v>101</v>
      </c>
      <c r="CD1432">
        <v>6001</v>
      </c>
      <c r="CE1432" t="s">
        <v>215</v>
      </c>
      <c r="CF1432" s="3">
        <v>45819</v>
      </c>
      <c r="CI1432">
        <v>1</v>
      </c>
      <c r="CJ1432">
        <v>1</v>
      </c>
      <c r="CK1432">
        <v>21</v>
      </c>
      <c r="CL1432" t="s">
        <v>90</v>
      </c>
    </row>
    <row r="1433" spans="1:90" x14ac:dyDescent="0.3">
      <c r="A1433" t="s">
        <v>72</v>
      </c>
      <c r="B1433" t="s">
        <v>73</v>
      </c>
      <c r="C1433" t="s">
        <v>74</v>
      </c>
      <c r="E1433" t="str">
        <f>"080065876157"</f>
        <v>080065876157</v>
      </c>
      <c r="F1433" s="3">
        <v>45818</v>
      </c>
      <c r="G1433">
        <v>202603</v>
      </c>
      <c r="H1433" t="s">
        <v>75</v>
      </c>
      <c r="I1433" t="s">
        <v>76</v>
      </c>
      <c r="J1433" t="s">
        <v>77</v>
      </c>
      <c r="K1433" t="s">
        <v>78</v>
      </c>
      <c r="L1433" t="s">
        <v>174</v>
      </c>
      <c r="M1433" t="s">
        <v>175</v>
      </c>
      <c r="N1433" t="s">
        <v>337</v>
      </c>
      <c r="O1433" t="s">
        <v>82</v>
      </c>
      <c r="P1433" t="str">
        <f>"4170043350                    "</f>
        <v xml:space="preserve">4170043350                    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20.9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>
        <v>0</v>
      </c>
      <c r="AY1433">
        <v>0</v>
      </c>
      <c r="AZ1433">
        <v>0</v>
      </c>
      <c r="BA1433">
        <v>0</v>
      </c>
      <c r="BB1433">
        <v>0</v>
      </c>
      <c r="BC1433">
        <v>0</v>
      </c>
      <c r="BD1433">
        <v>0</v>
      </c>
      <c r="BE1433">
        <v>0</v>
      </c>
      <c r="BF1433">
        <v>0</v>
      </c>
      <c r="BG1433">
        <v>0</v>
      </c>
      <c r="BH1433">
        <v>1</v>
      </c>
      <c r="BI1433">
        <v>1</v>
      </c>
      <c r="BJ1433">
        <v>0.2</v>
      </c>
      <c r="BK1433">
        <v>1</v>
      </c>
      <c r="BL1433">
        <v>69.5</v>
      </c>
      <c r="BM1433">
        <v>10.43</v>
      </c>
      <c r="BN1433">
        <v>79.930000000000007</v>
      </c>
      <c r="BO1433">
        <v>79.930000000000007</v>
      </c>
      <c r="BQ1433" t="s">
        <v>338</v>
      </c>
      <c r="BR1433" t="s">
        <v>84</v>
      </c>
      <c r="BS1433" s="3">
        <v>45819</v>
      </c>
      <c r="BT1433" s="4">
        <v>0.42638888888888887</v>
      </c>
      <c r="BU1433" t="s">
        <v>2062</v>
      </c>
      <c r="BV1433" t="s">
        <v>86</v>
      </c>
      <c r="BY1433">
        <v>1200</v>
      </c>
      <c r="CA1433" t="s">
        <v>596</v>
      </c>
      <c r="CC1433" t="s">
        <v>175</v>
      </c>
      <c r="CD1433">
        <v>3608</v>
      </c>
      <c r="CE1433" t="s">
        <v>215</v>
      </c>
      <c r="CI1433">
        <v>1</v>
      </c>
      <c r="CJ1433">
        <v>1</v>
      </c>
      <c r="CK1433">
        <v>21</v>
      </c>
      <c r="CL1433" t="s">
        <v>90</v>
      </c>
    </row>
    <row r="1434" spans="1:90" x14ac:dyDescent="0.3">
      <c r="A1434" t="s">
        <v>72</v>
      </c>
      <c r="B1434" t="s">
        <v>73</v>
      </c>
      <c r="C1434" t="s">
        <v>74</v>
      </c>
      <c r="E1434" t="str">
        <f>"080065876158"</f>
        <v>080065876158</v>
      </c>
      <c r="F1434" s="3">
        <v>45818</v>
      </c>
      <c r="G1434">
        <v>202603</v>
      </c>
      <c r="H1434" t="s">
        <v>75</v>
      </c>
      <c r="I1434" t="s">
        <v>76</v>
      </c>
      <c r="J1434" t="s">
        <v>77</v>
      </c>
      <c r="K1434" t="s">
        <v>78</v>
      </c>
      <c r="L1434" t="s">
        <v>136</v>
      </c>
      <c r="M1434" t="s">
        <v>137</v>
      </c>
      <c r="N1434" t="s">
        <v>806</v>
      </c>
      <c r="O1434" t="s">
        <v>94</v>
      </c>
      <c r="P1434" t="str">
        <f>"4170043250                    "</f>
        <v xml:space="preserve">4170043250                    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50.42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0</v>
      </c>
      <c r="AX1434">
        <v>0</v>
      </c>
      <c r="AY1434">
        <v>0</v>
      </c>
      <c r="AZ1434">
        <v>0</v>
      </c>
      <c r="BA1434">
        <v>0</v>
      </c>
      <c r="BB1434">
        <v>0</v>
      </c>
      <c r="BC1434">
        <v>0</v>
      </c>
      <c r="BD1434">
        <v>0</v>
      </c>
      <c r="BE1434">
        <v>0</v>
      </c>
      <c r="BF1434">
        <v>0</v>
      </c>
      <c r="BG1434">
        <v>0</v>
      </c>
      <c r="BH1434">
        <v>2</v>
      </c>
      <c r="BI1434">
        <v>12</v>
      </c>
      <c r="BJ1434">
        <v>20.2</v>
      </c>
      <c r="BK1434">
        <v>21</v>
      </c>
      <c r="BL1434">
        <v>173.25</v>
      </c>
      <c r="BM1434">
        <v>25.99</v>
      </c>
      <c r="BN1434">
        <v>199.24</v>
      </c>
      <c r="BO1434">
        <v>199.24</v>
      </c>
      <c r="BQ1434" t="s">
        <v>807</v>
      </c>
      <c r="BR1434" t="s">
        <v>84</v>
      </c>
      <c r="BS1434" t="s">
        <v>189</v>
      </c>
      <c r="BY1434">
        <v>101088</v>
      </c>
      <c r="CC1434" t="s">
        <v>137</v>
      </c>
      <c r="CD1434">
        <v>5201</v>
      </c>
      <c r="CE1434" t="s">
        <v>1957</v>
      </c>
      <c r="CI1434">
        <v>3</v>
      </c>
      <c r="CJ1434" t="s">
        <v>189</v>
      </c>
      <c r="CK1434">
        <v>41</v>
      </c>
      <c r="CL1434" t="s">
        <v>90</v>
      </c>
    </row>
    <row r="1435" spans="1:90" x14ac:dyDescent="0.3">
      <c r="A1435" t="s">
        <v>72</v>
      </c>
      <c r="B1435" t="s">
        <v>73</v>
      </c>
      <c r="C1435" t="s">
        <v>74</v>
      </c>
      <c r="E1435" t="str">
        <f>"080065874818"</f>
        <v>080065874818</v>
      </c>
      <c r="F1435" s="3">
        <v>45818</v>
      </c>
      <c r="G1435">
        <v>202603</v>
      </c>
      <c r="H1435" t="s">
        <v>75</v>
      </c>
      <c r="I1435" t="s">
        <v>76</v>
      </c>
      <c r="J1435" t="s">
        <v>77</v>
      </c>
      <c r="K1435" t="s">
        <v>78</v>
      </c>
      <c r="L1435" t="s">
        <v>331</v>
      </c>
      <c r="M1435" t="s">
        <v>332</v>
      </c>
      <c r="N1435" t="s">
        <v>480</v>
      </c>
      <c r="O1435" t="s">
        <v>82</v>
      </c>
      <c r="P1435" t="str">
        <f>"4170043158                    "</f>
        <v xml:space="preserve">4170043158                    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>
        <v>0</v>
      </c>
      <c r="AY1435">
        <v>0</v>
      </c>
      <c r="AZ1435">
        <v>0</v>
      </c>
      <c r="BA1435">
        <v>0</v>
      </c>
      <c r="BB1435">
        <v>0</v>
      </c>
      <c r="BC1435">
        <v>0</v>
      </c>
      <c r="BD1435">
        <v>0</v>
      </c>
      <c r="BE1435">
        <v>0</v>
      </c>
      <c r="BF1435">
        <v>0</v>
      </c>
      <c r="BG1435">
        <v>0</v>
      </c>
      <c r="BH1435">
        <v>1</v>
      </c>
      <c r="BI1435">
        <v>1</v>
      </c>
      <c r="BJ1435">
        <v>0.2</v>
      </c>
      <c r="BK1435">
        <v>1</v>
      </c>
      <c r="BL1435">
        <v>0</v>
      </c>
      <c r="BM1435">
        <v>0</v>
      </c>
      <c r="BN1435">
        <v>0</v>
      </c>
      <c r="BO1435">
        <v>0</v>
      </c>
      <c r="BQ1435" t="s">
        <v>1221</v>
      </c>
      <c r="BR1435" t="s">
        <v>84</v>
      </c>
      <c r="BS1435" s="3">
        <v>45818</v>
      </c>
      <c r="BT1435" s="4">
        <v>0.71875</v>
      </c>
      <c r="BU1435" t="s">
        <v>832</v>
      </c>
      <c r="BV1435" t="s">
        <v>86</v>
      </c>
      <c r="BY1435">
        <v>1200</v>
      </c>
      <c r="BZ1435" t="s">
        <v>2063</v>
      </c>
      <c r="CA1435" t="s">
        <v>2064</v>
      </c>
      <c r="CC1435" t="s">
        <v>332</v>
      </c>
      <c r="CD1435">
        <v>4001</v>
      </c>
      <c r="CE1435" t="s">
        <v>215</v>
      </c>
      <c r="CF1435" s="3">
        <v>45819</v>
      </c>
      <c r="CI1435">
        <v>1</v>
      </c>
      <c r="CJ1435">
        <v>0</v>
      </c>
      <c r="CK1435">
        <v>-1</v>
      </c>
      <c r="CL1435" t="s">
        <v>90</v>
      </c>
    </row>
    <row r="1436" spans="1:90" x14ac:dyDescent="0.3">
      <c r="A1436" t="s">
        <v>72</v>
      </c>
      <c r="B1436" t="s">
        <v>73</v>
      </c>
      <c r="C1436" t="s">
        <v>74</v>
      </c>
      <c r="E1436" t="str">
        <f>"080065891820"</f>
        <v>080065891820</v>
      </c>
      <c r="F1436" s="3">
        <v>45819</v>
      </c>
      <c r="G1436">
        <v>202603</v>
      </c>
      <c r="H1436" t="s">
        <v>75</v>
      </c>
      <c r="I1436" t="s">
        <v>76</v>
      </c>
      <c r="J1436" t="s">
        <v>77</v>
      </c>
      <c r="K1436" t="s">
        <v>78</v>
      </c>
      <c r="L1436" t="s">
        <v>284</v>
      </c>
      <c r="M1436" t="s">
        <v>285</v>
      </c>
      <c r="N1436" t="s">
        <v>498</v>
      </c>
      <c r="O1436" t="s">
        <v>82</v>
      </c>
      <c r="P1436" t="str">
        <f>"4170043178                    "</f>
        <v xml:space="preserve">4170043178                    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16.32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>
        <v>0</v>
      </c>
      <c r="BD1436">
        <v>0</v>
      </c>
      <c r="BE1436">
        <v>0</v>
      </c>
      <c r="BF1436">
        <v>0</v>
      </c>
      <c r="BG1436">
        <v>0</v>
      </c>
      <c r="BH1436">
        <v>1</v>
      </c>
      <c r="BI1436">
        <v>1</v>
      </c>
      <c r="BJ1436">
        <v>0.2</v>
      </c>
      <c r="BK1436">
        <v>1</v>
      </c>
      <c r="BL1436">
        <v>54.28</v>
      </c>
      <c r="BM1436">
        <v>8.14</v>
      </c>
      <c r="BN1436">
        <v>62.42</v>
      </c>
      <c r="BO1436">
        <v>62.42</v>
      </c>
      <c r="BQ1436" t="s">
        <v>499</v>
      </c>
      <c r="BR1436" t="s">
        <v>84</v>
      </c>
      <c r="BS1436" t="s">
        <v>189</v>
      </c>
      <c r="BV1436" t="s">
        <v>90</v>
      </c>
      <c r="BY1436">
        <v>1200</v>
      </c>
      <c r="CC1436" t="s">
        <v>285</v>
      </c>
      <c r="CD1436">
        <v>1559</v>
      </c>
      <c r="CE1436" t="s">
        <v>215</v>
      </c>
      <c r="CI1436">
        <v>1</v>
      </c>
      <c r="CJ1436" t="s">
        <v>189</v>
      </c>
      <c r="CK1436">
        <v>22</v>
      </c>
      <c r="CL1436" t="s">
        <v>90</v>
      </c>
    </row>
    <row r="1437" spans="1:90" x14ac:dyDescent="0.3">
      <c r="A1437" t="s">
        <v>72</v>
      </c>
      <c r="B1437" t="s">
        <v>73</v>
      </c>
      <c r="C1437" t="s">
        <v>74</v>
      </c>
      <c r="E1437" t="str">
        <f>"080065891872"</f>
        <v>080065891872</v>
      </c>
      <c r="F1437" s="3">
        <v>45819</v>
      </c>
      <c r="G1437">
        <v>202603</v>
      </c>
      <c r="H1437" t="s">
        <v>75</v>
      </c>
      <c r="I1437" t="s">
        <v>76</v>
      </c>
      <c r="J1437" t="s">
        <v>77</v>
      </c>
      <c r="K1437" t="s">
        <v>78</v>
      </c>
      <c r="L1437" t="s">
        <v>106</v>
      </c>
      <c r="M1437" t="s">
        <v>107</v>
      </c>
      <c r="N1437" t="s">
        <v>940</v>
      </c>
      <c r="O1437" t="s">
        <v>82</v>
      </c>
      <c r="P1437" t="str">
        <f>"4170043335                    "</f>
        <v xml:space="preserve">4170043335                    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20.9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  <c r="BB1437">
        <v>0</v>
      </c>
      <c r="BC1437">
        <v>0</v>
      </c>
      <c r="BD1437">
        <v>0</v>
      </c>
      <c r="BE1437">
        <v>0</v>
      </c>
      <c r="BF1437">
        <v>0</v>
      </c>
      <c r="BG1437">
        <v>0</v>
      </c>
      <c r="BH1437">
        <v>1</v>
      </c>
      <c r="BI1437">
        <v>1</v>
      </c>
      <c r="BJ1437">
        <v>0.2</v>
      </c>
      <c r="BK1437">
        <v>1</v>
      </c>
      <c r="BL1437">
        <v>69.5</v>
      </c>
      <c r="BM1437">
        <v>10.43</v>
      </c>
      <c r="BN1437">
        <v>79.930000000000007</v>
      </c>
      <c r="BO1437">
        <v>79.930000000000007</v>
      </c>
      <c r="BQ1437" t="s">
        <v>941</v>
      </c>
      <c r="BR1437" t="s">
        <v>84</v>
      </c>
      <c r="BS1437" t="s">
        <v>189</v>
      </c>
      <c r="BV1437" t="s">
        <v>90</v>
      </c>
      <c r="BY1437">
        <v>1200</v>
      </c>
      <c r="CC1437" t="s">
        <v>107</v>
      </c>
      <c r="CD1437">
        <v>2</v>
      </c>
      <c r="CE1437" t="s">
        <v>215</v>
      </c>
      <c r="CI1437">
        <v>1</v>
      </c>
      <c r="CJ1437" t="s">
        <v>189</v>
      </c>
      <c r="CK1437">
        <v>21</v>
      </c>
      <c r="CL1437" t="s">
        <v>90</v>
      </c>
    </row>
    <row r="1438" spans="1:90" x14ac:dyDescent="0.3">
      <c r="A1438" t="s">
        <v>72</v>
      </c>
      <c r="B1438" t="s">
        <v>73</v>
      </c>
      <c r="C1438" t="s">
        <v>74</v>
      </c>
      <c r="E1438" t="str">
        <f>"080065891985"</f>
        <v>080065891985</v>
      </c>
      <c r="F1438" s="3">
        <v>45819</v>
      </c>
      <c r="G1438">
        <v>202603</v>
      </c>
      <c r="H1438" t="s">
        <v>75</v>
      </c>
      <c r="I1438" t="s">
        <v>76</v>
      </c>
      <c r="J1438" t="s">
        <v>77</v>
      </c>
      <c r="K1438" t="s">
        <v>78</v>
      </c>
      <c r="L1438" t="s">
        <v>1230</v>
      </c>
      <c r="M1438" t="s">
        <v>1231</v>
      </c>
      <c r="N1438" t="s">
        <v>1232</v>
      </c>
      <c r="O1438" t="s">
        <v>82</v>
      </c>
      <c r="P1438" t="str">
        <f>"4170043315                    "</f>
        <v xml:space="preserve">4170043315                    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205.04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>
        <v>0</v>
      </c>
      <c r="AY1438">
        <v>0</v>
      </c>
      <c r="AZ1438">
        <v>0</v>
      </c>
      <c r="BA1438">
        <v>0</v>
      </c>
      <c r="BB1438">
        <v>0</v>
      </c>
      <c r="BC1438">
        <v>0</v>
      </c>
      <c r="BD1438">
        <v>0</v>
      </c>
      <c r="BE1438">
        <v>0</v>
      </c>
      <c r="BF1438">
        <v>0</v>
      </c>
      <c r="BG1438">
        <v>0</v>
      </c>
      <c r="BH1438">
        <v>1</v>
      </c>
      <c r="BI1438">
        <v>11</v>
      </c>
      <c r="BJ1438">
        <v>7.9</v>
      </c>
      <c r="BK1438">
        <v>11</v>
      </c>
      <c r="BL1438">
        <v>681.88</v>
      </c>
      <c r="BM1438">
        <v>102.28</v>
      </c>
      <c r="BN1438">
        <v>784.16</v>
      </c>
      <c r="BO1438">
        <v>784.16</v>
      </c>
      <c r="BQ1438" t="s">
        <v>1233</v>
      </c>
      <c r="BR1438" t="s">
        <v>84</v>
      </c>
      <c r="BS1438" t="s">
        <v>189</v>
      </c>
      <c r="BV1438" t="s">
        <v>90</v>
      </c>
      <c r="BY1438">
        <v>39690</v>
      </c>
      <c r="CC1438" t="s">
        <v>1231</v>
      </c>
      <c r="CD1438">
        <v>9880</v>
      </c>
      <c r="CE1438" t="s">
        <v>2065</v>
      </c>
      <c r="CI1438">
        <v>1</v>
      </c>
      <c r="CJ1438" t="s">
        <v>189</v>
      </c>
      <c r="CK1438">
        <v>23</v>
      </c>
      <c r="CL1438" t="s">
        <v>90</v>
      </c>
    </row>
    <row r="1439" spans="1:90" x14ac:dyDescent="0.3">
      <c r="A1439" t="s">
        <v>72</v>
      </c>
      <c r="B1439" t="s">
        <v>73</v>
      </c>
      <c r="C1439" t="s">
        <v>74</v>
      </c>
      <c r="E1439" t="str">
        <f>"080065892066"</f>
        <v>080065892066</v>
      </c>
      <c r="F1439" s="3">
        <v>45819</v>
      </c>
      <c r="G1439">
        <v>202603</v>
      </c>
      <c r="H1439" t="s">
        <v>75</v>
      </c>
      <c r="I1439" t="s">
        <v>76</v>
      </c>
      <c r="J1439" t="s">
        <v>77</v>
      </c>
      <c r="K1439" t="s">
        <v>78</v>
      </c>
      <c r="L1439" t="s">
        <v>136</v>
      </c>
      <c r="M1439" t="s">
        <v>137</v>
      </c>
      <c r="N1439" t="s">
        <v>806</v>
      </c>
      <c r="O1439" t="s">
        <v>82</v>
      </c>
      <c r="P1439" t="str">
        <f>"4170043307                    "</f>
        <v xml:space="preserve">4170043307                    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20.9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>
        <v>0</v>
      </c>
      <c r="AY1439">
        <v>0</v>
      </c>
      <c r="AZ1439">
        <v>0</v>
      </c>
      <c r="BA1439">
        <v>0</v>
      </c>
      <c r="BB1439">
        <v>0</v>
      </c>
      <c r="BC1439">
        <v>0</v>
      </c>
      <c r="BD1439">
        <v>0</v>
      </c>
      <c r="BE1439">
        <v>0</v>
      </c>
      <c r="BF1439">
        <v>0</v>
      </c>
      <c r="BG1439">
        <v>0</v>
      </c>
      <c r="BH1439">
        <v>1</v>
      </c>
      <c r="BI1439">
        <v>1</v>
      </c>
      <c r="BJ1439">
        <v>1.9</v>
      </c>
      <c r="BK1439">
        <v>2</v>
      </c>
      <c r="BL1439">
        <v>69.5</v>
      </c>
      <c r="BM1439">
        <v>10.43</v>
      </c>
      <c r="BN1439">
        <v>79.930000000000007</v>
      </c>
      <c r="BO1439">
        <v>79.930000000000007</v>
      </c>
      <c r="BQ1439" t="s">
        <v>807</v>
      </c>
      <c r="BR1439" t="s">
        <v>84</v>
      </c>
      <c r="BS1439" t="s">
        <v>189</v>
      </c>
      <c r="BV1439" t="s">
        <v>90</v>
      </c>
      <c r="BY1439">
        <v>9600</v>
      </c>
      <c r="CC1439" t="s">
        <v>137</v>
      </c>
      <c r="CD1439">
        <v>5201</v>
      </c>
      <c r="CE1439" t="s">
        <v>687</v>
      </c>
      <c r="CI1439">
        <v>1</v>
      </c>
      <c r="CJ1439" t="s">
        <v>189</v>
      </c>
      <c r="CK1439">
        <v>21</v>
      </c>
      <c r="CL1439" t="s">
        <v>90</v>
      </c>
    </row>
    <row r="1440" spans="1:90" x14ac:dyDescent="0.3">
      <c r="A1440" t="s">
        <v>72</v>
      </c>
      <c r="B1440" t="s">
        <v>73</v>
      </c>
      <c r="C1440" t="s">
        <v>74</v>
      </c>
      <c r="E1440" t="str">
        <f>"080065892138"</f>
        <v>080065892138</v>
      </c>
      <c r="F1440" s="3">
        <v>45819</v>
      </c>
      <c r="G1440">
        <v>202603</v>
      </c>
      <c r="H1440" t="s">
        <v>75</v>
      </c>
      <c r="I1440" t="s">
        <v>76</v>
      </c>
      <c r="J1440" t="s">
        <v>77</v>
      </c>
      <c r="K1440" t="s">
        <v>78</v>
      </c>
      <c r="L1440" t="s">
        <v>130</v>
      </c>
      <c r="M1440" t="s">
        <v>131</v>
      </c>
      <c r="N1440" t="s">
        <v>729</v>
      </c>
      <c r="O1440" t="s">
        <v>82</v>
      </c>
      <c r="P1440" t="str">
        <f>"4170043237                    "</f>
        <v xml:space="preserve">4170043237                    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16.32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>
        <v>0</v>
      </c>
      <c r="AY1440">
        <v>0</v>
      </c>
      <c r="AZ1440">
        <v>0</v>
      </c>
      <c r="BA1440">
        <v>0</v>
      </c>
      <c r="BB1440">
        <v>0</v>
      </c>
      <c r="BC1440">
        <v>0</v>
      </c>
      <c r="BD1440">
        <v>0</v>
      </c>
      <c r="BE1440">
        <v>0</v>
      </c>
      <c r="BF1440">
        <v>0</v>
      </c>
      <c r="BG1440">
        <v>0</v>
      </c>
      <c r="BH1440">
        <v>1</v>
      </c>
      <c r="BI1440">
        <v>1</v>
      </c>
      <c r="BJ1440">
        <v>3.6</v>
      </c>
      <c r="BK1440">
        <v>4</v>
      </c>
      <c r="BL1440">
        <v>54.28</v>
      </c>
      <c r="BM1440">
        <v>8.14</v>
      </c>
      <c r="BN1440">
        <v>62.42</v>
      </c>
      <c r="BO1440">
        <v>62.42</v>
      </c>
      <c r="BQ1440" t="s">
        <v>730</v>
      </c>
      <c r="BR1440" t="s">
        <v>84</v>
      </c>
      <c r="BS1440" s="3">
        <v>45820</v>
      </c>
      <c r="BT1440" s="4">
        <v>0.32291666666666669</v>
      </c>
      <c r="BU1440" t="s">
        <v>2066</v>
      </c>
      <c r="BV1440" t="s">
        <v>86</v>
      </c>
      <c r="BY1440">
        <v>18088</v>
      </c>
      <c r="CA1440" t="s">
        <v>425</v>
      </c>
      <c r="CC1440" t="s">
        <v>131</v>
      </c>
      <c r="CD1440">
        <v>1459</v>
      </c>
      <c r="CE1440" t="s">
        <v>166</v>
      </c>
      <c r="CI1440">
        <v>1</v>
      </c>
      <c r="CJ1440">
        <v>1</v>
      </c>
      <c r="CK1440">
        <v>22</v>
      </c>
      <c r="CL1440" t="s">
        <v>90</v>
      </c>
    </row>
    <row r="1441" spans="1:90" x14ac:dyDescent="0.3">
      <c r="A1441" t="s">
        <v>72</v>
      </c>
      <c r="B1441" t="s">
        <v>73</v>
      </c>
      <c r="C1441" t="s">
        <v>74</v>
      </c>
      <c r="E1441" t="str">
        <f>"080065892242"</f>
        <v>080065892242</v>
      </c>
      <c r="F1441" s="3">
        <v>45819</v>
      </c>
      <c r="G1441">
        <v>202603</v>
      </c>
      <c r="H1441" t="s">
        <v>75</v>
      </c>
      <c r="I1441" t="s">
        <v>76</v>
      </c>
      <c r="J1441" t="s">
        <v>77</v>
      </c>
      <c r="K1441" t="s">
        <v>78</v>
      </c>
      <c r="L1441" t="s">
        <v>284</v>
      </c>
      <c r="M1441" t="s">
        <v>285</v>
      </c>
      <c r="N1441" t="s">
        <v>498</v>
      </c>
      <c r="O1441" t="s">
        <v>82</v>
      </c>
      <c r="P1441" t="str">
        <f>"4170043314                    "</f>
        <v xml:space="preserve">4170043314                    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16.32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  <c r="BB1441">
        <v>0</v>
      </c>
      <c r="BC1441">
        <v>0</v>
      </c>
      <c r="BD1441">
        <v>0</v>
      </c>
      <c r="BE1441">
        <v>0</v>
      </c>
      <c r="BF1441">
        <v>0</v>
      </c>
      <c r="BG1441">
        <v>0</v>
      </c>
      <c r="BH1441">
        <v>1</v>
      </c>
      <c r="BI1441">
        <v>3</v>
      </c>
      <c r="BJ1441">
        <v>4.0999999999999996</v>
      </c>
      <c r="BK1441">
        <v>5</v>
      </c>
      <c r="BL1441">
        <v>54.28</v>
      </c>
      <c r="BM1441">
        <v>8.14</v>
      </c>
      <c r="BN1441">
        <v>62.42</v>
      </c>
      <c r="BO1441">
        <v>62.42</v>
      </c>
      <c r="BQ1441" t="s">
        <v>499</v>
      </c>
      <c r="BR1441" t="s">
        <v>84</v>
      </c>
      <c r="BS1441" t="s">
        <v>189</v>
      </c>
      <c r="BV1441" t="s">
        <v>90</v>
      </c>
      <c r="BY1441">
        <v>20720</v>
      </c>
      <c r="CC1441" t="s">
        <v>285</v>
      </c>
      <c r="CD1441">
        <v>1559</v>
      </c>
      <c r="CE1441" t="s">
        <v>166</v>
      </c>
      <c r="CI1441">
        <v>1</v>
      </c>
      <c r="CJ1441" t="s">
        <v>189</v>
      </c>
      <c r="CK1441">
        <v>22</v>
      </c>
      <c r="CL1441" t="s">
        <v>90</v>
      </c>
    </row>
    <row r="1442" spans="1:90" x14ac:dyDescent="0.3">
      <c r="A1442" t="s">
        <v>72</v>
      </c>
      <c r="B1442" t="s">
        <v>73</v>
      </c>
      <c r="C1442" t="s">
        <v>74</v>
      </c>
      <c r="E1442" t="str">
        <f>"080065892432"</f>
        <v>080065892432</v>
      </c>
      <c r="F1442" s="3">
        <v>45819</v>
      </c>
      <c r="G1442">
        <v>202603</v>
      </c>
      <c r="H1442" t="s">
        <v>75</v>
      </c>
      <c r="I1442" t="s">
        <v>76</v>
      </c>
      <c r="J1442" t="s">
        <v>77</v>
      </c>
      <c r="K1442" t="s">
        <v>78</v>
      </c>
      <c r="L1442" t="s">
        <v>663</v>
      </c>
      <c r="M1442" t="s">
        <v>664</v>
      </c>
      <c r="N1442" t="s">
        <v>723</v>
      </c>
      <c r="O1442" t="s">
        <v>82</v>
      </c>
      <c r="P1442" t="str">
        <f>"4170043341                    "</f>
        <v xml:space="preserve">4170043341                    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40.49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>
        <v>0</v>
      </c>
      <c r="AY1442">
        <v>0</v>
      </c>
      <c r="AZ1442">
        <v>0</v>
      </c>
      <c r="BA1442">
        <v>0</v>
      </c>
      <c r="BB1442">
        <v>0</v>
      </c>
      <c r="BC1442">
        <v>0</v>
      </c>
      <c r="BD1442">
        <v>0</v>
      </c>
      <c r="BE1442">
        <v>0</v>
      </c>
      <c r="BF1442">
        <v>0</v>
      </c>
      <c r="BG1442">
        <v>0</v>
      </c>
      <c r="BH1442">
        <v>1</v>
      </c>
      <c r="BI1442">
        <v>2</v>
      </c>
      <c r="BJ1442">
        <v>1.1000000000000001</v>
      </c>
      <c r="BK1442">
        <v>2</v>
      </c>
      <c r="BL1442">
        <v>134.65</v>
      </c>
      <c r="BM1442">
        <v>20.2</v>
      </c>
      <c r="BN1442">
        <v>154.85</v>
      </c>
      <c r="BO1442">
        <v>154.85</v>
      </c>
      <c r="BQ1442" t="s">
        <v>724</v>
      </c>
      <c r="BR1442" t="s">
        <v>84</v>
      </c>
      <c r="BS1442" t="s">
        <v>189</v>
      </c>
      <c r="BV1442" t="s">
        <v>90</v>
      </c>
      <c r="BY1442">
        <v>5320</v>
      </c>
      <c r="BZ1442" t="s">
        <v>87</v>
      </c>
      <c r="CC1442" t="s">
        <v>664</v>
      </c>
      <c r="CD1442">
        <v>1947</v>
      </c>
      <c r="CE1442" t="s">
        <v>99</v>
      </c>
      <c r="CI1442">
        <v>1</v>
      </c>
      <c r="CJ1442" t="s">
        <v>189</v>
      </c>
      <c r="CK1442">
        <v>23</v>
      </c>
      <c r="CL1442" t="s">
        <v>90</v>
      </c>
    </row>
    <row r="1443" spans="1:90" x14ac:dyDescent="0.3">
      <c r="A1443" t="s">
        <v>72</v>
      </c>
      <c r="B1443" t="s">
        <v>73</v>
      </c>
      <c r="C1443" t="s">
        <v>74</v>
      </c>
      <c r="E1443" t="str">
        <f>"080065892486"</f>
        <v>080065892486</v>
      </c>
      <c r="F1443" s="3">
        <v>45819</v>
      </c>
      <c r="G1443">
        <v>202603</v>
      </c>
      <c r="H1443" t="s">
        <v>75</v>
      </c>
      <c r="I1443" t="s">
        <v>76</v>
      </c>
      <c r="J1443" t="s">
        <v>77</v>
      </c>
      <c r="K1443" t="s">
        <v>78</v>
      </c>
      <c r="L1443" t="s">
        <v>870</v>
      </c>
      <c r="M1443" t="s">
        <v>871</v>
      </c>
      <c r="N1443" t="s">
        <v>872</v>
      </c>
      <c r="O1443" t="s">
        <v>82</v>
      </c>
      <c r="P1443" t="str">
        <f>"4170043126                    "</f>
        <v xml:space="preserve">4170043126                    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58.77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>
        <v>0</v>
      </c>
      <c r="AY1443">
        <v>0</v>
      </c>
      <c r="AZ1443">
        <v>0</v>
      </c>
      <c r="BA1443">
        <v>0</v>
      </c>
      <c r="BB1443">
        <v>0</v>
      </c>
      <c r="BC1443">
        <v>0</v>
      </c>
      <c r="BD1443">
        <v>0</v>
      </c>
      <c r="BE1443">
        <v>0</v>
      </c>
      <c r="BF1443">
        <v>0</v>
      </c>
      <c r="BG1443">
        <v>0</v>
      </c>
      <c r="BH1443">
        <v>1</v>
      </c>
      <c r="BI1443">
        <v>3</v>
      </c>
      <c r="BJ1443">
        <v>1.9</v>
      </c>
      <c r="BK1443">
        <v>3</v>
      </c>
      <c r="BL1443">
        <v>195.45</v>
      </c>
      <c r="BM1443">
        <v>29.32</v>
      </c>
      <c r="BN1443">
        <v>224.77</v>
      </c>
      <c r="BO1443">
        <v>224.77</v>
      </c>
      <c r="BQ1443" t="s">
        <v>873</v>
      </c>
      <c r="BR1443" t="s">
        <v>84</v>
      </c>
      <c r="BS1443" t="s">
        <v>189</v>
      </c>
      <c r="BV1443" t="s">
        <v>90</v>
      </c>
      <c r="BY1443">
        <v>9600</v>
      </c>
      <c r="BZ1443" t="s">
        <v>87</v>
      </c>
      <c r="CC1443" t="s">
        <v>871</v>
      </c>
      <c r="CD1443">
        <v>7300</v>
      </c>
      <c r="CE1443" t="s">
        <v>99</v>
      </c>
      <c r="CI1443">
        <v>1</v>
      </c>
      <c r="CJ1443" t="s">
        <v>189</v>
      </c>
      <c r="CK1443">
        <v>23</v>
      </c>
      <c r="CL1443" t="s">
        <v>90</v>
      </c>
    </row>
    <row r="1444" spans="1:90" x14ac:dyDescent="0.3">
      <c r="A1444" t="s">
        <v>72</v>
      </c>
      <c r="B1444" t="s">
        <v>73</v>
      </c>
      <c r="C1444" t="s">
        <v>74</v>
      </c>
      <c r="E1444" t="str">
        <f>"080065892510"</f>
        <v>080065892510</v>
      </c>
      <c r="F1444" s="3">
        <v>45819</v>
      </c>
      <c r="G1444">
        <v>202603</v>
      </c>
      <c r="H1444" t="s">
        <v>75</v>
      </c>
      <c r="I1444" t="s">
        <v>76</v>
      </c>
      <c r="J1444" t="s">
        <v>77</v>
      </c>
      <c r="K1444" t="s">
        <v>78</v>
      </c>
      <c r="L1444" t="s">
        <v>159</v>
      </c>
      <c r="M1444" t="s">
        <v>160</v>
      </c>
      <c r="N1444" t="s">
        <v>2067</v>
      </c>
      <c r="O1444" t="s">
        <v>82</v>
      </c>
      <c r="P1444" t="str">
        <f>"4170043109                    "</f>
        <v xml:space="preserve">4170043109                    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16.32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>
        <v>0</v>
      </c>
      <c r="AY1444">
        <v>0</v>
      </c>
      <c r="AZ1444">
        <v>0</v>
      </c>
      <c r="BA1444">
        <v>0</v>
      </c>
      <c r="BB1444">
        <v>0</v>
      </c>
      <c r="BC1444">
        <v>0</v>
      </c>
      <c r="BD1444">
        <v>0</v>
      </c>
      <c r="BE1444">
        <v>0</v>
      </c>
      <c r="BF1444">
        <v>0</v>
      </c>
      <c r="BG1444">
        <v>0</v>
      </c>
      <c r="BH1444">
        <v>1</v>
      </c>
      <c r="BI1444">
        <v>2</v>
      </c>
      <c r="BJ1444">
        <v>3.4</v>
      </c>
      <c r="BK1444">
        <v>4</v>
      </c>
      <c r="BL1444">
        <v>54.28</v>
      </c>
      <c r="BM1444">
        <v>8.14</v>
      </c>
      <c r="BN1444">
        <v>62.42</v>
      </c>
      <c r="BO1444">
        <v>62.42</v>
      </c>
      <c r="BQ1444" t="s">
        <v>2068</v>
      </c>
      <c r="BR1444" t="s">
        <v>84</v>
      </c>
      <c r="BS1444" t="s">
        <v>189</v>
      </c>
      <c r="BV1444" t="s">
        <v>90</v>
      </c>
      <c r="BY1444">
        <v>16965</v>
      </c>
      <c r="BZ1444" t="s">
        <v>87</v>
      </c>
      <c r="CC1444" t="s">
        <v>160</v>
      </c>
      <c r="CD1444">
        <v>2091</v>
      </c>
      <c r="CE1444" t="s">
        <v>99</v>
      </c>
      <c r="CI1444">
        <v>1</v>
      </c>
      <c r="CJ1444" t="s">
        <v>189</v>
      </c>
      <c r="CK1444">
        <v>22</v>
      </c>
      <c r="CL1444" t="s">
        <v>90</v>
      </c>
    </row>
    <row r="1445" spans="1:90" x14ac:dyDescent="0.3">
      <c r="A1445" t="s">
        <v>72</v>
      </c>
      <c r="B1445" t="s">
        <v>73</v>
      </c>
      <c r="C1445" t="s">
        <v>74</v>
      </c>
      <c r="E1445" t="str">
        <f>"080065892540"</f>
        <v>080065892540</v>
      </c>
      <c r="F1445" s="3">
        <v>45819</v>
      </c>
      <c r="G1445">
        <v>202603</v>
      </c>
      <c r="H1445" t="s">
        <v>75</v>
      </c>
      <c r="I1445" t="s">
        <v>76</v>
      </c>
      <c r="J1445" t="s">
        <v>77</v>
      </c>
      <c r="K1445" t="s">
        <v>78</v>
      </c>
      <c r="L1445" t="s">
        <v>100</v>
      </c>
      <c r="M1445" t="s">
        <v>101</v>
      </c>
      <c r="N1445" t="s">
        <v>952</v>
      </c>
      <c r="O1445" t="s">
        <v>82</v>
      </c>
      <c r="P1445" t="str">
        <f>"4170043152                    "</f>
        <v xml:space="preserve">4170043152                    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41.78</v>
      </c>
      <c r="AR1445">
        <v>0</v>
      </c>
      <c r="AS1445">
        <v>0</v>
      </c>
      <c r="AT1445">
        <v>0</v>
      </c>
      <c r="AU1445">
        <v>0</v>
      </c>
      <c r="AV1445">
        <v>0</v>
      </c>
      <c r="AW1445">
        <v>0</v>
      </c>
      <c r="AX1445">
        <v>0</v>
      </c>
      <c r="AY1445">
        <v>0</v>
      </c>
      <c r="AZ1445">
        <v>0</v>
      </c>
      <c r="BA1445">
        <v>0</v>
      </c>
      <c r="BB1445">
        <v>0</v>
      </c>
      <c r="BC1445">
        <v>0</v>
      </c>
      <c r="BD1445">
        <v>0</v>
      </c>
      <c r="BE1445">
        <v>0</v>
      </c>
      <c r="BF1445">
        <v>0</v>
      </c>
      <c r="BG1445">
        <v>0</v>
      </c>
      <c r="BH1445">
        <v>1</v>
      </c>
      <c r="BI1445">
        <v>4</v>
      </c>
      <c r="BJ1445">
        <v>1.7</v>
      </c>
      <c r="BK1445">
        <v>4</v>
      </c>
      <c r="BL1445">
        <v>138.94</v>
      </c>
      <c r="BM1445">
        <v>20.84</v>
      </c>
      <c r="BN1445">
        <v>159.78</v>
      </c>
      <c r="BO1445">
        <v>159.78</v>
      </c>
      <c r="BQ1445" t="s">
        <v>953</v>
      </c>
      <c r="BR1445" t="s">
        <v>84</v>
      </c>
      <c r="BS1445" t="s">
        <v>189</v>
      </c>
      <c r="BV1445" t="s">
        <v>90</v>
      </c>
      <c r="BY1445">
        <v>8550</v>
      </c>
      <c r="CC1445" t="s">
        <v>101</v>
      </c>
      <c r="CD1445">
        <v>6001</v>
      </c>
      <c r="CE1445" t="s">
        <v>292</v>
      </c>
      <c r="CI1445">
        <v>1</v>
      </c>
      <c r="CJ1445" t="s">
        <v>189</v>
      </c>
      <c r="CK1445">
        <v>21</v>
      </c>
      <c r="CL1445" t="s">
        <v>90</v>
      </c>
    </row>
    <row r="1446" spans="1:90" x14ac:dyDescent="0.3">
      <c r="A1446" t="s">
        <v>72</v>
      </c>
      <c r="B1446" t="s">
        <v>73</v>
      </c>
      <c r="C1446" t="s">
        <v>74</v>
      </c>
      <c r="E1446" t="str">
        <f>"080065892568"</f>
        <v>080065892568</v>
      </c>
      <c r="F1446" s="3">
        <v>45819</v>
      </c>
      <c r="G1446">
        <v>202603</v>
      </c>
      <c r="H1446" t="s">
        <v>75</v>
      </c>
      <c r="I1446" t="s">
        <v>76</v>
      </c>
      <c r="J1446" t="s">
        <v>77</v>
      </c>
      <c r="K1446" t="s">
        <v>78</v>
      </c>
      <c r="L1446" t="s">
        <v>154</v>
      </c>
      <c r="M1446" t="s">
        <v>154</v>
      </c>
      <c r="N1446" t="s">
        <v>949</v>
      </c>
      <c r="O1446" t="s">
        <v>82</v>
      </c>
      <c r="P1446" t="str">
        <f>"4170043169                    "</f>
        <v xml:space="preserve">4170043169                    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77.06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0</v>
      </c>
      <c r="BC1446">
        <v>0</v>
      </c>
      <c r="BD1446">
        <v>0</v>
      </c>
      <c r="BE1446">
        <v>0</v>
      </c>
      <c r="BF1446">
        <v>0</v>
      </c>
      <c r="BG1446">
        <v>0</v>
      </c>
      <c r="BH1446">
        <v>1</v>
      </c>
      <c r="BI1446">
        <v>4</v>
      </c>
      <c r="BJ1446">
        <v>3.1</v>
      </c>
      <c r="BK1446">
        <v>4</v>
      </c>
      <c r="BL1446">
        <v>256.26</v>
      </c>
      <c r="BM1446">
        <v>38.44</v>
      </c>
      <c r="BN1446">
        <v>294.7</v>
      </c>
      <c r="BO1446">
        <v>294.7</v>
      </c>
      <c r="BQ1446" t="s">
        <v>950</v>
      </c>
      <c r="BR1446" t="s">
        <v>84</v>
      </c>
      <c r="BS1446" t="s">
        <v>189</v>
      </c>
      <c r="BV1446" t="s">
        <v>90</v>
      </c>
      <c r="BY1446">
        <v>15360</v>
      </c>
      <c r="CC1446" t="s">
        <v>154</v>
      </c>
      <c r="CD1446">
        <v>7646</v>
      </c>
      <c r="CE1446" t="s">
        <v>166</v>
      </c>
      <c r="CI1446">
        <v>1</v>
      </c>
      <c r="CJ1446" t="s">
        <v>189</v>
      </c>
      <c r="CK1446">
        <v>23</v>
      </c>
      <c r="CL1446" t="s">
        <v>90</v>
      </c>
    </row>
    <row r="1447" spans="1:90" x14ac:dyDescent="0.3">
      <c r="A1447" t="s">
        <v>72</v>
      </c>
      <c r="B1447" t="s">
        <v>73</v>
      </c>
      <c r="C1447" t="s">
        <v>74</v>
      </c>
      <c r="E1447" t="str">
        <f>"080065892617"</f>
        <v>080065892617</v>
      </c>
      <c r="F1447" s="3">
        <v>45819</v>
      </c>
      <c r="G1447">
        <v>202603</v>
      </c>
      <c r="H1447" t="s">
        <v>75</v>
      </c>
      <c r="I1447" t="s">
        <v>76</v>
      </c>
      <c r="J1447" t="s">
        <v>77</v>
      </c>
      <c r="K1447" t="s">
        <v>78</v>
      </c>
      <c r="L1447" t="s">
        <v>100</v>
      </c>
      <c r="M1447" t="s">
        <v>101</v>
      </c>
      <c r="N1447" t="s">
        <v>123</v>
      </c>
      <c r="O1447" t="s">
        <v>94</v>
      </c>
      <c r="P1447" t="str">
        <f>"4170043104                    "</f>
        <v xml:space="preserve">4170043104                    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73.78</v>
      </c>
      <c r="AR1447">
        <v>0</v>
      </c>
      <c r="AS1447">
        <v>0</v>
      </c>
      <c r="AT1447">
        <v>0</v>
      </c>
      <c r="AU1447">
        <v>0</v>
      </c>
      <c r="AV1447">
        <v>0</v>
      </c>
      <c r="AW1447">
        <v>0</v>
      </c>
      <c r="AX1447">
        <v>0</v>
      </c>
      <c r="AY1447">
        <v>0</v>
      </c>
      <c r="AZ1447">
        <v>0</v>
      </c>
      <c r="BA1447">
        <v>0</v>
      </c>
      <c r="BB1447">
        <v>0</v>
      </c>
      <c r="BC1447">
        <v>0</v>
      </c>
      <c r="BD1447">
        <v>0</v>
      </c>
      <c r="BE1447">
        <v>0</v>
      </c>
      <c r="BF1447">
        <v>0</v>
      </c>
      <c r="BG1447">
        <v>0</v>
      </c>
      <c r="BH1447">
        <v>4</v>
      </c>
      <c r="BI1447">
        <v>35</v>
      </c>
      <c r="BJ1447">
        <v>24.3</v>
      </c>
      <c r="BK1447">
        <v>35</v>
      </c>
      <c r="BL1447">
        <v>250.93</v>
      </c>
      <c r="BM1447">
        <v>37.64</v>
      </c>
      <c r="BN1447">
        <v>288.57</v>
      </c>
      <c r="BO1447">
        <v>288.57</v>
      </c>
      <c r="BQ1447" t="s">
        <v>124</v>
      </c>
      <c r="BR1447" t="s">
        <v>84</v>
      </c>
      <c r="BS1447" t="s">
        <v>189</v>
      </c>
      <c r="BV1447" t="s">
        <v>90</v>
      </c>
      <c r="BY1447">
        <v>121444</v>
      </c>
      <c r="CC1447" t="s">
        <v>101</v>
      </c>
      <c r="CD1447">
        <v>6001</v>
      </c>
      <c r="CE1447" t="s">
        <v>215</v>
      </c>
      <c r="CI1447">
        <v>3</v>
      </c>
      <c r="CJ1447" t="s">
        <v>189</v>
      </c>
      <c r="CK1447">
        <v>41</v>
      </c>
      <c r="CL1447" t="s">
        <v>90</v>
      </c>
    </row>
    <row r="1448" spans="1:90" x14ac:dyDescent="0.3">
      <c r="A1448" t="s">
        <v>72</v>
      </c>
      <c r="B1448" t="s">
        <v>73</v>
      </c>
      <c r="C1448" t="s">
        <v>74</v>
      </c>
      <c r="E1448" t="str">
        <f>"080065892679"</f>
        <v>080065892679</v>
      </c>
      <c r="F1448" s="3">
        <v>45819</v>
      </c>
      <c r="G1448">
        <v>202603</v>
      </c>
      <c r="H1448" t="s">
        <v>75</v>
      </c>
      <c r="I1448" t="s">
        <v>76</v>
      </c>
      <c r="J1448" t="s">
        <v>77</v>
      </c>
      <c r="K1448" t="s">
        <v>78</v>
      </c>
      <c r="L1448" t="s">
        <v>116</v>
      </c>
      <c r="M1448" t="s">
        <v>117</v>
      </c>
      <c r="N1448" t="s">
        <v>118</v>
      </c>
      <c r="O1448" t="s">
        <v>82</v>
      </c>
      <c r="P1448" t="str">
        <f>"4170043024                    "</f>
        <v xml:space="preserve">4170043024                    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140.96</v>
      </c>
      <c r="AR1448">
        <v>0</v>
      </c>
      <c r="AS1448">
        <v>0</v>
      </c>
      <c r="AT1448">
        <v>0</v>
      </c>
      <c r="AU1448">
        <v>0</v>
      </c>
      <c r="AV1448">
        <v>0</v>
      </c>
      <c r="AW1448">
        <v>0</v>
      </c>
      <c r="AX1448">
        <v>0</v>
      </c>
      <c r="AY1448">
        <v>0</v>
      </c>
      <c r="AZ1448">
        <v>0</v>
      </c>
      <c r="BA1448">
        <v>0</v>
      </c>
      <c r="BB1448">
        <v>0</v>
      </c>
      <c r="BC1448">
        <v>0</v>
      </c>
      <c r="BD1448">
        <v>0</v>
      </c>
      <c r="BE1448">
        <v>0</v>
      </c>
      <c r="BF1448">
        <v>0</v>
      </c>
      <c r="BG1448">
        <v>0</v>
      </c>
      <c r="BH1448">
        <v>1</v>
      </c>
      <c r="BI1448">
        <v>11</v>
      </c>
      <c r="BJ1448">
        <v>13.5</v>
      </c>
      <c r="BK1448">
        <v>13.5</v>
      </c>
      <c r="BL1448">
        <v>468.78</v>
      </c>
      <c r="BM1448">
        <v>70.319999999999993</v>
      </c>
      <c r="BN1448">
        <v>539.1</v>
      </c>
      <c r="BO1448">
        <v>539.1</v>
      </c>
      <c r="BQ1448" t="s">
        <v>119</v>
      </c>
      <c r="BR1448" t="s">
        <v>84</v>
      </c>
      <c r="BS1448" t="s">
        <v>189</v>
      </c>
      <c r="BV1448" t="s">
        <v>90</v>
      </c>
      <c r="BY1448">
        <v>67620</v>
      </c>
      <c r="CC1448" t="s">
        <v>117</v>
      </c>
      <c r="CD1448">
        <v>3201</v>
      </c>
      <c r="CE1448" t="s">
        <v>687</v>
      </c>
      <c r="CI1448">
        <v>1</v>
      </c>
      <c r="CJ1448" t="s">
        <v>189</v>
      </c>
      <c r="CK1448">
        <v>21</v>
      </c>
      <c r="CL1448" t="s">
        <v>90</v>
      </c>
    </row>
    <row r="1449" spans="1:90" x14ac:dyDescent="0.3">
      <c r="A1449" t="s">
        <v>72</v>
      </c>
      <c r="B1449" t="s">
        <v>73</v>
      </c>
      <c r="C1449" t="s">
        <v>74</v>
      </c>
      <c r="E1449" t="str">
        <f>"080065892722"</f>
        <v>080065892722</v>
      </c>
      <c r="F1449" s="3">
        <v>45819</v>
      </c>
      <c r="G1449">
        <v>202603</v>
      </c>
      <c r="H1449" t="s">
        <v>75</v>
      </c>
      <c r="I1449" t="s">
        <v>76</v>
      </c>
      <c r="J1449" t="s">
        <v>77</v>
      </c>
      <c r="K1449" t="s">
        <v>78</v>
      </c>
      <c r="L1449" t="s">
        <v>331</v>
      </c>
      <c r="M1449" t="s">
        <v>332</v>
      </c>
      <c r="N1449" t="s">
        <v>484</v>
      </c>
      <c r="O1449" t="s">
        <v>82</v>
      </c>
      <c r="P1449" t="str">
        <f>"4170043131                    "</f>
        <v xml:space="preserve">4170043131                    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52.22</v>
      </c>
      <c r="AR1449">
        <v>0</v>
      </c>
      <c r="AS1449">
        <v>0</v>
      </c>
      <c r="AT1449">
        <v>0</v>
      </c>
      <c r="AU1449">
        <v>0</v>
      </c>
      <c r="AV1449">
        <v>0</v>
      </c>
      <c r="AW1449">
        <v>0</v>
      </c>
      <c r="AX1449">
        <v>0</v>
      </c>
      <c r="AY1449">
        <v>0</v>
      </c>
      <c r="AZ1449">
        <v>0</v>
      </c>
      <c r="BA1449">
        <v>0</v>
      </c>
      <c r="BB1449">
        <v>0</v>
      </c>
      <c r="BC1449">
        <v>0</v>
      </c>
      <c r="BD1449">
        <v>0</v>
      </c>
      <c r="BE1449">
        <v>0</v>
      </c>
      <c r="BF1449">
        <v>0</v>
      </c>
      <c r="BG1449">
        <v>0</v>
      </c>
      <c r="BH1449">
        <v>1</v>
      </c>
      <c r="BI1449">
        <v>4</v>
      </c>
      <c r="BJ1449">
        <v>5</v>
      </c>
      <c r="BK1449">
        <v>5</v>
      </c>
      <c r="BL1449">
        <v>173.66</v>
      </c>
      <c r="BM1449">
        <v>26.05</v>
      </c>
      <c r="BN1449">
        <v>199.71</v>
      </c>
      <c r="BO1449">
        <v>199.71</v>
      </c>
      <c r="BQ1449" t="s">
        <v>485</v>
      </c>
      <c r="BR1449" t="s">
        <v>84</v>
      </c>
      <c r="BS1449" t="s">
        <v>189</v>
      </c>
      <c r="BV1449" t="s">
        <v>90</v>
      </c>
      <c r="BY1449">
        <v>25000</v>
      </c>
      <c r="CC1449" t="s">
        <v>332</v>
      </c>
      <c r="CD1449">
        <v>4052</v>
      </c>
      <c r="CE1449" t="s">
        <v>2065</v>
      </c>
      <c r="CI1449">
        <v>1</v>
      </c>
      <c r="CJ1449" t="s">
        <v>189</v>
      </c>
      <c r="CK1449">
        <v>21</v>
      </c>
      <c r="CL1449" t="s">
        <v>90</v>
      </c>
    </row>
    <row r="1450" spans="1:90" x14ac:dyDescent="0.3">
      <c r="A1450" t="s">
        <v>72</v>
      </c>
      <c r="B1450" t="s">
        <v>73</v>
      </c>
      <c r="C1450" t="s">
        <v>74</v>
      </c>
      <c r="E1450" t="str">
        <f>"080065893369"</f>
        <v>080065893369</v>
      </c>
      <c r="F1450" s="3">
        <v>45819</v>
      </c>
      <c r="G1450">
        <v>202603</v>
      </c>
      <c r="H1450" t="s">
        <v>75</v>
      </c>
      <c r="I1450" t="s">
        <v>76</v>
      </c>
      <c r="J1450" t="s">
        <v>77</v>
      </c>
      <c r="K1450" t="s">
        <v>78</v>
      </c>
      <c r="L1450" t="s">
        <v>331</v>
      </c>
      <c r="M1450" t="s">
        <v>332</v>
      </c>
      <c r="N1450" t="s">
        <v>2069</v>
      </c>
      <c r="O1450" t="s">
        <v>82</v>
      </c>
      <c r="P1450" t="str">
        <f>"4170043336                    "</f>
        <v xml:space="preserve">4170043336                    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20.9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>
        <v>0</v>
      </c>
      <c r="BF1450">
        <v>0</v>
      </c>
      <c r="BG1450">
        <v>0</v>
      </c>
      <c r="BH1450">
        <v>1</v>
      </c>
      <c r="BI1450">
        <v>1</v>
      </c>
      <c r="BJ1450">
        <v>0.2</v>
      </c>
      <c r="BK1450">
        <v>1</v>
      </c>
      <c r="BL1450">
        <v>69.5</v>
      </c>
      <c r="BM1450">
        <v>10.43</v>
      </c>
      <c r="BN1450">
        <v>79.930000000000007</v>
      </c>
      <c r="BO1450">
        <v>79.930000000000007</v>
      </c>
      <c r="BQ1450" t="s">
        <v>2070</v>
      </c>
      <c r="BR1450" t="s">
        <v>84</v>
      </c>
      <c r="BS1450" t="s">
        <v>189</v>
      </c>
      <c r="BV1450" t="s">
        <v>90</v>
      </c>
      <c r="BY1450">
        <v>1200</v>
      </c>
      <c r="CC1450" t="s">
        <v>332</v>
      </c>
      <c r="CD1450">
        <v>4060</v>
      </c>
      <c r="CE1450" t="s">
        <v>215</v>
      </c>
      <c r="CI1450">
        <v>1</v>
      </c>
      <c r="CJ1450" t="s">
        <v>189</v>
      </c>
      <c r="CK1450">
        <v>21</v>
      </c>
      <c r="CL1450" t="s">
        <v>90</v>
      </c>
    </row>
    <row r="1451" spans="1:90" x14ac:dyDescent="0.3">
      <c r="A1451" t="s">
        <v>72</v>
      </c>
      <c r="B1451" t="s">
        <v>73</v>
      </c>
      <c r="C1451" t="s">
        <v>74</v>
      </c>
      <c r="E1451" t="str">
        <f>"080065893396"</f>
        <v>080065893396</v>
      </c>
      <c r="F1451" s="3">
        <v>45819</v>
      </c>
      <c r="G1451">
        <v>202603</v>
      </c>
      <c r="H1451" t="s">
        <v>75</v>
      </c>
      <c r="I1451" t="s">
        <v>76</v>
      </c>
      <c r="J1451" t="s">
        <v>77</v>
      </c>
      <c r="K1451" t="s">
        <v>78</v>
      </c>
      <c r="L1451" t="s">
        <v>331</v>
      </c>
      <c r="M1451" t="s">
        <v>332</v>
      </c>
      <c r="N1451" t="s">
        <v>1084</v>
      </c>
      <c r="O1451" t="s">
        <v>82</v>
      </c>
      <c r="P1451" t="str">
        <f>"4170043196                    "</f>
        <v xml:space="preserve">4170043196                    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20.9</v>
      </c>
      <c r="AR1451">
        <v>0</v>
      </c>
      <c r="AS1451">
        <v>0</v>
      </c>
      <c r="AT1451">
        <v>0</v>
      </c>
      <c r="AU1451">
        <v>0</v>
      </c>
      <c r="AV1451">
        <v>0</v>
      </c>
      <c r="AW1451">
        <v>0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>
        <v>0</v>
      </c>
      <c r="BD1451">
        <v>0</v>
      </c>
      <c r="BE1451">
        <v>0</v>
      </c>
      <c r="BF1451">
        <v>0</v>
      </c>
      <c r="BG1451">
        <v>0</v>
      </c>
      <c r="BH1451">
        <v>1</v>
      </c>
      <c r="BI1451">
        <v>1</v>
      </c>
      <c r="BJ1451">
        <v>0.2</v>
      </c>
      <c r="BK1451">
        <v>1</v>
      </c>
      <c r="BL1451">
        <v>69.5</v>
      </c>
      <c r="BM1451">
        <v>10.43</v>
      </c>
      <c r="BN1451">
        <v>79.930000000000007</v>
      </c>
      <c r="BO1451">
        <v>79.930000000000007</v>
      </c>
      <c r="BQ1451" t="s">
        <v>1085</v>
      </c>
      <c r="BR1451" t="s">
        <v>84</v>
      </c>
      <c r="BS1451" t="s">
        <v>189</v>
      </c>
      <c r="BV1451" t="s">
        <v>90</v>
      </c>
      <c r="BY1451">
        <v>1200</v>
      </c>
      <c r="CC1451" t="s">
        <v>332</v>
      </c>
      <c r="CD1451">
        <v>4000</v>
      </c>
      <c r="CE1451" t="s">
        <v>1823</v>
      </c>
      <c r="CI1451">
        <v>1</v>
      </c>
      <c r="CJ1451" t="s">
        <v>189</v>
      </c>
      <c r="CK1451">
        <v>21</v>
      </c>
      <c r="CL1451" t="s">
        <v>90</v>
      </c>
    </row>
    <row r="1452" spans="1:90" x14ac:dyDescent="0.3">
      <c r="A1452" t="s">
        <v>72</v>
      </c>
      <c r="B1452" t="s">
        <v>73</v>
      </c>
      <c r="C1452" t="s">
        <v>74</v>
      </c>
      <c r="E1452" t="str">
        <f>"080065893422"</f>
        <v>080065893422</v>
      </c>
      <c r="F1452" s="3">
        <v>45819</v>
      </c>
      <c r="G1452">
        <v>202603</v>
      </c>
      <c r="H1452" t="s">
        <v>75</v>
      </c>
      <c r="I1452" t="s">
        <v>76</v>
      </c>
      <c r="J1452" t="s">
        <v>77</v>
      </c>
      <c r="K1452" t="s">
        <v>78</v>
      </c>
      <c r="L1452" t="s">
        <v>201</v>
      </c>
      <c r="M1452" t="s">
        <v>202</v>
      </c>
      <c r="N1452" t="s">
        <v>203</v>
      </c>
      <c r="O1452" t="s">
        <v>82</v>
      </c>
      <c r="P1452" t="str">
        <f>"4170043177                    "</f>
        <v xml:space="preserve">4170043177                    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40.49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  <c r="BC1452">
        <v>0</v>
      </c>
      <c r="BD1452">
        <v>0</v>
      </c>
      <c r="BE1452">
        <v>0</v>
      </c>
      <c r="BF1452">
        <v>0</v>
      </c>
      <c r="BG1452">
        <v>0</v>
      </c>
      <c r="BH1452">
        <v>1</v>
      </c>
      <c r="BI1452">
        <v>1</v>
      </c>
      <c r="BJ1452">
        <v>0.2</v>
      </c>
      <c r="BK1452">
        <v>1</v>
      </c>
      <c r="BL1452">
        <v>134.65</v>
      </c>
      <c r="BM1452">
        <v>20.2</v>
      </c>
      <c r="BN1452">
        <v>154.85</v>
      </c>
      <c r="BO1452">
        <v>154.85</v>
      </c>
      <c r="BQ1452" t="s">
        <v>204</v>
      </c>
      <c r="BR1452" t="s">
        <v>84</v>
      </c>
      <c r="BS1452" t="s">
        <v>189</v>
      </c>
      <c r="BV1452" t="s">
        <v>90</v>
      </c>
      <c r="BY1452">
        <v>1200</v>
      </c>
      <c r="CC1452" t="s">
        <v>202</v>
      </c>
      <c r="CD1452">
        <v>5257</v>
      </c>
      <c r="CE1452" t="s">
        <v>215</v>
      </c>
      <c r="CI1452">
        <v>1</v>
      </c>
      <c r="CJ1452" t="s">
        <v>189</v>
      </c>
      <c r="CK1452">
        <v>23</v>
      </c>
      <c r="CL1452" t="s">
        <v>90</v>
      </c>
    </row>
    <row r="1453" spans="1:90" x14ac:dyDescent="0.3">
      <c r="A1453" t="s">
        <v>72</v>
      </c>
      <c r="B1453" t="s">
        <v>73</v>
      </c>
      <c r="C1453" t="s">
        <v>74</v>
      </c>
      <c r="E1453" t="str">
        <f>"080065893442"</f>
        <v>080065893442</v>
      </c>
      <c r="F1453" s="3">
        <v>45819</v>
      </c>
      <c r="G1453">
        <v>202603</v>
      </c>
      <c r="H1453" t="s">
        <v>75</v>
      </c>
      <c r="I1453" t="s">
        <v>76</v>
      </c>
      <c r="J1453" t="s">
        <v>77</v>
      </c>
      <c r="K1453" t="s">
        <v>78</v>
      </c>
      <c r="L1453" t="s">
        <v>100</v>
      </c>
      <c r="M1453" t="s">
        <v>101</v>
      </c>
      <c r="N1453" t="s">
        <v>1535</v>
      </c>
      <c r="O1453" t="s">
        <v>82</v>
      </c>
      <c r="P1453" t="str">
        <f>"4170043120                    "</f>
        <v xml:space="preserve">4170043120                    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20.9</v>
      </c>
      <c r="AR1453">
        <v>0</v>
      </c>
      <c r="AS1453">
        <v>0</v>
      </c>
      <c r="AT1453">
        <v>0</v>
      </c>
      <c r="AU1453">
        <v>0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>
        <v>0</v>
      </c>
      <c r="BD1453">
        <v>0</v>
      </c>
      <c r="BE1453">
        <v>0</v>
      </c>
      <c r="BF1453">
        <v>0</v>
      </c>
      <c r="BG1453">
        <v>0</v>
      </c>
      <c r="BH1453">
        <v>1</v>
      </c>
      <c r="BI1453">
        <v>1</v>
      </c>
      <c r="BJ1453">
        <v>0.2</v>
      </c>
      <c r="BK1453">
        <v>1</v>
      </c>
      <c r="BL1453">
        <v>69.5</v>
      </c>
      <c r="BM1453">
        <v>10.43</v>
      </c>
      <c r="BN1453">
        <v>79.930000000000007</v>
      </c>
      <c r="BO1453">
        <v>79.930000000000007</v>
      </c>
      <c r="BQ1453" t="s">
        <v>1536</v>
      </c>
      <c r="BR1453" t="s">
        <v>84</v>
      </c>
      <c r="BS1453" t="s">
        <v>189</v>
      </c>
      <c r="BV1453" t="s">
        <v>90</v>
      </c>
      <c r="BY1453">
        <v>1200</v>
      </c>
      <c r="CC1453" t="s">
        <v>101</v>
      </c>
      <c r="CD1453">
        <v>6001</v>
      </c>
      <c r="CE1453" t="s">
        <v>215</v>
      </c>
      <c r="CI1453">
        <v>1</v>
      </c>
      <c r="CJ1453" t="s">
        <v>189</v>
      </c>
      <c r="CK1453">
        <v>21</v>
      </c>
      <c r="CL1453" t="s">
        <v>90</v>
      </c>
    </row>
    <row r="1454" spans="1:90" x14ac:dyDescent="0.3">
      <c r="A1454" t="s">
        <v>72</v>
      </c>
      <c r="B1454" t="s">
        <v>73</v>
      </c>
      <c r="C1454" t="s">
        <v>74</v>
      </c>
      <c r="E1454" t="str">
        <f>"080065893479"</f>
        <v>080065893479</v>
      </c>
      <c r="F1454" s="3">
        <v>45819</v>
      </c>
      <c r="G1454">
        <v>202603</v>
      </c>
      <c r="H1454" t="s">
        <v>75</v>
      </c>
      <c r="I1454" t="s">
        <v>76</v>
      </c>
      <c r="J1454" t="s">
        <v>77</v>
      </c>
      <c r="K1454" t="s">
        <v>78</v>
      </c>
      <c r="L1454" t="s">
        <v>159</v>
      </c>
      <c r="M1454" t="s">
        <v>160</v>
      </c>
      <c r="N1454" t="s">
        <v>856</v>
      </c>
      <c r="O1454" t="s">
        <v>82</v>
      </c>
      <c r="P1454" t="str">
        <f>"4170043357                    "</f>
        <v xml:space="preserve">4170043357                    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16.32</v>
      </c>
      <c r="AR1454">
        <v>0</v>
      </c>
      <c r="AS1454">
        <v>0</v>
      </c>
      <c r="AT1454">
        <v>0</v>
      </c>
      <c r="AU1454">
        <v>0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  <c r="BC1454">
        <v>0</v>
      </c>
      <c r="BD1454">
        <v>0</v>
      </c>
      <c r="BE1454">
        <v>0</v>
      </c>
      <c r="BF1454">
        <v>0</v>
      </c>
      <c r="BG1454">
        <v>0</v>
      </c>
      <c r="BH1454">
        <v>1</v>
      </c>
      <c r="BI1454">
        <v>1</v>
      </c>
      <c r="BJ1454">
        <v>0.2</v>
      </c>
      <c r="BK1454">
        <v>1</v>
      </c>
      <c r="BL1454">
        <v>54.28</v>
      </c>
      <c r="BM1454">
        <v>8.14</v>
      </c>
      <c r="BN1454">
        <v>62.42</v>
      </c>
      <c r="BO1454">
        <v>62.42</v>
      </c>
      <c r="BQ1454" t="s">
        <v>857</v>
      </c>
      <c r="BR1454" t="s">
        <v>84</v>
      </c>
      <c r="BS1454" t="s">
        <v>189</v>
      </c>
      <c r="BV1454" t="s">
        <v>90</v>
      </c>
      <c r="BY1454">
        <v>1200</v>
      </c>
      <c r="CC1454" t="s">
        <v>160</v>
      </c>
      <c r="CD1454">
        <v>2013</v>
      </c>
      <c r="CE1454" t="s">
        <v>215</v>
      </c>
      <c r="CI1454">
        <v>1</v>
      </c>
      <c r="CJ1454" t="s">
        <v>189</v>
      </c>
      <c r="CK1454">
        <v>22</v>
      </c>
      <c r="CL1454" t="s">
        <v>90</v>
      </c>
    </row>
    <row r="1455" spans="1:90" x14ac:dyDescent="0.3">
      <c r="A1455" t="s">
        <v>72</v>
      </c>
      <c r="B1455" t="s">
        <v>73</v>
      </c>
      <c r="C1455" t="s">
        <v>74</v>
      </c>
      <c r="E1455" t="str">
        <f>"080065893538"</f>
        <v>080065893538</v>
      </c>
      <c r="F1455" s="3">
        <v>45819</v>
      </c>
      <c r="G1455">
        <v>202603</v>
      </c>
      <c r="H1455" t="s">
        <v>75</v>
      </c>
      <c r="I1455" t="s">
        <v>76</v>
      </c>
      <c r="J1455" t="s">
        <v>77</v>
      </c>
      <c r="K1455" t="s">
        <v>78</v>
      </c>
      <c r="L1455" t="s">
        <v>75</v>
      </c>
      <c r="M1455" t="s">
        <v>76</v>
      </c>
      <c r="N1455" t="s">
        <v>112</v>
      </c>
      <c r="O1455" t="s">
        <v>82</v>
      </c>
      <c r="P1455" t="str">
        <f>"4170043121                    "</f>
        <v xml:space="preserve">4170043121                    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16.32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>
        <v>0</v>
      </c>
      <c r="BD1455">
        <v>0</v>
      </c>
      <c r="BE1455">
        <v>0</v>
      </c>
      <c r="BF1455">
        <v>0</v>
      </c>
      <c r="BG1455">
        <v>0</v>
      </c>
      <c r="BH1455">
        <v>1</v>
      </c>
      <c r="BI1455">
        <v>1</v>
      </c>
      <c r="BJ1455">
        <v>0.2</v>
      </c>
      <c r="BK1455">
        <v>1</v>
      </c>
      <c r="BL1455">
        <v>54.28</v>
      </c>
      <c r="BM1455">
        <v>8.14</v>
      </c>
      <c r="BN1455">
        <v>62.42</v>
      </c>
      <c r="BO1455">
        <v>62.42</v>
      </c>
      <c r="BQ1455" t="s">
        <v>113</v>
      </c>
      <c r="BR1455" t="s">
        <v>84</v>
      </c>
      <c r="BS1455" t="s">
        <v>189</v>
      </c>
      <c r="BV1455" t="s">
        <v>90</v>
      </c>
      <c r="BY1455">
        <v>1200</v>
      </c>
      <c r="CC1455" t="s">
        <v>76</v>
      </c>
      <c r="CD1455">
        <v>1600</v>
      </c>
      <c r="CE1455" t="s">
        <v>215</v>
      </c>
      <c r="CI1455">
        <v>1</v>
      </c>
      <c r="CJ1455" t="s">
        <v>189</v>
      </c>
      <c r="CK1455">
        <v>22</v>
      </c>
      <c r="CL1455" t="s">
        <v>90</v>
      </c>
    </row>
    <row r="1456" spans="1:90" x14ac:dyDescent="0.3">
      <c r="A1456" t="s">
        <v>72</v>
      </c>
      <c r="B1456" t="s">
        <v>73</v>
      </c>
      <c r="C1456" t="s">
        <v>74</v>
      </c>
      <c r="E1456" t="str">
        <f>"080065893640"</f>
        <v>080065893640</v>
      </c>
      <c r="F1456" s="3">
        <v>45819</v>
      </c>
      <c r="G1456">
        <v>202603</v>
      </c>
      <c r="H1456" t="s">
        <v>75</v>
      </c>
      <c r="I1456" t="s">
        <v>76</v>
      </c>
      <c r="J1456" t="s">
        <v>77</v>
      </c>
      <c r="K1456" t="s">
        <v>78</v>
      </c>
      <c r="L1456" t="s">
        <v>331</v>
      </c>
      <c r="M1456" t="s">
        <v>332</v>
      </c>
      <c r="N1456" t="s">
        <v>1499</v>
      </c>
      <c r="O1456" t="s">
        <v>82</v>
      </c>
      <c r="P1456" t="str">
        <f>"4170043348                    "</f>
        <v xml:space="preserve">4170043348                    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20.9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</v>
      </c>
      <c r="AX1456">
        <v>0</v>
      </c>
      <c r="AY1456">
        <v>0</v>
      </c>
      <c r="AZ1456">
        <v>0</v>
      </c>
      <c r="BA1456">
        <v>0</v>
      </c>
      <c r="BB1456">
        <v>0</v>
      </c>
      <c r="BC1456">
        <v>0</v>
      </c>
      <c r="BD1456">
        <v>0</v>
      </c>
      <c r="BE1456">
        <v>0</v>
      </c>
      <c r="BF1456">
        <v>0</v>
      </c>
      <c r="BG1456">
        <v>0</v>
      </c>
      <c r="BH1456">
        <v>1</v>
      </c>
      <c r="BI1456">
        <v>1</v>
      </c>
      <c r="BJ1456">
        <v>0.2</v>
      </c>
      <c r="BK1456">
        <v>1</v>
      </c>
      <c r="BL1456">
        <v>69.5</v>
      </c>
      <c r="BM1456">
        <v>10.43</v>
      </c>
      <c r="BN1456">
        <v>79.930000000000007</v>
      </c>
      <c r="BO1456">
        <v>79.930000000000007</v>
      </c>
      <c r="BQ1456" t="s">
        <v>1500</v>
      </c>
      <c r="BR1456" t="s">
        <v>84</v>
      </c>
      <c r="BS1456" s="3">
        <v>45820</v>
      </c>
      <c r="BT1456" s="4">
        <v>0.34166666666666667</v>
      </c>
      <c r="BU1456" t="s">
        <v>335</v>
      </c>
      <c r="BV1456" t="s">
        <v>86</v>
      </c>
      <c r="BY1456">
        <v>1200</v>
      </c>
      <c r="CA1456" t="s">
        <v>336</v>
      </c>
      <c r="CC1456" t="s">
        <v>332</v>
      </c>
      <c r="CD1456">
        <v>4051</v>
      </c>
      <c r="CE1456" t="s">
        <v>2071</v>
      </c>
      <c r="CI1456">
        <v>1</v>
      </c>
      <c r="CJ1456">
        <v>1</v>
      </c>
      <c r="CK1456">
        <v>21</v>
      </c>
      <c r="CL1456" t="s">
        <v>90</v>
      </c>
    </row>
    <row r="1457" spans="1:90" x14ac:dyDescent="0.3">
      <c r="A1457" t="s">
        <v>72</v>
      </c>
      <c r="B1457" t="s">
        <v>73</v>
      </c>
      <c r="C1457" t="s">
        <v>74</v>
      </c>
      <c r="E1457" t="str">
        <f>"080065893669"</f>
        <v>080065893669</v>
      </c>
      <c r="F1457" s="3">
        <v>45819</v>
      </c>
      <c r="G1457">
        <v>202603</v>
      </c>
      <c r="H1457" t="s">
        <v>75</v>
      </c>
      <c r="I1457" t="s">
        <v>76</v>
      </c>
      <c r="J1457" t="s">
        <v>77</v>
      </c>
      <c r="K1457" t="s">
        <v>78</v>
      </c>
      <c r="L1457" t="s">
        <v>375</v>
      </c>
      <c r="M1457" t="s">
        <v>376</v>
      </c>
      <c r="N1457" t="s">
        <v>2051</v>
      </c>
      <c r="O1457" t="s">
        <v>82</v>
      </c>
      <c r="P1457" t="str">
        <f>"4170043368                    "</f>
        <v xml:space="preserve">4170043368                    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16.32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  <c r="BC1457">
        <v>0</v>
      </c>
      <c r="BD1457">
        <v>0</v>
      </c>
      <c r="BE1457">
        <v>0</v>
      </c>
      <c r="BF1457">
        <v>0</v>
      </c>
      <c r="BG1457">
        <v>0</v>
      </c>
      <c r="BH1457">
        <v>1</v>
      </c>
      <c r="BI1457">
        <v>1</v>
      </c>
      <c r="BJ1457">
        <v>0.2</v>
      </c>
      <c r="BK1457">
        <v>1</v>
      </c>
      <c r="BL1457">
        <v>54.28</v>
      </c>
      <c r="BM1457">
        <v>8.14</v>
      </c>
      <c r="BN1457">
        <v>62.42</v>
      </c>
      <c r="BO1457">
        <v>62.42</v>
      </c>
      <c r="BQ1457" t="s">
        <v>2052</v>
      </c>
      <c r="BR1457" t="s">
        <v>84</v>
      </c>
      <c r="BS1457" s="3">
        <v>45820</v>
      </c>
      <c r="BT1457" s="4">
        <v>0.31805555555555554</v>
      </c>
      <c r="BU1457" t="s">
        <v>2053</v>
      </c>
      <c r="BV1457" t="s">
        <v>86</v>
      </c>
      <c r="BY1457">
        <v>1200</v>
      </c>
      <c r="CA1457" t="s">
        <v>279</v>
      </c>
      <c r="CC1457" t="s">
        <v>376</v>
      </c>
      <c r="CD1457">
        <v>1429</v>
      </c>
      <c r="CE1457" t="s">
        <v>215</v>
      </c>
      <c r="CI1457">
        <v>1</v>
      </c>
      <c r="CJ1457">
        <v>1</v>
      </c>
      <c r="CK1457">
        <v>22</v>
      </c>
      <c r="CL1457" t="s">
        <v>90</v>
      </c>
    </row>
    <row r="1458" spans="1:90" x14ac:dyDescent="0.3">
      <c r="A1458" t="s">
        <v>72</v>
      </c>
      <c r="B1458" t="s">
        <v>73</v>
      </c>
      <c r="C1458" t="s">
        <v>74</v>
      </c>
      <c r="E1458" t="str">
        <f>"080065893706"</f>
        <v>080065893706</v>
      </c>
      <c r="F1458" s="3">
        <v>45819</v>
      </c>
      <c r="G1458">
        <v>202603</v>
      </c>
      <c r="H1458" t="s">
        <v>75</v>
      </c>
      <c r="I1458" t="s">
        <v>76</v>
      </c>
      <c r="J1458" t="s">
        <v>77</v>
      </c>
      <c r="K1458" t="s">
        <v>78</v>
      </c>
      <c r="L1458" t="s">
        <v>251</v>
      </c>
      <c r="M1458" t="s">
        <v>252</v>
      </c>
      <c r="N1458" t="s">
        <v>567</v>
      </c>
      <c r="O1458" t="s">
        <v>82</v>
      </c>
      <c r="P1458" t="str">
        <f>"4170043184                    "</f>
        <v xml:space="preserve">4170043184                    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20.9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</v>
      </c>
      <c r="AX1458">
        <v>0</v>
      </c>
      <c r="AY1458">
        <v>0</v>
      </c>
      <c r="AZ1458">
        <v>0</v>
      </c>
      <c r="BA1458">
        <v>0</v>
      </c>
      <c r="BB1458">
        <v>0</v>
      </c>
      <c r="BC1458">
        <v>0</v>
      </c>
      <c r="BD1458">
        <v>0</v>
      </c>
      <c r="BE1458">
        <v>0</v>
      </c>
      <c r="BF1458">
        <v>0</v>
      </c>
      <c r="BG1458">
        <v>0</v>
      </c>
      <c r="BH1458">
        <v>1</v>
      </c>
      <c r="BI1458">
        <v>1</v>
      </c>
      <c r="BJ1458">
        <v>0.2</v>
      </c>
      <c r="BK1458">
        <v>1</v>
      </c>
      <c r="BL1458">
        <v>69.5</v>
      </c>
      <c r="BM1458">
        <v>10.43</v>
      </c>
      <c r="BN1458">
        <v>79.930000000000007</v>
      </c>
      <c r="BO1458">
        <v>79.930000000000007</v>
      </c>
      <c r="BQ1458" t="s">
        <v>568</v>
      </c>
      <c r="BR1458" t="s">
        <v>84</v>
      </c>
      <c r="BS1458" t="s">
        <v>189</v>
      </c>
      <c r="BV1458" t="s">
        <v>90</v>
      </c>
      <c r="BY1458">
        <v>1200</v>
      </c>
      <c r="CC1458" t="s">
        <v>252</v>
      </c>
      <c r="CD1458">
        <v>4302</v>
      </c>
      <c r="CE1458" t="s">
        <v>215</v>
      </c>
      <c r="CI1458">
        <v>1</v>
      </c>
      <c r="CJ1458" t="s">
        <v>189</v>
      </c>
      <c r="CK1458">
        <v>21</v>
      </c>
      <c r="CL1458" t="s">
        <v>90</v>
      </c>
    </row>
    <row r="1459" spans="1:90" x14ac:dyDescent="0.3">
      <c r="A1459" t="s">
        <v>72</v>
      </c>
      <c r="B1459" t="s">
        <v>73</v>
      </c>
      <c r="C1459" t="s">
        <v>74</v>
      </c>
      <c r="E1459" t="str">
        <f>"080065893775"</f>
        <v>080065893775</v>
      </c>
      <c r="F1459" s="3">
        <v>45819</v>
      </c>
      <c r="G1459">
        <v>202603</v>
      </c>
      <c r="H1459" t="s">
        <v>75</v>
      </c>
      <c r="I1459" t="s">
        <v>76</v>
      </c>
      <c r="J1459" t="s">
        <v>77</v>
      </c>
      <c r="K1459" t="s">
        <v>78</v>
      </c>
      <c r="L1459" t="s">
        <v>331</v>
      </c>
      <c r="M1459" t="s">
        <v>332</v>
      </c>
      <c r="N1459" t="s">
        <v>2072</v>
      </c>
      <c r="O1459" t="s">
        <v>82</v>
      </c>
      <c r="P1459" t="str">
        <f>"4170043345                    "</f>
        <v xml:space="preserve">4170043345                    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20.9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>
        <v>0</v>
      </c>
      <c r="AY1459">
        <v>0</v>
      </c>
      <c r="AZ1459">
        <v>0</v>
      </c>
      <c r="BA1459">
        <v>0</v>
      </c>
      <c r="BB1459">
        <v>0</v>
      </c>
      <c r="BC1459">
        <v>0</v>
      </c>
      <c r="BD1459">
        <v>0</v>
      </c>
      <c r="BE1459">
        <v>0</v>
      </c>
      <c r="BF1459">
        <v>0</v>
      </c>
      <c r="BG1459">
        <v>0</v>
      </c>
      <c r="BH1459">
        <v>1</v>
      </c>
      <c r="BI1459">
        <v>1</v>
      </c>
      <c r="BJ1459">
        <v>0.2</v>
      </c>
      <c r="BK1459">
        <v>1</v>
      </c>
      <c r="BL1459">
        <v>69.5</v>
      </c>
      <c r="BM1459">
        <v>10.43</v>
      </c>
      <c r="BN1459">
        <v>79.930000000000007</v>
      </c>
      <c r="BO1459">
        <v>79.930000000000007</v>
      </c>
      <c r="BQ1459" t="s">
        <v>2073</v>
      </c>
      <c r="BR1459" t="s">
        <v>84</v>
      </c>
      <c r="BS1459" t="s">
        <v>189</v>
      </c>
      <c r="BV1459" t="s">
        <v>90</v>
      </c>
      <c r="BY1459">
        <v>1200</v>
      </c>
      <c r="CC1459" t="s">
        <v>332</v>
      </c>
      <c r="CD1459">
        <v>4072</v>
      </c>
      <c r="CE1459" t="s">
        <v>215</v>
      </c>
      <c r="CI1459">
        <v>1</v>
      </c>
      <c r="CJ1459" t="s">
        <v>189</v>
      </c>
      <c r="CK1459">
        <v>21</v>
      </c>
      <c r="CL1459" t="s">
        <v>90</v>
      </c>
    </row>
    <row r="1460" spans="1:90" x14ac:dyDescent="0.3">
      <c r="A1460" t="s">
        <v>72</v>
      </c>
      <c r="B1460" t="s">
        <v>73</v>
      </c>
      <c r="C1460" t="s">
        <v>74</v>
      </c>
      <c r="E1460" t="str">
        <f>"080065893806"</f>
        <v>080065893806</v>
      </c>
      <c r="F1460" s="3">
        <v>45819</v>
      </c>
      <c r="G1460">
        <v>202603</v>
      </c>
      <c r="H1460" t="s">
        <v>75</v>
      </c>
      <c r="I1460" t="s">
        <v>76</v>
      </c>
      <c r="J1460" t="s">
        <v>77</v>
      </c>
      <c r="K1460" t="s">
        <v>78</v>
      </c>
      <c r="L1460" t="s">
        <v>154</v>
      </c>
      <c r="M1460" t="s">
        <v>154</v>
      </c>
      <c r="N1460" t="s">
        <v>1736</v>
      </c>
      <c r="O1460" t="s">
        <v>82</v>
      </c>
      <c r="P1460" t="str">
        <f>"4170043176                    "</f>
        <v xml:space="preserve">4170043176                    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40.49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>
        <v>0</v>
      </c>
      <c r="BF1460">
        <v>0</v>
      </c>
      <c r="BG1460">
        <v>0</v>
      </c>
      <c r="BH1460">
        <v>1</v>
      </c>
      <c r="BI1460">
        <v>1</v>
      </c>
      <c r="BJ1460">
        <v>0.2</v>
      </c>
      <c r="BK1460">
        <v>1</v>
      </c>
      <c r="BL1460">
        <v>134.65</v>
      </c>
      <c r="BM1460">
        <v>20.2</v>
      </c>
      <c r="BN1460">
        <v>154.85</v>
      </c>
      <c r="BO1460">
        <v>154.85</v>
      </c>
      <c r="BQ1460" t="s">
        <v>1737</v>
      </c>
      <c r="BR1460" t="s">
        <v>84</v>
      </c>
      <c r="BS1460" t="s">
        <v>189</v>
      </c>
      <c r="BV1460" t="s">
        <v>90</v>
      </c>
      <c r="BY1460">
        <v>1200</v>
      </c>
      <c r="CC1460" t="s">
        <v>154</v>
      </c>
      <c r="CD1460">
        <v>7646</v>
      </c>
      <c r="CE1460" t="s">
        <v>215</v>
      </c>
      <c r="CI1460">
        <v>1</v>
      </c>
      <c r="CJ1460" t="s">
        <v>189</v>
      </c>
      <c r="CK1460">
        <v>23</v>
      </c>
      <c r="CL1460" t="s">
        <v>90</v>
      </c>
    </row>
    <row r="1461" spans="1:90" x14ac:dyDescent="0.3">
      <c r="A1461" t="s">
        <v>72</v>
      </c>
      <c r="B1461" t="s">
        <v>73</v>
      </c>
      <c r="C1461" t="s">
        <v>74</v>
      </c>
      <c r="E1461" t="str">
        <f>"080065893842"</f>
        <v>080065893842</v>
      </c>
      <c r="F1461" s="3">
        <v>45819</v>
      </c>
      <c r="G1461">
        <v>202603</v>
      </c>
      <c r="H1461" t="s">
        <v>75</v>
      </c>
      <c r="I1461" t="s">
        <v>76</v>
      </c>
      <c r="J1461" t="s">
        <v>77</v>
      </c>
      <c r="K1461" t="s">
        <v>78</v>
      </c>
      <c r="L1461" t="s">
        <v>990</v>
      </c>
      <c r="M1461" t="s">
        <v>991</v>
      </c>
      <c r="N1461" t="s">
        <v>992</v>
      </c>
      <c r="O1461" t="s">
        <v>82</v>
      </c>
      <c r="P1461" t="str">
        <f>"4170043330                    "</f>
        <v xml:space="preserve">4170043330                    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40.49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>
        <v>0</v>
      </c>
      <c r="BD1461">
        <v>0</v>
      </c>
      <c r="BE1461">
        <v>0</v>
      </c>
      <c r="BF1461">
        <v>0</v>
      </c>
      <c r="BG1461">
        <v>0</v>
      </c>
      <c r="BH1461">
        <v>1</v>
      </c>
      <c r="BI1461">
        <v>1</v>
      </c>
      <c r="BJ1461">
        <v>0.2</v>
      </c>
      <c r="BK1461">
        <v>1</v>
      </c>
      <c r="BL1461">
        <v>134.65</v>
      </c>
      <c r="BM1461">
        <v>20.2</v>
      </c>
      <c r="BN1461">
        <v>154.85</v>
      </c>
      <c r="BO1461">
        <v>154.85</v>
      </c>
      <c r="BQ1461" t="s">
        <v>993</v>
      </c>
      <c r="BR1461" t="s">
        <v>84</v>
      </c>
      <c r="BS1461" t="s">
        <v>189</v>
      </c>
      <c r="BV1461" t="s">
        <v>90</v>
      </c>
      <c r="BY1461">
        <v>1200</v>
      </c>
      <c r="CC1461" t="s">
        <v>991</v>
      </c>
      <c r="CD1461">
        <v>850</v>
      </c>
      <c r="CE1461" t="s">
        <v>215</v>
      </c>
      <c r="CI1461">
        <v>1</v>
      </c>
      <c r="CJ1461" t="s">
        <v>189</v>
      </c>
      <c r="CK1461">
        <v>23</v>
      </c>
      <c r="CL1461" t="s">
        <v>90</v>
      </c>
    </row>
    <row r="1462" spans="1:90" x14ac:dyDescent="0.3">
      <c r="A1462" t="s">
        <v>72</v>
      </c>
      <c r="B1462" t="s">
        <v>73</v>
      </c>
      <c r="C1462" t="s">
        <v>74</v>
      </c>
      <c r="E1462" t="str">
        <f>"080065893875"</f>
        <v>080065893875</v>
      </c>
      <c r="F1462" s="3">
        <v>45819</v>
      </c>
      <c r="G1462">
        <v>202603</v>
      </c>
      <c r="H1462" t="s">
        <v>75</v>
      </c>
      <c r="I1462" t="s">
        <v>76</v>
      </c>
      <c r="J1462" t="s">
        <v>77</v>
      </c>
      <c r="K1462" t="s">
        <v>78</v>
      </c>
      <c r="L1462" t="s">
        <v>100</v>
      </c>
      <c r="M1462" t="s">
        <v>101</v>
      </c>
      <c r="N1462" t="s">
        <v>1006</v>
      </c>
      <c r="O1462" t="s">
        <v>82</v>
      </c>
      <c r="P1462" t="str">
        <f>"4170043102                    "</f>
        <v xml:space="preserve">4170043102                    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Q1462">
        <v>20.9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</v>
      </c>
      <c r="AX1462">
        <v>0</v>
      </c>
      <c r="AY1462">
        <v>0</v>
      </c>
      <c r="AZ1462">
        <v>0</v>
      </c>
      <c r="BA1462">
        <v>0</v>
      </c>
      <c r="BB1462">
        <v>0</v>
      </c>
      <c r="BC1462">
        <v>0</v>
      </c>
      <c r="BD1462">
        <v>0</v>
      </c>
      <c r="BE1462">
        <v>0</v>
      </c>
      <c r="BF1462">
        <v>0</v>
      </c>
      <c r="BG1462">
        <v>0</v>
      </c>
      <c r="BH1462">
        <v>1</v>
      </c>
      <c r="BI1462">
        <v>1</v>
      </c>
      <c r="BJ1462">
        <v>0.2</v>
      </c>
      <c r="BK1462">
        <v>1</v>
      </c>
      <c r="BL1462">
        <v>69.5</v>
      </c>
      <c r="BM1462">
        <v>10.43</v>
      </c>
      <c r="BN1462">
        <v>79.930000000000007</v>
      </c>
      <c r="BO1462">
        <v>79.930000000000007</v>
      </c>
      <c r="BQ1462" t="s">
        <v>1007</v>
      </c>
      <c r="BR1462" t="s">
        <v>84</v>
      </c>
      <c r="BS1462" t="s">
        <v>189</v>
      </c>
      <c r="BV1462" t="s">
        <v>90</v>
      </c>
      <c r="BY1462">
        <v>1200</v>
      </c>
      <c r="CC1462" t="s">
        <v>101</v>
      </c>
      <c r="CD1462">
        <v>6001</v>
      </c>
      <c r="CE1462" t="s">
        <v>215</v>
      </c>
      <c r="CI1462">
        <v>1</v>
      </c>
      <c r="CJ1462" t="s">
        <v>189</v>
      </c>
      <c r="CK1462">
        <v>21</v>
      </c>
      <c r="CL1462" t="s">
        <v>90</v>
      </c>
    </row>
    <row r="1463" spans="1:90" x14ac:dyDescent="0.3">
      <c r="A1463" t="s">
        <v>72</v>
      </c>
      <c r="B1463" t="s">
        <v>73</v>
      </c>
      <c r="C1463" t="s">
        <v>74</v>
      </c>
      <c r="E1463" t="str">
        <f>"080065893903"</f>
        <v>080065893903</v>
      </c>
      <c r="F1463" s="3">
        <v>45819</v>
      </c>
      <c r="G1463">
        <v>202603</v>
      </c>
      <c r="H1463" t="s">
        <v>75</v>
      </c>
      <c r="I1463" t="s">
        <v>76</v>
      </c>
      <c r="J1463" t="s">
        <v>77</v>
      </c>
      <c r="K1463" t="s">
        <v>78</v>
      </c>
      <c r="L1463" t="s">
        <v>106</v>
      </c>
      <c r="M1463" t="s">
        <v>107</v>
      </c>
      <c r="N1463" t="s">
        <v>495</v>
      </c>
      <c r="O1463" t="s">
        <v>82</v>
      </c>
      <c r="P1463" t="str">
        <f>"4170043165                    "</f>
        <v xml:space="preserve">4170043165                    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>
        <v>20.9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</v>
      </c>
      <c r="AX1463">
        <v>0</v>
      </c>
      <c r="AY1463">
        <v>0</v>
      </c>
      <c r="AZ1463">
        <v>0</v>
      </c>
      <c r="BA1463">
        <v>0</v>
      </c>
      <c r="BB1463">
        <v>0</v>
      </c>
      <c r="BC1463">
        <v>0</v>
      </c>
      <c r="BD1463">
        <v>0</v>
      </c>
      <c r="BE1463">
        <v>0</v>
      </c>
      <c r="BF1463">
        <v>0</v>
      </c>
      <c r="BG1463">
        <v>0</v>
      </c>
      <c r="BH1463">
        <v>1</v>
      </c>
      <c r="BI1463">
        <v>1</v>
      </c>
      <c r="BJ1463">
        <v>0.2</v>
      </c>
      <c r="BK1463">
        <v>1</v>
      </c>
      <c r="BL1463">
        <v>69.5</v>
      </c>
      <c r="BM1463">
        <v>10.43</v>
      </c>
      <c r="BN1463">
        <v>79.930000000000007</v>
      </c>
      <c r="BO1463">
        <v>79.930000000000007</v>
      </c>
      <c r="BQ1463" t="s">
        <v>496</v>
      </c>
      <c r="BR1463" t="s">
        <v>84</v>
      </c>
      <c r="BS1463" s="3">
        <v>45820</v>
      </c>
      <c r="BT1463" s="4">
        <v>0.32708333333333334</v>
      </c>
      <c r="BU1463" t="s">
        <v>497</v>
      </c>
      <c r="BV1463" t="s">
        <v>86</v>
      </c>
      <c r="BY1463">
        <v>1200</v>
      </c>
      <c r="CA1463" t="s">
        <v>316</v>
      </c>
      <c r="CC1463" t="s">
        <v>107</v>
      </c>
      <c r="CD1463">
        <v>2</v>
      </c>
      <c r="CE1463" t="s">
        <v>215</v>
      </c>
      <c r="CI1463">
        <v>1</v>
      </c>
      <c r="CJ1463">
        <v>1</v>
      </c>
      <c r="CK1463">
        <v>21</v>
      </c>
      <c r="CL1463" t="s">
        <v>90</v>
      </c>
    </row>
    <row r="1464" spans="1:90" x14ac:dyDescent="0.3">
      <c r="A1464" t="s">
        <v>72</v>
      </c>
      <c r="B1464" t="s">
        <v>73</v>
      </c>
      <c r="C1464" t="s">
        <v>74</v>
      </c>
      <c r="E1464" t="str">
        <f>"080065893933"</f>
        <v>080065893933</v>
      </c>
      <c r="F1464" s="3">
        <v>45819</v>
      </c>
      <c r="G1464">
        <v>202603</v>
      </c>
      <c r="H1464" t="s">
        <v>75</v>
      </c>
      <c r="I1464" t="s">
        <v>76</v>
      </c>
      <c r="J1464" t="s">
        <v>77</v>
      </c>
      <c r="K1464" t="s">
        <v>78</v>
      </c>
      <c r="L1464" t="s">
        <v>106</v>
      </c>
      <c r="M1464" t="s">
        <v>107</v>
      </c>
      <c r="N1464" t="s">
        <v>495</v>
      </c>
      <c r="O1464" t="s">
        <v>82</v>
      </c>
      <c r="P1464" t="str">
        <f>"4170043159                    "</f>
        <v xml:space="preserve">4170043159                    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20.9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>
        <v>0</v>
      </c>
      <c r="AY1464">
        <v>0</v>
      </c>
      <c r="AZ1464">
        <v>0</v>
      </c>
      <c r="BA1464">
        <v>0</v>
      </c>
      <c r="BB1464">
        <v>0</v>
      </c>
      <c r="BC1464">
        <v>0</v>
      </c>
      <c r="BD1464">
        <v>0</v>
      </c>
      <c r="BE1464">
        <v>0</v>
      </c>
      <c r="BF1464">
        <v>0</v>
      </c>
      <c r="BG1464">
        <v>0</v>
      </c>
      <c r="BH1464">
        <v>1</v>
      </c>
      <c r="BI1464">
        <v>1</v>
      </c>
      <c r="BJ1464">
        <v>0.2</v>
      </c>
      <c r="BK1464">
        <v>1</v>
      </c>
      <c r="BL1464">
        <v>69.5</v>
      </c>
      <c r="BM1464">
        <v>10.43</v>
      </c>
      <c r="BN1464">
        <v>79.930000000000007</v>
      </c>
      <c r="BO1464">
        <v>79.930000000000007</v>
      </c>
      <c r="BQ1464" t="s">
        <v>496</v>
      </c>
      <c r="BR1464" t="s">
        <v>84</v>
      </c>
      <c r="BS1464" s="3">
        <v>45820</v>
      </c>
      <c r="BT1464" s="4">
        <v>0.32708333333333334</v>
      </c>
      <c r="BU1464" t="s">
        <v>497</v>
      </c>
      <c r="BV1464" t="s">
        <v>86</v>
      </c>
      <c r="BY1464">
        <v>1200</v>
      </c>
      <c r="CA1464" t="s">
        <v>316</v>
      </c>
      <c r="CC1464" t="s">
        <v>107</v>
      </c>
      <c r="CD1464">
        <v>2</v>
      </c>
      <c r="CE1464" t="s">
        <v>215</v>
      </c>
      <c r="CI1464">
        <v>1</v>
      </c>
      <c r="CJ1464">
        <v>1</v>
      </c>
      <c r="CK1464">
        <v>21</v>
      </c>
      <c r="CL1464" t="s">
        <v>90</v>
      </c>
    </row>
    <row r="1465" spans="1:90" x14ac:dyDescent="0.3">
      <c r="A1465" t="s">
        <v>72</v>
      </c>
      <c r="B1465" t="s">
        <v>73</v>
      </c>
      <c r="C1465" t="s">
        <v>74</v>
      </c>
      <c r="E1465" t="str">
        <f>"080065893971"</f>
        <v>080065893971</v>
      </c>
      <c r="F1465" s="3">
        <v>45819</v>
      </c>
      <c r="G1465">
        <v>202603</v>
      </c>
      <c r="H1465" t="s">
        <v>75</v>
      </c>
      <c r="I1465" t="s">
        <v>76</v>
      </c>
      <c r="J1465" t="s">
        <v>77</v>
      </c>
      <c r="K1465" t="s">
        <v>78</v>
      </c>
      <c r="L1465" t="s">
        <v>75</v>
      </c>
      <c r="M1465" t="s">
        <v>76</v>
      </c>
      <c r="N1465" t="s">
        <v>112</v>
      </c>
      <c r="O1465" t="s">
        <v>82</v>
      </c>
      <c r="P1465" t="str">
        <f>"4170043369                    "</f>
        <v xml:space="preserve">4170043369                    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16.32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</v>
      </c>
      <c r="AX1465">
        <v>0</v>
      </c>
      <c r="AY1465">
        <v>0</v>
      </c>
      <c r="AZ1465">
        <v>0</v>
      </c>
      <c r="BA1465">
        <v>0</v>
      </c>
      <c r="BB1465">
        <v>0</v>
      </c>
      <c r="BC1465">
        <v>0</v>
      </c>
      <c r="BD1465">
        <v>0</v>
      </c>
      <c r="BE1465">
        <v>0</v>
      </c>
      <c r="BF1465">
        <v>0</v>
      </c>
      <c r="BG1465">
        <v>0</v>
      </c>
      <c r="BH1465">
        <v>1</v>
      </c>
      <c r="BI1465">
        <v>1</v>
      </c>
      <c r="BJ1465">
        <v>0.2</v>
      </c>
      <c r="BK1465">
        <v>1</v>
      </c>
      <c r="BL1465">
        <v>54.28</v>
      </c>
      <c r="BM1465">
        <v>8.14</v>
      </c>
      <c r="BN1465">
        <v>62.42</v>
      </c>
      <c r="BO1465">
        <v>62.42</v>
      </c>
      <c r="BQ1465" t="s">
        <v>113</v>
      </c>
      <c r="BR1465" t="s">
        <v>84</v>
      </c>
      <c r="BS1465" t="s">
        <v>189</v>
      </c>
      <c r="BV1465" t="s">
        <v>90</v>
      </c>
      <c r="BY1465">
        <v>1200</v>
      </c>
      <c r="CC1465" t="s">
        <v>76</v>
      </c>
      <c r="CD1465">
        <v>1600</v>
      </c>
      <c r="CE1465" t="s">
        <v>215</v>
      </c>
      <c r="CI1465">
        <v>1</v>
      </c>
      <c r="CJ1465" t="s">
        <v>189</v>
      </c>
      <c r="CK1465">
        <v>22</v>
      </c>
      <c r="CL1465" t="s">
        <v>90</v>
      </c>
    </row>
    <row r="1466" spans="1:90" x14ac:dyDescent="0.3">
      <c r="A1466" t="s">
        <v>72</v>
      </c>
      <c r="B1466" t="s">
        <v>73</v>
      </c>
      <c r="C1466" t="s">
        <v>74</v>
      </c>
      <c r="E1466" t="str">
        <f>"080065894009"</f>
        <v>080065894009</v>
      </c>
      <c r="F1466" s="3">
        <v>45819</v>
      </c>
      <c r="G1466">
        <v>202603</v>
      </c>
      <c r="H1466" t="s">
        <v>75</v>
      </c>
      <c r="I1466" t="s">
        <v>76</v>
      </c>
      <c r="J1466" t="s">
        <v>77</v>
      </c>
      <c r="K1466" t="s">
        <v>78</v>
      </c>
      <c r="L1466" t="s">
        <v>375</v>
      </c>
      <c r="M1466" t="s">
        <v>376</v>
      </c>
      <c r="N1466" t="s">
        <v>2074</v>
      </c>
      <c r="O1466" t="s">
        <v>82</v>
      </c>
      <c r="P1466" t="str">
        <f>"4170043359                    "</f>
        <v xml:space="preserve">4170043359                    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16.32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>
        <v>0</v>
      </c>
      <c r="AY1466">
        <v>0</v>
      </c>
      <c r="AZ1466">
        <v>0</v>
      </c>
      <c r="BA1466">
        <v>0</v>
      </c>
      <c r="BB1466">
        <v>0</v>
      </c>
      <c r="BC1466">
        <v>0</v>
      </c>
      <c r="BD1466">
        <v>0</v>
      </c>
      <c r="BE1466">
        <v>0</v>
      </c>
      <c r="BF1466">
        <v>0</v>
      </c>
      <c r="BG1466">
        <v>0</v>
      </c>
      <c r="BH1466">
        <v>1</v>
      </c>
      <c r="BI1466">
        <v>1</v>
      </c>
      <c r="BJ1466">
        <v>0.2</v>
      </c>
      <c r="BK1466">
        <v>1</v>
      </c>
      <c r="BL1466">
        <v>54.28</v>
      </c>
      <c r="BM1466">
        <v>8.14</v>
      </c>
      <c r="BN1466">
        <v>62.42</v>
      </c>
      <c r="BO1466">
        <v>62.42</v>
      </c>
      <c r="BQ1466" t="s">
        <v>2075</v>
      </c>
      <c r="BR1466" t="s">
        <v>84</v>
      </c>
      <c r="BS1466" t="s">
        <v>189</v>
      </c>
      <c r="BV1466" t="s">
        <v>90</v>
      </c>
      <c r="BY1466">
        <v>1200</v>
      </c>
      <c r="CC1466" t="s">
        <v>376</v>
      </c>
      <c r="CD1466">
        <v>1401</v>
      </c>
      <c r="CE1466" t="s">
        <v>215</v>
      </c>
      <c r="CI1466">
        <v>1</v>
      </c>
      <c r="CJ1466" t="s">
        <v>189</v>
      </c>
      <c r="CK1466">
        <v>22</v>
      </c>
      <c r="CL1466" t="s">
        <v>90</v>
      </c>
    </row>
    <row r="1467" spans="1:90" x14ac:dyDescent="0.3">
      <c r="A1467" t="s">
        <v>72</v>
      </c>
      <c r="B1467" t="s">
        <v>73</v>
      </c>
      <c r="C1467" t="s">
        <v>74</v>
      </c>
      <c r="E1467" t="str">
        <f>"080065894041"</f>
        <v>080065894041</v>
      </c>
      <c r="F1467" s="3">
        <v>45819</v>
      </c>
      <c r="G1467">
        <v>202603</v>
      </c>
      <c r="H1467" t="s">
        <v>75</v>
      </c>
      <c r="I1467" t="s">
        <v>76</v>
      </c>
      <c r="J1467" t="s">
        <v>77</v>
      </c>
      <c r="K1467" t="s">
        <v>78</v>
      </c>
      <c r="L1467" t="s">
        <v>91</v>
      </c>
      <c r="M1467" t="s">
        <v>92</v>
      </c>
      <c r="N1467" t="s">
        <v>763</v>
      </c>
      <c r="O1467" t="s">
        <v>82</v>
      </c>
      <c r="P1467" t="str">
        <f>"4170043313                    "</f>
        <v xml:space="preserve">4170043313                    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>
        <v>52.22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>
        <v>0</v>
      </c>
      <c r="BD1467">
        <v>0</v>
      </c>
      <c r="BE1467">
        <v>0</v>
      </c>
      <c r="BF1467">
        <v>0</v>
      </c>
      <c r="BG1467">
        <v>0</v>
      </c>
      <c r="BH1467">
        <v>1</v>
      </c>
      <c r="BI1467">
        <v>5</v>
      </c>
      <c r="BJ1467">
        <v>4.3</v>
      </c>
      <c r="BK1467">
        <v>5</v>
      </c>
      <c r="BL1467">
        <v>173.66</v>
      </c>
      <c r="BM1467">
        <v>26.05</v>
      </c>
      <c r="BN1467">
        <v>199.71</v>
      </c>
      <c r="BO1467">
        <v>199.71</v>
      </c>
      <c r="BQ1467" t="s">
        <v>764</v>
      </c>
      <c r="BR1467" t="s">
        <v>84</v>
      </c>
      <c r="BS1467" t="s">
        <v>189</v>
      </c>
      <c r="BV1467" t="s">
        <v>90</v>
      </c>
      <c r="BY1467">
        <v>21504</v>
      </c>
      <c r="CC1467" t="s">
        <v>92</v>
      </c>
      <c r="CD1467">
        <v>7550</v>
      </c>
      <c r="CE1467" t="s">
        <v>166</v>
      </c>
      <c r="CI1467">
        <v>1</v>
      </c>
      <c r="CJ1467" t="s">
        <v>189</v>
      </c>
      <c r="CK1467">
        <v>21</v>
      </c>
      <c r="CL1467" t="s">
        <v>90</v>
      </c>
    </row>
    <row r="1468" spans="1:90" x14ac:dyDescent="0.3">
      <c r="A1468" t="s">
        <v>72</v>
      </c>
      <c r="B1468" t="s">
        <v>73</v>
      </c>
      <c r="C1468" t="s">
        <v>74</v>
      </c>
      <c r="E1468" t="str">
        <f>"080065894083"</f>
        <v>080065894083</v>
      </c>
      <c r="F1468" s="3">
        <v>45819</v>
      </c>
      <c r="G1468">
        <v>202603</v>
      </c>
      <c r="H1468" t="s">
        <v>75</v>
      </c>
      <c r="I1468" t="s">
        <v>76</v>
      </c>
      <c r="J1468" t="s">
        <v>77</v>
      </c>
      <c r="K1468" t="s">
        <v>78</v>
      </c>
      <c r="L1468" t="s">
        <v>75</v>
      </c>
      <c r="M1468" t="s">
        <v>76</v>
      </c>
      <c r="N1468" t="s">
        <v>112</v>
      </c>
      <c r="O1468" t="s">
        <v>276</v>
      </c>
      <c r="P1468" t="str">
        <f>"4170043110                    "</f>
        <v xml:space="preserve">4170043110                    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30.98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>
        <v>0</v>
      </c>
      <c r="AY1468">
        <v>0</v>
      </c>
      <c r="AZ1468">
        <v>0</v>
      </c>
      <c r="BA1468">
        <v>0</v>
      </c>
      <c r="BB1468">
        <v>0</v>
      </c>
      <c r="BC1468">
        <v>0</v>
      </c>
      <c r="BD1468">
        <v>0</v>
      </c>
      <c r="BE1468">
        <v>0</v>
      </c>
      <c r="BF1468">
        <v>0</v>
      </c>
      <c r="BG1468">
        <v>0</v>
      </c>
      <c r="BH1468">
        <v>1</v>
      </c>
      <c r="BI1468">
        <v>16</v>
      </c>
      <c r="BJ1468">
        <v>8.9</v>
      </c>
      <c r="BK1468">
        <v>16</v>
      </c>
      <c r="BL1468">
        <v>103.03</v>
      </c>
      <c r="BM1468">
        <v>15.45</v>
      </c>
      <c r="BN1468">
        <v>118.48</v>
      </c>
      <c r="BO1468">
        <v>118.48</v>
      </c>
      <c r="BQ1468" t="s">
        <v>113</v>
      </c>
      <c r="BR1468" t="s">
        <v>84</v>
      </c>
      <c r="BS1468" t="s">
        <v>189</v>
      </c>
      <c r="BV1468" t="s">
        <v>90</v>
      </c>
      <c r="BY1468">
        <v>44640</v>
      </c>
      <c r="CC1468" t="s">
        <v>76</v>
      </c>
      <c r="CD1468">
        <v>1600</v>
      </c>
      <c r="CE1468" t="s">
        <v>687</v>
      </c>
      <c r="CI1468">
        <v>1</v>
      </c>
      <c r="CJ1468" t="s">
        <v>189</v>
      </c>
      <c r="CK1468">
        <v>32</v>
      </c>
      <c r="CL1468" t="s">
        <v>90</v>
      </c>
    </row>
    <row r="1469" spans="1:90" x14ac:dyDescent="0.3">
      <c r="A1469" t="s">
        <v>72</v>
      </c>
      <c r="B1469" t="s">
        <v>73</v>
      </c>
      <c r="C1469" t="s">
        <v>74</v>
      </c>
      <c r="E1469" t="str">
        <f>"080065894130"</f>
        <v>080065894130</v>
      </c>
      <c r="F1469" s="3">
        <v>45819</v>
      </c>
      <c r="G1469">
        <v>202603</v>
      </c>
      <c r="H1469" t="s">
        <v>75</v>
      </c>
      <c r="I1469" t="s">
        <v>76</v>
      </c>
      <c r="J1469" t="s">
        <v>77</v>
      </c>
      <c r="K1469" t="s">
        <v>78</v>
      </c>
      <c r="L1469" t="s">
        <v>159</v>
      </c>
      <c r="M1469" t="s">
        <v>160</v>
      </c>
      <c r="N1469" t="s">
        <v>1772</v>
      </c>
      <c r="O1469" t="s">
        <v>82</v>
      </c>
      <c r="P1469" t="str">
        <f>"4170043296                    "</f>
        <v xml:space="preserve">4170043296                    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16.32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>
        <v>0</v>
      </c>
      <c r="BD1469">
        <v>0</v>
      </c>
      <c r="BE1469">
        <v>0</v>
      </c>
      <c r="BF1469">
        <v>0</v>
      </c>
      <c r="BG1469">
        <v>0</v>
      </c>
      <c r="BH1469">
        <v>1</v>
      </c>
      <c r="BI1469">
        <v>1</v>
      </c>
      <c r="BJ1469">
        <v>1.7</v>
      </c>
      <c r="BK1469">
        <v>2</v>
      </c>
      <c r="BL1469">
        <v>54.28</v>
      </c>
      <c r="BM1469">
        <v>8.14</v>
      </c>
      <c r="BN1469">
        <v>62.42</v>
      </c>
      <c r="BO1469">
        <v>62.42</v>
      </c>
      <c r="BQ1469" t="s">
        <v>1773</v>
      </c>
      <c r="BR1469" t="s">
        <v>84</v>
      </c>
      <c r="BS1469" t="s">
        <v>189</v>
      </c>
      <c r="BV1469" t="s">
        <v>90</v>
      </c>
      <c r="BY1469">
        <v>8512</v>
      </c>
      <c r="CC1469" t="s">
        <v>160</v>
      </c>
      <c r="CD1469">
        <v>2094</v>
      </c>
      <c r="CE1469" t="s">
        <v>687</v>
      </c>
      <c r="CI1469">
        <v>1</v>
      </c>
      <c r="CJ1469" t="s">
        <v>189</v>
      </c>
      <c r="CK1469">
        <v>22</v>
      </c>
      <c r="CL1469" t="s">
        <v>90</v>
      </c>
    </row>
    <row r="1470" spans="1:90" x14ac:dyDescent="0.3">
      <c r="A1470" t="s">
        <v>72</v>
      </c>
      <c r="B1470" t="s">
        <v>73</v>
      </c>
      <c r="C1470" t="s">
        <v>74</v>
      </c>
      <c r="E1470" t="str">
        <f>"080065894216"</f>
        <v>080065894216</v>
      </c>
      <c r="F1470" s="3">
        <v>45819</v>
      </c>
      <c r="G1470">
        <v>202603</v>
      </c>
      <c r="H1470" t="s">
        <v>75</v>
      </c>
      <c r="I1470" t="s">
        <v>76</v>
      </c>
      <c r="J1470" t="s">
        <v>77</v>
      </c>
      <c r="K1470" t="s">
        <v>78</v>
      </c>
      <c r="L1470" t="s">
        <v>136</v>
      </c>
      <c r="M1470" t="s">
        <v>137</v>
      </c>
      <c r="N1470" t="s">
        <v>806</v>
      </c>
      <c r="O1470" t="s">
        <v>82</v>
      </c>
      <c r="P1470" t="str">
        <f>"4170043133                    "</f>
        <v xml:space="preserve">4170043133                    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20.9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</v>
      </c>
      <c r="AX1470">
        <v>0</v>
      </c>
      <c r="AY1470">
        <v>0</v>
      </c>
      <c r="AZ1470">
        <v>0</v>
      </c>
      <c r="BA1470">
        <v>0</v>
      </c>
      <c r="BB1470">
        <v>0</v>
      </c>
      <c r="BC1470">
        <v>0</v>
      </c>
      <c r="BD1470">
        <v>0</v>
      </c>
      <c r="BE1470">
        <v>0</v>
      </c>
      <c r="BF1470">
        <v>0</v>
      </c>
      <c r="BG1470">
        <v>0</v>
      </c>
      <c r="BH1470">
        <v>1</v>
      </c>
      <c r="BI1470">
        <v>2</v>
      </c>
      <c r="BJ1470">
        <v>0.9</v>
      </c>
      <c r="BK1470">
        <v>2</v>
      </c>
      <c r="BL1470">
        <v>69.5</v>
      </c>
      <c r="BM1470">
        <v>10.43</v>
      </c>
      <c r="BN1470">
        <v>79.930000000000007</v>
      </c>
      <c r="BO1470">
        <v>79.930000000000007</v>
      </c>
      <c r="BQ1470" t="s">
        <v>807</v>
      </c>
      <c r="BR1470" t="s">
        <v>84</v>
      </c>
      <c r="BS1470" t="s">
        <v>189</v>
      </c>
      <c r="BV1470" t="s">
        <v>90</v>
      </c>
      <c r="BY1470">
        <v>4608</v>
      </c>
      <c r="CC1470" t="s">
        <v>137</v>
      </c>
      <c r="CD1470">
        <v>5201</v>
      </c>
      <c r="CE1470" t="s">
        <v>166</v>
      </c>
      <c r="CI1470">
        <v>1</v>
      </c>
      <c r="CJ1470" t="s">
        <v>189</v>
      </c>
      <c r="CK1470">
        <v>21</v>
      </c>
      <c r="CL1470" t="s">
        <v>90</v>
      </c>
    </row>
    <row r="1471" spans="1:90" x14ac:dyDescent="0.3">
      <c r="A1471" t="s">
        <v>72</v>
      </c>
      <c r="B1471" t="s">
        <v>73</v>
      </c>
      <c r="C1471" t="s">
        <v>74</v>
      </c>
      <c r="E1471" t="str">
        <f>"080065894253"</f>
        <v>080065894253</v>
      </c>
      <c r="F1471" s="3">
        <v>45819</v>
      </c>
      <c r="G1471">
        <v>202603</v>
      </c>
      <c r="H1471" t="s">
        <v>75</v>
      </c>
      <c r="I1471" t="s">
        <v>76</v>
      </c>
      <c r="J1471" t="s">
        <v>77</v>
      </c>
      <c r="K1471" t="s">
        <v>78</v>
      </c>
      <c r="L1471" t="s">
        <v>302</v>
      </c>
      <c r="M1471" t="s">
        <v>303</v>
      </c>
      <c r="N1471" t="s">
        <v>304</v>
      </c>
      <c r="O1471" t="s">
        <v>82</v>
      </c>
      <c r="P1471" t="str">
        <f>"4170043358                    "</f>
        <v xml:space="preserve">4170043358                    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>
        <v>77.06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</v>
      </c>
      <c r="AX1471">
        <v>0</v>
      </c>
      <c r="AY1471">
        <v>0</v>
      </c>
      <c r="AZ1471">
        <v>0</v>
      </c>
      <c r="BA1471">
        <v>0</v>
      </c>
      <c r="BB1471">
        <v>0</v>
      </c>
      <c r="BC1471">
        <v>0</v>
      </c>
      <c r="BD1471">
        <v>0</v>
      </c>
      <c r="BE1471">
        <v>0</v>
      </c>
      <c r="BF1471">
        <v>0</v>
      </c>
      <c r="BG1471">
        <v>0</v>
      </c>
      <c r="BH1471">
        <v>1</v>
      </c>
      <c r="BI1471">
        <v>4</v>
      </c>
      <c r="BJ1471">
        <v>2.9</v>
      </c>
      <c r="BK1471">
        <v>4</v>
      </c>
      <c r="BL1471">
        <v>256.26</v>
      </c>
      <c r="BM1471">
        <v>38.44</v>
      </c>
      <c r="BN1471">
        <v>294.7</v>
      </c>
      <c r="BO1471">
        <v>294.7</v>
      </c>
      <c r="BQ1471" t="s">
        <v>305</v>
      </c>
      <c r="BR1471" t="s">
        <v>84</v>
      </c>
      <c r="BS1471" t="s">
        <v>189</v>
      </c>
      <c r="BV1471" t="s">
        <v>90</v>
      </c>
      <c r="BY1471">
        <v>14336</v>
      </c>
      <c r="CC1471" t="s">
        <v>303</v>
      </c>
      <c r="CD1471">
        <v>299</v>
      </c>
      <c r="CE1471" t="s">
        <v>166</v>
      </c>
      <c r="CI1471">
        <v>1</v>
      </c>
      <c r="CJ1471" t="s">
        <v>189</v>
      </c>
      <c r="CK1471">
        <v>23</v>
      </c>
      <c r="CL1471" t="s">
        <v>90</v>
      </c>
    </row>
    <row r="1472" spans="1:90" x14ac:dyDescent="0.3">
      <c r="A1472" t="s">
        <v>72</v>
      </c>
      <c r="B1472" t="s">
        <v>73</v>
      </c>
      <c r="C1472" t="s">
        <v>74</v>
      </c>
      <c r="E1472" t="str">
        <f>"080065894292"</f>
        <v>080065894292</v>
      </c>
      <c r="F1472" s="3">
        <v>45819</v>
      </c>
      <c r="G1472">
        <v>202603</v>
      </c>
      <c r="H1472" t="s">
        <v>75</v>
      </c>
      <c r="I1472" t="s">
        <v>76</v>
      </c>
      <c r="J1472" t="s">
        <v>77</v>
      </c>
      <c r="K1472" t="s">
        <v>78</v>
      </c>
      <c r="L1472" t="s">
        <v>75</v>
      </c>
      <c r="M1472" t="s">
        <v>76</v>
      </c>
      <c r="N1472" t="s">
        <v>147</v>
      </c>
      <c r="O1472" t="s">
        <v>82</v>
      </c>
      <c r="P1472" t="str">
        <f>"4170043114                    "</f>
        <v xml:space="preserve">4170043114                    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16.32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  <c r="BE1472">
        <v>0</v>
      </c>
      <c r="BF1472">
        <v>0</v>
      </c>
      <c r="BG1472">
        <v>0</v>
      </c>
      <c r="BH1472">
        <v>1</v>
      </c>
      <c r="BI1472">
        <v>3</v>
      </c>
      <c r="BJ1472">
        <v>1.7</v>
      </c>
      <c r="BK1472">
        <v>3</v>
      </c>
      <c r="BL1472">
        <v>54.28</v>
      </c>
      <c r="BM1472">
        <v>8.14</v>
      </c>
      <c r="BN1472">
        <v>62.42</v>
      </c>
      <c r="BO1472">
        <v>62.42</v>
      </c>
      <c r="BQ1472" t="s">
        <v>148</v>
      </c>
      <c r="BR1472" t="s">
        <v>84</v>
      </c>
      <c r="BS1472" s="3">
        <v>45820</v>
      </c>
      <c r="BT1472" s="4">
        <v>0.30416666666666664</v>
      </c>
      <c r="BU1472" t="s">
        <v>1114</v>
      </c>
      <c r="BV1472" t="s">
        <v>86</v>
      </c>
      <c r="BY1472">
        <v>8550</v>
      </c>
      <c r="CA1472" t="s">
        <v>115</v>
      </c>
      <c r="CC1472" t="s">
        <v>76</v>
      </c>
      <c r="CD1472">
        <v>1600</v>
      </c>
      <c r="CE1472" t="s">
        <v>292</v>
      </c>
      <c r="CI1472">
        <v>1</v>
      </c>
      <c r="CJ1472">
        <v>1</v>
      </c>
      <c r="CK1472">
        <v>22</v>
      </c>
      <c r="CL1472" t="s">
        <v>90</v>
      </c>
    </row>
    <row r="1473" spans="1:90" x14ac:dyDescent="0.3">
      <c r="A1473" t="s">
        <v>72</v>
      </c>
      <c r="B1473" t="s">
        <v>73</v>
      </c>
      <c r="C1473" t="s">
        <v>74</v>
      </c>
      <c r="E1473" t="str">
        <f>"080065894343"</f>
        <v>080065894343</v>
      </c>
      <c r="F1473" s="3">
        <v>45819</v>
      </c>
      <c r="G1473">
        <v>202603</v>
      </c>
      <c r="H1473" t="s">
        <v>75</v>
      </c>
      <c r="I1473" t="s">
        <v>76</v>
      </c>
      <c r="J1473" t="s">
        <v>77</v>
      </c>
      <c r="K1473" t="s">
        <v>78</v>
      </c>
      <c r="L1473" t="s">
        <v>106</v>
      </c>
      <c r="M1473" t="s">
        <v>107</v>
      </c>
      <c r="N1473" t="s">
        <v>1146</v>
      </c>
      <c r="O1473" t="s">
        <v>94</v>
      </c>
      <c r="P1473" t="str">
        <f>"4170043136                    "</f>
        <v xml:space="preserve">4170043136                    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>
        <v>40.409999999999997</v>
      </c>
      <c r="AR1473">
        <v>0</v>
      </c>
      <c r="AS1473">
        <v>0</v>
      </c>
      <c r="AT1473">
        <v>0</v>
      </c>
      <c r="AU1473">
        <v>0</v>
      </c>
      <c r="AV1473">
        <v>0</v>
      </c>
      <c r="AW1473">
        <v>0</v>
      </c>
      <c r="AX1473">
        <v>0</v>
      </c>
      <c r="AY1473">
        <v>0</v>
      </c>
      <c r="AZ1473">
        <v>0</v>
      </c>
      <c r="BA1473">
        <v>0</v>
      </c>
      <c r="BB1473">
        <v>0</v>
      </c>
      <c r="BC1473">
        <v>0</v>
      </c>
      <c r="BD1473">
        <v>0</v>
      </c>
      <c r="BE1473">
        <v>0</v>
      </c>
      <c r="BF1473">
        <v>0</v>
      </c>
      <c r="BG1473">
        <v>0</v>
      </c>
      <c r="BH1473">
        <v>1</v>
      </c>
      <c r="BI1473">
        <v>7</v>
      </c>
      <c r="BJ1473">
        <v>3.4</v>
      </c>
      <c r="BK1473">
        <v>7</v>
      </c>
      <c r="BL1473">
        <v>139.96</v>
      </c>
      <c r="BM1473">
        <v>20.99</v>
      </c>
      <c r="BN1473">
        <v>160.94999999999999</v>
      </c>
      <c r="BO1473">
        <v>160.94999999999999</v>
      </c>
      <c r="BQ1473" t="s">
        <v>1147</v>
      </c>
      <c r="BR1473" t="s">
        <v>84</v>
      </c>
      <c r="BS1473" t="s">
        <v>189</v>
      </c>
      <c r="BV1473" t="s">
        <v>90</v>
      </c>
      <c r="BY1473">
        <v>16965</v>
      </c>
      <c r="CC1473" t="s">
        <v>107</v>
      </c>
      <c r="CD1473">
        <v>200</v>
      </c>
      <c r="CE1473" t="s">
        <v>687</v>
      </c>
      <c r="CI1473">
        <v>1</v>
      </c>
      <c r="CJ1473" t="s">
        <v>189</v>
      </c>
      <c r="CK1473">
        <v>41</v>
      </c>
      <c r="CL1473" t="s">
        <v>90</v>
      </c>
    </row>
    <row r="1474" spans="1:90" x14ac:dyDescent="0.3">
      <c r="A1474" t="s">
        <v>72</v>
      </c>
      <c r="B1474" t="s">
        <v>73</v>
      </c>
      <c r="C1474" t="s">
        <v>74</v>
      </c>
      <c r="E1474" t="str">
        <f>"080065894377"</f>
        <v>080065894377</v>
      </c>
      <c r="F1474" s="3">
        <v>45819</v>
      </c>
      <c r="G1474">
        <v>202603</v>
      </c>
      <c r="H1474" t="s">
        <v>75</v>
      </c>
      <c r="I1474" t="s">
        <v>76</v>
      </c>
      <c r="J1474" t="s">
        <v>77</v>
      </c>
      <c r="K1474" t="s">
        <v>78</v>
      </c>
      <c r="L1474" t="s">
        <v>100</v>
      </c>
      <c r="M1474" t="s">
        <v>101</v>
      </c>
      <c r="N1474" t="s">
        <v>123</v>
      </c>
      <c r="O1474" t="s">
        <v>94</v>
      </c>
      <c r="P1474" t="str">
        <f>"4170043355                    "</f>
        <v xml:space="preserve">4170043355                    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75.45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  <c r="BE1474">
        <v>0</v>
      </c>
      <c r="BF1474">
        <v>0</v>
      </c>
      <c r="BG1474">
        <v>0</v>
      </c>
      <c r="BH1474">
        <v>1</v>
      </c>
      <c r="BI1474">
        <v>17</v>
      </c>
      <c r="BJ1474">
        <v>35.1</v>
      </c>
      <c r="BK1474">
        <v>36</v>
      </c>
      <c r="BL1474">
        <v>256.48</v>
      </c>
      <c r="BM1474">
        <v>38.47</v>
      </c>
      <c r="BN1474">
        <v>294.95</v>
      </c>
      <c r="BO1474">
        <v>294.95</v>
      </c>
      <c r="BQ1474" t="s">
        <v>124</v>
      </c>
      <c r="BR1474" t="s">
        <v>84</v>
      </c>
      <c r="BS1474" t="s">
        <v>189</v>
      </c>
      <c r="BV1474" t="s">
        <v>90</v>
      </c>
      <c r="BY1474">
        <v>175500</v>
      </c>
      <c r="CC1474" t="s">
        <v>101</v>
      </c>
      <c r="CD1474">
        <v>6001</v>
      </c>
      <c r="CE1474" t="s">
        <v>687</v>
      </c>
      <c r="CI1474">
        <v>3</v>
      </c>
      <c r="CJ1474" t="s">
        <v>189</v>
      </c>
      <c r="CK1474">
        <v>41</v>
      </c>
      <c r="CL1474" t="s">
        <v>90</v>
      </c>
    </row>
    <row r="1475" spans="1:90" x14ac:dyDescent="0.3">
      <c r="A1475" t="s">
        <v>72</v>
      </c>
      <c r="B1475" t="s">
        <v>73</v>
      </c>
      <c r="C1475" t="s">
        <v>74</v>
      </c>
      <c r="E1475" t="str">
        <f>"080065894406"</f>
        <v>080065894406</v>
      </c>
      <c r="F1475" s="3">
        <v>45819</v>
      </c>
      <c r="G1475">
        <v>202603</v>
      </c>
      <c r="H1475" t="s">
        <v>75</v>
      </c>
      <c r="I1475" t="s">
        <v>76</v>
      </c>
      <c r="J1475" t="s">
        <v>77</v>
      </c>
      <c r="K1475" t="s">
        <v>78</v>
      </c>
      <c r="L1475" t="s">
        <v>91</v>
      </c>
      <c r="M1475" t="s">
        <v>92</v>
      </c>
      <c r="N1475" t="s">
        <v>803</v>
      </c>
      <c r="O1475" t="s">
        <v>82</v>
      </c>
      <c r="P1475" t="str">
        <f>"4170043362                    "</f>
        <v xml:space="preserve">4170043362                    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>
        <v>20.9</v>
      </c>
      <c r="AR1475">
        <v>0</v>
      </c>
      <c r="AS1475">
        <v>0</v>
      </c>
      <c r="AT1475">
        <v>0</v>
      </c>
      <c r="AU1475">
        <v>0</v>
      </c>
      <c r="AV1475">
        <v>0</v>
      </c>
      <c r="AW1475">
        <v>0</v>
      </c>
      <c r="AX1475">
        <v>0</v>
      </c>
      <c r="AY1475">
        <v>0</v>
      </c>
      <c r="AZ1475">
        <v>0</v>
      </c>
      <c r="BA1475">
        <v>0</v>
      </c>
      <c r="BB1475">
        <v>0</v>
      </c>
      <c r="BC1475">
        <v>0</v>
      </c>
      <c r="BD1475">
        <v>0</v>
      </c>
      <c r="BE1475">
        <v>0</v>
      </c>
      <c r="BF1475">
        <v>0</v>
      </c>
      <c r="BG1475">
        <v>0</v>
      </c>
      <c r="BH1475">
        <v>1</v>
      </c>
      <c r="BI1475">
        <v>2</v>
      </c>
      <c r="BJ1475">
        <v>1.1000000000000001</v>
      </c>
      <c r="BK1475">
        <v>2</v>
      </c>
      <c r="BL1475">
        <v>69.5</v>
      </c>
      <c r="BM1475">
        <v>10.43</v>
      </c>
      <c r="BN1475">
        <v>79.930000000000007</v>
      </c>
      <c r="BO1475">
        <v>79.930000000000007</v>
      </c>
      <c r="BQ1475" t="s">
        <v>804</v>
      </c>
      <c r="BR1475" t="s">
        <v>84</v>
      </c>
      <c r="BS1475" t="s">
        <v>189</v>
      </c>
      <c r="BV1475" t="s">
        <v>90</v>
      </c>
      <c r="BY1475">
        <v>5320</v>
      </c>
      <c r="CC1475" t="s">
        <v>92</v>
      </c>
      <c r="CD1475">
        <v>7460</v>
      </c>
      <c r="CE1475" t="s">
        <v>687</v>
      </c>
      <c r="CI1475">
        <v>1</v>
      </c>
      <c r="CJ1475" t="s">
        <v>189</v>
      </c>
      <c r="CK1475">
        <v>21</v>
      </c>
      <c r="CL1475" t="s">
        <v>90</v>
      </c>
    </row>
    <row r="1476" spans="1:90" x14ac:dyDescent="0.3">
      <c r="A1476" t="s">
        <v>72</v>
      </c>
      <c r="B1476" t="s">
        <v>73</v>
      </c>
      <c r="C1476" t="s">
        <v>74</v>
      </c>
      <c r="E1476" t="str">
        <f>"080065894433"</f>
        <v>080065894433</v>
      </c>
      <c r="F1476" s="3">
        <v>45819</v>
      </c>
      <c r="G1476">
        <v>202603</v>
      </c>
      <c r="H1476" t="s">
        <v>75</v>
      </c>
      <c r="I1476" t="s">
        <v>76</v>
      </c>
      <c r="J1476" t="s">
        <v>77</v>
      </c>
      <c r="K1476" t="s">
        <v>78</v>
      </c>
      <c r="L1476" t="s">
        <v>753</v>
      </c>
      <c r="M1476" t="s">
        <v>754</v>
      </c>
      <c r="N1476" t="s">
        <v>755</v>
      </c>
      <c r="O1476" t="s">
        <v>82</v>
      </c>
      <c r="P1476" t="str">
        <f>"4170043261                    "</f>
        <v xml:space="preserve">4170043261                    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Q1476">
        <v>177.62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>
        <v>0</v>
      </c>
      <c r="BD1476">
        <v>0</v>
      </c>
      <c r="BE1476">
        <v>0</v>
      </c>
      <c r="BF1476">
        <v>0</v>
      </c>
      <c r="BG1476">
        <v>0</v>
      </c>
      <c r="BH1476">
        <v>1</v>
      </c>
      <c r="BI1476">
        <v>2</v>
      </c>
      <c r="BJ1476">
        <v>9.1</v>
      </c>
      <c r="BK1476">
        <v>9.5</v>
      </c>
      <c r="BL1476">
        <v>590.67999999999995</v>
      </c>
      <c r="BM1476">
        <v>88.6</v>
      </c>
      <c r="BN1476">
        <v>679.28</v>
      </c>
      <c r="BO1476">
        <v>679.28</v>
      </c>
      <c r="BQ1476" t="s">
        <v>756</v>
      </c>
      <c r="BR1476" t="s">
        <v>84</v>
      </c>
      <c r="BS1476" t="s">
        <v>189</v>
      </c>
      <c r="BV1476" t="s">
        <v>90</v>
      </c>
      <c r="BY1476">
        <v>45632</v>
      </c>
      <c r="CC1476" t="s">
        <v>754</v>
      </c>
      <c r="CD1476">
        <v>3290</v>
      </c>
      <c r="CE1476" t="s">
        <v>687</v>
      </c>
      <c r="CI1476">
        <v>1</v>
      </c>
      <c r="CJ1476" t="s">
        <v>189</v>
      </c>
      <c r="CK1476">
        <v>23</v>
      </c>
      <c r="CL1476" t="s">
        <v>90</v>
      </c>
    </row>
    <row r="1477" spans="1:90" x14ac:dyDescent="0.3">
      <c r="A1477" t="s">
        <v>72</v>
      </c>
      <c r="B1477" t="s">
        <v>73</v>
      </c>
      <c r="C1477" t="s">
        <v>74</v>
      </c>
      <c r="E1477" t="str">
        <f>"080065894460"</f>
        <v>080065894460</v>
      </c>
      <c r="F1477" s="3">
        <v>45819</v>
      </c>
      <c r="G1477">
        <v>202603</v>
      </c>
      <c r="H1477" t="s">
        <v>75</v>
      </c>
      <c r="I1477" t="s">
        <v>76</v>
      </c>
      <c r="J1477" t="s">
        <v>77</v>
      </c>
      <c r="K1477" t="s">
        <v>78</v>
      </c>
      <c r="L1477" t="s">
        <v>91</v>
      </c>
      <c r="M1477" t="s">
        <v>92</v>
      </c>
      <c r="N1477" t="s">
        <v>2076</v>
      </c>
      <c r="O1477" t="s">
        <v>82</v>
      </c>
      <c r="P1477" t="str">
        <f>"4170043302                    "</f>
        <v xml:space="preserve">4170043302                    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>
        <v>20.9</v>
      </c>
      <c r="AR1477">
        <v>0</v>
      </c>
      <c r="AS1477">
        <v>0</v>
      </c>
      <c r="AT1477">
        <v>0</v>
      </c>
      <c r="AU1477">
        <v>0</v>
      </c>
      <c r="AV1477">
        <v>0</v>
      </c>
      <c r="AW1477">
        <v>0</v>
      </c>
      <c r="AX1477">
        <v>0</v>
      </c>
      <c r="AY1477">
        <v>0</v>
      </c>
      <c r="AZ1477">
        <v>0</v>
      </c>
      <c r="BA1477">
        <v>0</v>
      </c>
      <c r="BB1477">
        <v>0</v>
      </c>
      <c r="BC1477">
        <v>0</v>
      </c>
      <c r="BD1477">
        <v>0</v>
      </c>
      <c r="BE1477">
        <v>0</v>
      </c>
      <c r="BF1477">
        <v>0</v>
      </c>
      <c r="BG1477">
        <v>0</v>
      </c>
      <c r="BH1477">
        <v>1</v>
      </c>
      <c r="BI1477">
        <v>1</v>
      </c>
      <c r="BJ1477">
        <v>0.6</v>
      </c>
      <c r="BK1477">
        <v>1</v>
      </c>
      <c r="BL1477">
        <v>69.5</v>
      </c>
      <c r="BM1477">
        <v>10.43</v>
      </c>
      <c r="BN1477">
        <v>79.930000000000007</v>
      </c>
      <c r="BO1477">
        <v>79.930000000000007</v>
      </c>
      <c r="BQ1477" t="s">
        <v>2077</v>
      </c>
      <c r="BR1477" t="s">
        <v>84</v>
      </c>
      <c r="BS1477" t="s">
        <v>189</v>
      </c>
      <c r="BV1477" t="s">
        <v>90</v>
      </c>
      <c r="BY1477">
        <v>3192</v>
      </c>
      <c r="CC1477" t="s">
        <v>92</v>
      </c>
      <c r="CD1477">
        <v>8001</v>
      </c>
      <c r="CE1477" t="s">
        <v>687</v>
      </c>
      <c r="CI1477">
        <v>1</v>
      </c>
      <c r="CJ1477" t="s">
        <v>189</v>
      </c>
      <c r="CK1477">
        <v>21</v>
      </c>
      <c r="CL1477" t="s">
        <v>90</v>
      </c>
    </row>
    <row r="1478" spans="1:90" x14ac:dyDescent="0.3">
      <c r="A1478" t="s">
        <v>72</v>
      </c>
      <c r="B1478" t="s">
        <v>73</v>
      </c>
      <c r="C1478" t="s">
        <v>74</v>
      </c>
      <c r="E1478" t="str">
        <f>"080065894481"</f>
        <v>080065894481</v>
      </c>
      <c r="F1478" s="3">
        <v>45819</v>
      </c>
      <c r="G1478">
        <v>202603</v>
      </c>
      <c r="H1478" t="s">
        <v>75</v>
      </c>
      <c r="I1478" t="s">
        <v>76</v>
      </c>
      <c r="J1478" t="s">
        <v>77</v>
      </c>
      <c r="K1478" t="s">
        <v>78</v>
      </c>
      <c r="L1478" t="s">
        <v>106</v>
      </c>
      <c r="M1478" t="s">
        <v>107</v>
      </c>
      <c r="N1478" t="s">
        <v>1137</v>
      </c>
      <c r="O1478" t="s">
        <v>82</v>
      </c>
      <c r="P1478" t="str">
        <f>"4170043353                    "</f>
        <v xml:space="preserve">4170043353                    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>
        <v>26.12</v>
      </c>
      <c r="AR1478">
        <v>0</v>
      </c>
      <c r="AS1478">
        <v>0</v>
      </c>
      <c r="AT1478">
        <v>0</v>
      </c>
      <c r="AU1478">
        <v>0</v>
      </c>
      <c r="AV1478">
        <v>0</v>
      </c>
      <c r="AW1478">
        <v>0</v>
      </c>
      <c r="AX1478">
        <v>0</v>
      </c>
      <c r="AY1478">
        <v>0</v>
      </c>
      <c r="AZ1478">
        <v>0</v>
      </c>
      <c r="BA1478">
        <v>0</v>
      </c>
      <c r="BB1478">
        <v>0</v>
      </c>
      <c r="BC1478">
        <v>0</v>
      </c>
      <c r="BD1478">
        <v>0</v>
      </c>
      <c r="BE1478">
        <v>0</v>
      </c>
      <c r="BF1478">
        <v>0</v>
      </c>
      <c r="BG1478">
        <v>0</v>
      </c>
      <c r="BH1478">
        <v>1</v>
      </c>
      <c r="BI1478">
        <v>1</v>
      </c>
      <c r="BJ1478">
        <v>2.5</v>
      </c>
      <c r="BK1478">
        <v>2.5</v>
      </c>
      <c r="BL1478">
        <v>86.86</v>
      </c>
      <c r="BM1478">
        <v>13.03</v>
      </c>
      <c r="BN1478">
        <v>99.89</v>
      </c>
      <c r="BO1478">
        <v>99.89</v>
      </c>
      <c r="BQ1478" t="s">
        <v>1138</v>
      </c>
      <c r="BR1478" t="s">
        <v>84</v>
      </c>
      <c r="BS1478" s="3">
        <v>45820</v>
      </c>
      <c r="BT1478" s="4">
        <v>0.31666666666666665</v>
      </c>
      <c r="BU1478" t="s">
        <v>1256</v>
      </c>
      <c r="BV1478" t="s">
        <v>86</v>
      </c>
      <c r="BY1478">
        <v>12544</v>
      </c>
      <c r="CA1478" t="s">
        <v>1888</v>
      </c>
      <c r="CC1478" t="s">
        <v>107</v>
      </c>
      <c r="CD1478">
        <v>83</v>
      </c>
      <c r="CE1478" t="s">
        <v>166</v>
      </c>
      <c r="CI1478">
        <v>1</v>
      </c>
      <c r="CJ1478">
        <v>1</v>
      </c>
      <c r="CK1478">
        <v>21</v>
      </c>
      <c r="CL1478" t="s">
        <v>90</v>
      </c>
    </row>
    <row r="1479" spans="1:90" x14ac:dyDescent="0.3">
      <c r="A1479" t="s">
        <v>72</v>
      </c>
      <c r="B1479" t="s">
        <v>73</v>
      </c>
      <c r="C1479" t="s">
        <v>74</v>
      </c>
      <c r="E1479" t="str">
        <f>"080065894519"</f>
        <v>080065894519</v>
      </c>
      <c r="F1479" s="3">
        <v>45819</v>
      </c>
      <c r="G1479">
        <v>202603</v>
      </c>
      <c r="H1479" t="s">
        <v>75</v>
      </c>
      <c r="I1479" t="s">
        <v>76</v>
      </c>
      <c r="J1479" t="s">
        <v>77</v>
      </c>
      <c r="K1479" t="s">
        <v>78</v>
      </c>
      <c r="L1479" t="s">
        <v>350</v>
      </c>
      <c r="M1479" t="s">
        <v>351</v>
      </c>
      <c r="N1479" t="s">
        <v>512</v>
      </c>
      <c r="O1479" t="s">
        <v>94</v>
      </c>
      <c r="P1479" t="str">
        <f>"4170043268                    "</f>
        <v xml:space="preserve">4170043268                    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>
        <v>40.409999999999997</v>
      </c>
      <c r="AR1479">
        <v>0</v>
      </c>
      <c r="AS1479">
        <v>0</v>
      </c>
      <c r="AT1479">
        <v>0</v>
      </c>
      <c r="AU1479">
        <v>0</v>
      </c>
      <c r="AV1479">
        <v>0</v>
      </c>
      <c r="AW1479">
        <v>0</v>
      </c>
      <c r="AX1479">
        <v>0</v>
      </c>
      <c r="AY1479">
        <v>0</v>
      </c>
      <c r="AZ1479">
        <v>0</v>
      </c>
      <c r="BA1479">
        <v>0</v>
      </c>
      <c r="BB1479">
        <v>0</v>
      </c>
      <c r="BC1479">
        <v>0</v>
      </c>
      <c r="BD1479">
        <v>0</v>
      </c>
      <c r="BE1479">
        <v>0</v>
      </c>
      <c r="BF1479">
        <v>0</v>
      </c>
      <c r="BG1479">
        <v>0</v>
      </c>
      <c r="BH1479">
        <v>1</v>
      </c>
      <c r="BI1479">
        <v>5</v>
      </c>
      <c r="BJ1479">
        <v>1.7</v>
      </c>
      <c r="BK1479">
        <v>5</v>
      </c>
      <c r="BL1479">
        <v>139.96</v>
      </c>
      <c r="BM1479">
        <v>20.99</v>
      </c>
      <c r="BN1479">
        <v>160.94999999999999</v>
      </c>
      <c r="BO1479">
        <v>160.94999999999999</v>
      </c>
      <c r="BQ1479" t="s">
        <v>513</v>
      </c>
      <c r="BR1479" t="s">
        <v>84</v>
      </c>
      <c r="BS1479" t="s">
        <v>189</v>
      </c>
      <c r="BV1479" t="s">
        <v>90</v>
      </c>
      <c r="BY1479">
        <v>8512</v>
      </c>
      <c r="CC1479" t="s">
        <v>351</v>
      </c>
      <c r="CD1479">
        <v>157</v>
      </c>
      <c r="CE1479" t="s">
        <v>687</v>
      </c>
      <c r="CI1479">
        <v>1</v>
      </c>
      <c r="CJ1479" t="s">
        <v>189</v>
      </c>
      <c r="CK1479">
        <v>41</v>
      </c>
      <c r="CL1479" t="s">
        <v>90</v>
      </c>
    </row>
    <row r="1480" spans="1:90" x14ac:dyDescent="0.3">
      <c r="A1480" t="s">
        <v>72</v>
      </c>
      <c r="B1480" t="s">
        <v>73</v>
      </c>
      <c r="C1480" t="s">
        <v>74</v>
      </c>
      <c r="E1480" t="str">
        <f>"080065894662"</f>
        <v>080065894662</v>
      </c>
      <c r="F1480" s="3">
        <v>45819</v>
      </c>
      <c r="G1480">
        <v>202603</v>
      </c>
      <c r="H1480" t="s">
        <v>75</v>
      </c>
      <c r="I1480" t="s">
        <v>76</v>
      </c>
      <c r="J1480" t="s">
        <v>77</v>
      </c>
      <c r="K1480" t="s">
        <v>78</v>
      </c>
      <c r="L1480" t="s">
        <v>159</v>
      </c>
      <c r="M1480" t="s">
        <v>160</v>
      </c>
      <c r="N1480" t="s">
        <v>2078</v>
      </c>
      <c r="O1480" t="s">
        <v>94</v>
      </c>
      <c r="P1480" t="str">
        <f>"4170043115                    "</f>
        <v xml:space="preserve">4170043115                    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43.03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>
        <v>0</v>
      </c>
      <c r="BD1480">
        <v>0</v>
      </c>
      <c r="BE1480">
        <v>0</v>
      </c>
      <c r="BF1480">
        <v>0</v>
      </c>
      <c r="BG1480">
        <v>0</v>
      </c>
      <c r="BH1480">
        <v>2</v>
      </c>
      <c r="BI1480">
        <v>28</v>
      </c>
      <c r="BJ1480">
        <v>24</v>
      </c>
      <c r="BK1480">
        <v>28</v>
      </c>
      <c r="BL1480">
        <v>148.68</v>
      </c>
      <c r="BM1480">
        <v>22.3</v>
      </c>
      <c r="BN1480">
        <v>170.98</v>
      </c>
      <c r="BO1480">
        <v>170.98</v>
      </c>
      <c r="BQ1480" t="s">
        <v>2079</v>
      </c>
      <c r="BR1480" t="s">
        <v>84</v>
      </c>
      <c r="BS1480" t="s">
        <v>189</v>
      </c>
      <c r="BV1480" t="s">
        <v>90</v>
      </c>
      <c r="BY1480">
        <v>120240</v>
      </c>
      <c r="CC1480" t="s">
        <v>160</v>
      </c>
      <c r="CD1480">
        <v>2092</v>
      </c>
      <c r="CE1480" t="s">
        <v>687</v>
      </c>
      <c r="CI1480">
        <v>1</v>
      </c>
      <c r="CJ1480" t="s">
        <v>189</v>
      </c>
      <c r="CK1480">
        <v>42</v>
      </c>
      <c r="CL1480" t="s">
        <v>90</v>
      </c>
    </row>
    <row r="1481" spans="1:90" x14ac:dyDescent="0.3">
      <c r="A1481" t="s">
        <v>72</v>
      </c>
      <c r="B1481" t="s">
        <v>73</v>
      </c>
      <c r="C1481" t="s">
        <v>74</v>
      </c>
      <c r="E1481" t="str">
        <f>"080065895241"</f>
        <v>080065895241</v>
      </c>
      <c r="F1481" s="3">
        <v>45819</v>
      </c>
      <c r="G1481">
        <v>202603</v>
      </c>
      <c r="H1481" t="s">
        <v>75</v>
      </c>
      <c r="I1481" t="s">
        <v>76</v>
      </c>
      <c r="J1481" t="s">
        <v>77</v>
      </c>
      <c r="K1481" t="s">
        <v>78</v>
      </c>
      <c r="L1481" t="s">
        <v>1124</v>
      </c>
      <c r="M1481" t="s">
        <v>1125</v>
      </c>
      <c r="N1481" t="s">
        <v>1126</v>
      </c>
      <c r="O1481" t="s">
        <v>82</v>
      </c>
      <c r="P1481" t="str">
        <f>"4170043141                    "</f>
        <v xml:space="preserve">4170043141                    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40.49</v>
      </c>
      <c r="AR1481">
        <v>0</v>
      </c>
      <c r="AS1481">
        <v>0</v>
      </c>
      <c r="AT1481">
        <v>0</v>
      </c>
      <c r="AU1481">
        <v>0</v>
      </c>
      <c r="AV1481">
        <v>0</v>
      </c>
      <c r="AW1481">
        <v>0</v>
      </c>
      <c r="AX1481">
        <v>0</v>
      </c>
      <c r="AY1481">
        <v>0</v>
      </c>
      <c r="AZ1481">
        <v>0</v>
      </c>
      <c r="BA1481">
        <v>0</v>
      </c>
      <c r="BB1481">
        <v>0</v>
      </c>
      <c r="BC1481">
        <v>0</v>
      </c>
      <c r="BD1481">
        <v>0</v>
      </c>
      <c r="BE1481">
        <v>0</v>
      </c>
      <c r="BF1481">
        <v>0</v>
      </c>
      <c r="BG1481">
        <v>0</v>
      </c>
      <c r="BH1481">
        <v>1</v>
      </c>
      <c r="BI1481">
        <v>1</v>
      </c>
      <c r="BJ1481">
        <v>0.2</v>
      </c>
      <c r="BK1481">
        <v>1</v>
      </c>
      <c r="BL1481">
        <v>134.65</v>
      </c>
      <c r="BM1481">
        <v>20.2</v>
      </c>
      <c r="BN1481">
        <v>154.85</v>
      </c>
      <c r="BO1481">
        <v>154.85</v>
      </c>
      <c r="BQ1481" t="s">
        <v>1127</v>
      </c>
      <c r="BR1481" t="s">
        <v>84</v>
      </c>
      <c r="BS1481" t="s">
        <v>189</v>
      </c>
      <c r="BV1481" t="s">
        <v>90</v>
      </c>
      <c r="BY1481">
        <v>1200</v>
      </c>
      <c r="CC1481" t="s">
        <v>1125</v>
      </c>
      <c r="CD1481">
        <v>4449</v>
      </c>
      <c r="CE1481" t="s">
        <v>215</v>
      </c>
      <c r="CI1481">
        <v>1</v>
      </c>
      <c r="CJ1481" t="s">
        <v>189</v>
      </c>
      <c r="CK1481">
        <v>23</v>
      </c>
      <c r="CL1481" t="s">
        <v>90</v>
      </c>
    </row>
    <row r="1482" spans="1:90" x14ac:dyDescent="0.3">
      <c r="A1482" t="s">
        <v>72</v>
      </c>
      <c r="B1482" t="s">
        <v>73</v>
      </c>
      <c r="C1482" t="s">
        <v>74</v>
      </c>
      <c r="E1482" t="str">
        <f>"080065895256"</f>
        <v>080065895256</v>
      </c>
      <c r="F1482" s="3">
        <v>45819</v>
      </c>
      <c r="G1482">
        <v>202603</v>
      </c>
      <c r="H1482" t="s">
        <v>75</v>
      </c>
      <c r="I1482" t="s">
        <v>76</v>
      </c>
      <c r="J1482" t="s">
        <v>77</v>
      </c>
      <c r="K1482" t="s">
        <v>78</v>
      </c>
      <c r="L1482" t="s">
        <v>331</v>
      </c>
      <c r="M1482" t="s">
        <v>332</v>
      </c>
      <c r="N1482" t="s">
        <v>2080</v>
      </c>
      <c r="O1482" t="s">
        <v>82</v>
      </c>
      <c r="P1482" t="str">
        <f>"4170043370                    "</f>
        <v xml:space="preserve">4170043370                    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20.9</v>
      </c>
      <c r="AR1482">
        <v>0</v>
      </c>
      <c r="AS1482">
        <v>0</v>
      </c>
      <c r="AT1482">
        <v>0</v>
      </c>
      <c r="AU1482">
        <v>0</v>
      </c>
      <c r="AV1482">
        <v>0</v>
      </c>
      <c r="AW1482">
        <v>0</v>
      </c>
      <c r="AX1482">
        <v>0</v>
      </c>
      <c r="AY1482">
        <v>0</v>
      </c>
      <c r="AZ1482">
        <v>0</v>
      </c>
      <c r="BA1482">
        <v>0</v>
      </c>
      <c r="BB1482">
        <v>0</v>
      </c>
      <c r="BC1482">
        <v>0</v>
      </c>
      <c r="BD1482">
        <v>0</v>
      </c>
      <c r="BE1482">
        <v>0</v>
      </c>
      <c r="BF1482">
        <v>0</v>
      </c>
      <c r="BG1482">
        <v>0</v>
      </c>
      <c r="BH1482">
        <v>1</v>
      </c>
      <c r="BI1482">
        <v>1</v>
      </c>
      <c r="BJ1482">
        <v>1.9</v>
      </c>
      <c r="BK1482">
        <v>2</v>
      </c>
      <c r="BL1482">
        <v>69.5</v>
      </c>
      <c r="BM1482">
        <v>10.43</v>
      </c>
      <c r="BN1482">
        <v>79.930000000000007</v>
      </c>
      <c r="BO1482">
        <v>79.930000000000007</v>
      </c>
      <c r="BQ1482" t="s">
        <v>2081</v>
      </c>
      <c r="BR1482" t="s">
        <v>84</v>
      </c>
      <c r="BS1482" t="s">
        <v>189</v>
      </c>
      <c r="BV1482" t="s">
        <v>90</v>
      </c>
      <c r="BY1482">
        <v>9600</v>
      </c>
      <c r="CC1482" t="s">
        <v>332</v>
      </c>
      <c r="CD1482">
        <v>4000</v>
      </c>
      <c r="CE1482" t="s">
        <v>687</v>
      </c>
      <c r="CI1482">
        <v>1</v>
      </c>
      <c r="CJ1482" t="s">
        <v>189</v>
      </c>
      <c r="CK1482">
        <v>21</v>
      </c>
      <c r="CL1482" t="s">
        <v>90</v>
      </c>
    </row>
    <row r="1483" spans="1:90" x14ac:dyDescent="0.3">
      <c r="A1483" t="s">
        <v>72</v>
      </c>
      <c r="B1483" t="s">
        <v>73</v>
      </c>
      <c r="C1483" t="s">
        <v>74</v>
      </c>
      <c r="E1483" t="str">
        <f>"080065895371"</f>
        <v>080065895371</v>
      </c>
      <c r="F1483" s="3">
        <v>45819</v>
      </c>
      <c r="G1483">
        <v>202603</v>
      </c>
      <c r="H1483" t="s">
        <v>75</v>
      </c>
      <c r="I1483" t="s">
        <v>76</v>
      </c>
      <c r="J1483" t="s">
        <v>77</v>
      </c>
      <c r="K1483" t="s">
        <v>78</v>
      </c>
      <c r="L1483" t="s">
        <v>2082</v>
      </c>
      <c r="M1483" t="s">
        <v>2083</v>
      </c>
      <c r="N1483" t="s">
        <v>2084</v>
      </c>
      <c r="O1483" t="s">
        <v>82</v>
      </c>
      <c r="P1483" t="str">
        <f>"4170043411                    "</f>
        <v xml:space="preserve">4170043411                    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40.49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</v>
      </c>
      <c r="AX1483">
        <v>0</v>
      </c>
      <c r="AY1483">
        <v>0</v>
      </c>
      <c r="AZ1483">
        <v>0</v>
      </c>
      <c r="BA1483">
        <v>0</v>
      </c>
      <c r="BB1483">
        <v>0</v>
      </c>
      <c r="BC1483">
        <v>0</v>
      </c>
      <c r="BD1483">
        <v>0</v>
      </c>
      <c r="BE1483">
        <v>0</v>
      </c>
      <c r="BF1483">
        <v>0</v>
      </c>
      <c r="BG1483">
        <v>0</v>
      </c>
      <c r="BH1483">
        <v>1</v>
      </c>
      <c r="BI1483">
        <v>1</v>
      </c>
      <c r="BJ1483">
        <v>0.2</v>
      </c>
      <c r="BK1483">
        <v>1</v>
      </c>
      <c r="BL1483">
        <v>134.65</v>
      </c>
      <c r="BM1483">
        <v>20.2</v>
      </c>
      <c r="BN1483">
        <v>154.85</v>
      </c>
      <c r="BO1483">
        <v>154.85</v>
      </c>
      <c r="BQ1483" t="s">
        <v>2085</v>
      </c>
      <c r="BR1483" t="s">
        <v>84</v>
      </c>
      <c r="BS1483" t="s">
        <v>189</v>
      </c>
      <c r="BV1483" t="s">
        <v>90</v>
      </c>
      <c r="BY1483">
        <v>1200</v>
      </c>
      <c r="CC1483" t="s">
        <v>2083</v>
      </c>
      <c r="CD1483">
        <v>4215</v>
      </c>
      <c r="CE1483" t="s">
        <v>215</v>
      </c>
      <c r="CI1483">
        <v>1</v>
      </c>
      <c r="CJ1483" t="s">
        <v>189</v>
      </c>
      <c r="CK1483">
        <v>23</v>
      </c>
      <c r="CL1483" t="s">
        <v>90</v>
      </c>
    </row>
    <row r="1484" spans="1:90" x14ac:dyDescent="0.3">
      <c r="A1484" t="s">
        <v>72</v>
      </c>
      <c r="B1484" t="s">
        <v>73</v>
      </c>
      <c r="C1484" t="s">
        <v>74</v>
      </c>
      <c r="E1484" t="str">
        <f>"080065895224"</f>
        <v>080065895224</v>
      </c>
      <c r="F1484" s="3">
        <v>45819</v>
      </c>
      <c r="G1484">
        <v>202603</v>
      </c>
      <c r="H1484" t="s">
        <v>75</v>
      </c>
      <c r="I1484" t="s">
        <v>76</v>
      </c>
      <c r="J1484" t="s">
        <v>77</v>
      </c>
      <c r="K1484" t="s">
        <v>78</v>
      </c>
      <c r="L1484" t="s">
        <v>331</v>
      </c>
      <c r="M1484" t="s">
        <v>332</v>
      </c>
      <c r="N1484" t="s">
        <v>2080</v>
      </c>
      <c r="O1484" t="s">
        <v>82</v>
      </c>
      <c r="P1484" t="str">
        <f>"4170043370                    "</f>
        <v xml:space="preserve">4170043370                    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20.9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</v>
      </c>
      <c r="AX1484">
        <v>0</v>
      </c>
      <c r="AY1484">
        <v>0</v>
      </c>
      <c r="AZ1484">
        <v>0</v>
      </c>
      <c r="BA1484">
        <v>0</v>
      </c>
      <c r="BB1484">
        <v>0</v>
      </c>
      <c r="BC1484">
        <v>0</v>
      </c>
      <c r="BD1484">
        <v>0</v>
      </c>
      <c r="BE1484">
        <v>0</v>
      </c>
      <c r="BF1484">
        <v>0</v>
      </c>
      <c r="BG1484">
        <v>0</v>
      </c>
      <c r="BH1484">
        <v>1</v>
      </c>
      <c r="BI1484">
        <v>1</v>
      </c>
      <c r="BJ1484">
        <v>1.9</v>
      </c>
      <c r="BK1484">
        <v>2</v>
      </c>
      <c r="BL1484">
        <v>69.5</v>
      </c>
      <c r="BM1484">
        <v>10.43</v>
      </c>
      <c r="BN1484">
        <v>79.930000000000007</v>
      </c>
      <c r="BO1484">
        <v>79.930000000000007</v>
      </c>
      <c r="BQ1484" t="s">
        <v>2081</v>
      </c>
      <c r="BR1484" t="s">
        <v>84</v>
      </c>
      <c r="BS1484" s="3">
        <v>45819</v>
      </c>
      <c r="BT1484" s="4">
        <v>0.47013888888888888</v>
      </c>
      <c r="BU1484" t="s">
        <v>832</v>
      </c>
      <c r="BV1484" t="s">
        <v>86</v>
      </c>
      <c r="BY1484">
        <v>9600</v>
      </c>
      <c r="BZ1484" t="s">
        <v>87</v>
      </c>
      <c r="CA1484" t="s">
        <v>2086</v>
      </c>
      <c r="CC1484" t="s">
        <v>332</v>
      </c>
      <c r="CD1484">
        <v>4000</v>
      </c>
      <c r="CE1484" t="s">
        <v>99</v>
      </c>
      <c r="CI1484">
        <v>1</v>
      </c>
      <c r="CJ1484">
        <v>0</v>
      </c>
      <c r="CK1484">
        <v>21</v>
      </c>
      <c r="CL1484" t="s">
        <v>90</v>
      </c>
    </row>
    <row r="1485" spans="1:90" x14ac:dyDescent="0.3">
      <c r="A1485" t="s">
        <v>72</v>
      </c>
      <c r="B1485" t="s">
        <v>73</v>
      </c>
      <c r="C1485" t="s">
        <v>74</v>
      </c>
      <c r="E1485" t="str">
        <f>"080065895400"</f>
        <v>080065895400</v>
      </c>
      <c r="F1485" s="3">
        <v>45819</v>
      </c>
      <c r="G1485">
        <v>202603</v>
      </c>
      <c r="H1485" t="s">
        <v>75</v>
      </c>
      <c r="I1485" t="s">
        <v>76</v>
      </c>
      <c r="J1485" t="s">
        <v>77</v>
      </c>
      <c r="K1485" t="s">
        <v>78</v>
      </c>
      <c r="L1485" t="s">
        <v>136</v>
      </c>
      <c r="M1485" t="s">
        <v>137</v>
      </c>
      <c r="N1485" t="s">
        <v>317</v>
      </c>
      <c r="O1485" t="s">
        <v>82</v>
      </c>
      <c r="P1485" t="str">
        <f>"4170043340                    "</f>
        <v xml:space="preserve">4170043340                    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20.9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</v>
      </c>
      <c r="AX1485">
        <v>0</v>
      </c>
      <c r="AY1485">
        <v>0</v>
      </c>
      <c r="AZ1485">
        <v>0</v>
      </c>
      <c r="BA1485">
        <v>0</v>
      </c>
      <c r="BB1485">
        <v>0</v>
      </c>
      <c r="BC1485">
        <v>0</v>
      </c>
      <c r="BD1485">
        <v>0</v>
      </c>
      <c r="BE1485">
        <v>0</v>
      </c>
      <c r="BF1485">
        <v>0</v>
      </c>
      <c r="BG1485">
        <v>0</v>
      </c>
      <c r="BH1485">
        <v>1</v>
      </c>
      <c r="BI1485">
        <v>1</v>
      </c>
      <c r="BJ1485">
        <v>0.2</v>
      </c>
      <c r="BK1485">
        <v>1</v>
      </c>
      <c r="BL1485">
        <v>69.5</v>
      </c>
      <c r="BM1485">
        <v>10.43</v>
      </c>
      <c r="BN1485">
        <v>79.930000000000007</v>
      </c>
      <c r="BO1485">
        <v>79.930000000000007</v>
      </c>
      <c r="BQ1485" t="s">
        <v>318</v>
      </c>
      <c r="BR1485" t="s">
        <v>84</v>
      </c>
      <c r="BS1485" t="s">
        <v>189</v>
      </c>
      <c r="BV1485" t="s">
        <v>90</v>
      </c>
      <c r="BY1485">
        <v>1200</v>
      </c>
      <c r="CC1485" t="s">
        <v>137</v>
      </c>
      <c r="CD1485">
        <v>5201</v>
      </c>
      <c r="CE1485" t="s">
        <v>215</v>
      </c>
      <c r="CI1485">
        <v>1</v>
      </c>
      <c r="CJ1485" t="s">
        <v>189</v>
      </c>
      <c r="CK1485">
        <v>21</v>
      </c>
      <c r="CL1485" t="s">
        <v>90</v>
      </c>
    </row>
    <row r="1486" spans="1:90" x14ac:dyDescent="0.3">
      <c r="A1486" t="s">
        <v>72</v>
      </c>
      <c r="B1486" t="s">
        <v>73</v>
      </c>
      <c r="C1486" t="s">
        <v>74</v>
      </c>
      <c r="E1486" t="str">
        <f>"080065895441"</f>
        <v>080065895441</v>
      </c>
      <c r="F1486" s="3">
        <v>45819</v>
      </c>
      <c r="G1486">
        <v>202603</v>
      </c>
      <c r="H1486" t="s">
        <v>75</v>
      </c>
      <c r="I1486" t="s">
        <v>76</v>
      </c>
      <c r="J1486" t="s">
        <v>77</v>
      </c>
      <c r="K1486" t="s">
        <v>78</v>
      </c>
      <c r="L1486" t="s">
        <v>75</v>
      </c>
      <c r="M1486" t="s">
        <v>76</v>
      </c>
      <c r="N1486" t="s">
        <v>656</v>
      </c>
      <c r="O1486" t="s">
        <v>82</v>
      </c>
      <c r="P1486" t="str">
        <f>"4170043351                    "</f>
        <v xml:space="preserve">4170043351                    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16.32</v>
      </c>
      <c r="AR1486">
        <v>0</v>
      </c>
      <c r="AS1486">
        <v>0</v>
      </c>
      <c r="AT1486">
        <v>0</v>
      </c>
      <c r="AU1486">
        <v>0</v>
      </c>
      <c r="AV1486">
        <v>0</v>
      </c>
      <c r="AW1486">
        <v>0</v>
      </c>
      <c r="AX1486">
        <v>0</v>
      </c>
      <c r="AY1486">
        <v>0</v>
      </c>
      <c r="AZ1486">
        <v>0</v>
      </c>
      <c r="BA1486">
        <v>0</v>
      </c>
      <c r="BB1486">
        <v>0</v>
      </c>
      <c r="BC1486">
        <v>0</v>
      </c>
      <c r="BD1486">
        <v>0</v>
      </c>
      <c r="BE1486">
        <v>0</v>
      </c>
      <c r="BF1486">
        <v>0</v>
      </c>
      <c r="BG1486">
        <v>0</v>
      </c>
      <c r="BH1486">
        <v>1</v>
      </c>
      <c r="BI1486">
        <v>1</v>
      </c>
      <c r="BJ1486">
        <v>0.2</v>
      </c>
      <c r="BK1486">
        <v>1</v>
      </c>
      <c r="BL1486">
        <v>54.28</v>
      </c>
      <c r="BM1486">
        <v>8.14</v>
      </c>
      <c r="BN1486">
        <v>62.42</v>
      </c>
      <c r="BO1486">
        <v>62.42</v>
      </c>
      <c r="BQ1486" t="s">
        <v>657</v>
      </c>
      <c r="BR1486" t="s">
        <v>84</v>
      </c>
      <c r="BS1486" t="s">
        <v>189</v>
      </c>
      <c r="BV1486" t="s">
        <v>90</v>
      </c>
      <c r="BY1486">
        <v>1200</v>
      </c>
      <c r="CC1486" t="s">
        <v>76</v>
      </c>
      <c r="CD1486">
        <v>1619</v>
      </c>
      <c r="CE1486" t="s">
        <v>215</v>
      </c>
      <c r="CI1486">
        <v>1</v>
      </c>
      <c r="CJ1486" t="s">
        <v>189</v>
      </c>
      <c r="CK1486">
        <v>22</v>
      </c>
      <c r="CL1486" t="s">
        <v>90</v>
      </c>
    </row>
    <row r="1487" spans="1:90" x14ac:dyDescent="0.3">
      <c r="A1487" t="s">
        <v>72</v>
      </c>
      <c r="B1487" t="s">
        <v>73</v>
      </c>
      <c r="C1487" t="s">
        <v>74</v>
      </c>
      <c r="E1487" t="str">
        <f>"080065895488"</f>
        <v>080065895488</v>
      </c>
      <c r="F1487" s="3">
        <v>45819</v>
      </c>
      <c r="G1487">
        <v>202603</v>
      </c>
      <c r="H1487" t="s">
        <v>75</v>
      </c>
      <c r="I1487" t="s">
        <v>76</v>
      </c>
      <c r="J1487" t="s">
        <v>77</v>
      </c>
      <c r="K1487" t="s">
        <v>78</v>
      </c>
      <c r="L1487" t="s">
        <v>251</v>
      </c>
      <c r="M1487" t="s">
        <v>252</v>
      </c>
      <c r="N1487" t="s">
        <v>2087</v>
      </c>
      <c r="O1487" t="s">
        <v>82</v>
      </c>
      <c r="P1487" t="str">
        <f>"4170043190                    "</f>
        <v xml:space="preserve">4170043190                    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20.9</v>
      </c>
      <c r="AR1487">
        <v>0</v>
      </c>
      <c r="AS1487">
        <v>0</v>
      </c>
      <c r="AT1487">
        <v>0</v>
      </c>
      <c r="AU1487">
        <v>0</v>
      </c>
      <c r="AV1487">
        <v>0</v>
      </c>
      <c r="AW1487">
        <v>0</v>
      </c>
      <c r="AX1487">
        <v>0</v>
      </c>
      <c r="AY1487">
        <v>0</v>
      </c>
      <c r="AZ1487">
        <v>0</v>
      </c>
      <c r="BA1487">
        <v>0</v>
      </c>
      <c r="BB1487">
        <v>0</v>
      </c>
      <c r="BC1487">
        <v>0</v>
      </c>
      <c r="BD1487">
        <v>0</v>
      </c>
      <c r="BE1487">
        <v>0</v>
      </c>
      <c r="BF1487">
        <v>0</v>
      </c>
      <c r="BG1487">
        <v>0</v>
      </c>
      <c r="BH1487">
        <v>1</v>
      </c>
      <c r="BI1487">
        <v>1</v>
      </c>
      <c r="BJ1487">
        <v>0.2</v>
      </c>
      <c r="BK1487">
        <v>1</v>
      </c>
      <c r="BL1487">
        <v>69.5</v>
      </c>
      <c r="BM1487">
        <v>10.43</v>
      </c>
      <c r="BN1487">
        <v>79.930000000000007</v>
      </c>
      <c r="BO1487">
        <v>79.930000000000007</v>
      </c>
      <c r="BQ1487" t="s">
        <v>2088</v>
      </c>
      <c r="BR1487" t="s">
        <v>84</v>
      </c>
      <c r="BS1487" t="s">
        <v>189</v>
      </c>
      <c r="BV1487" t="s">
        <v>90</v>
      </c>
      <c r="BY1487">
        <v>1200</v>
      </c>
      <c r="CC1487" t="s">
        <v>252</v>
      </c>
      <c r="CD1487">
        <v>4302</v>
      </c>
      <c r="CE1487" t="s">
        <v>215</v>
      </c>
      <c r="CI1487">
        <v>1</v>
      </c>
      <c r="CJ1487" t="s">
        <v>189</v>
      </c>
      <c r="CK1487">
        <v>21</v>
      </c>
      <c r="CL1487" t="s">
        <v>90</v>
      </c>
    </row>
    <row r="1488" spans="1:90" x14ac:dyDescent="0.3">
      <c r="A1488" t="s">
        <v>72</v>
      </c>
      <c r="B1488" t="s">
        <v>73</v>
      </c>
      <c r="C1488" t="s">
        <v>74</v>
      </c>
      <c r="E1488" t="str">
        <f>"080065895528"</f>
        <v>080065895528</v>
      </c>
      <c r="F1488" s="3">
        <v>45819</v>
      </c>
      <c r="G1488">
        <v>202603</v>
      </c>
      <c r="H1488" t="s">
        <v>75</v>
      </c>
      <c r="I1488" t="s">
        <v>76</v>
      </c>
      <c r="J1488" t="s">
        <v>77</v>
      </c>
      <c r="K1488" t="s">
        <v>78</v>
      </c>
      <c r="L1488" t="s">
        <v>375</v>
      </c>
      <c r="M1488" t="s">
        <v>376</v>
      </c>
      <c r="N1488" t="s">
        <v>2089</v>
      </c>
      <c r="O1488" t="s">
        <v>82</v>
      </c>
      <c r="P1488" t="str">
        <f>"4170043360                    "</f>
        <v xml:space="preserve">4170043360                    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16.32</v>
      </c>
      <c r="AR1488">
        <v>0</v>
      </c>
      <c r="AS1488">
        <v>0</v>
      </c>
      <c r="AT1488">
        <v>0</v>
      </c>
      <c r="AU1488">
        <v>0</v>
      </c>
      <c r="AV1488">
        <v>0</v>
      </c>
      <c r="AW1488">
        <v>0</v>
      </c>
      <c r="AX1488">
        <v>0</v>
      </c>
      <c r="AY1488">
        <v>0</v>
      </c>
      <c r="AZ1488">
        <v>0</v>
      </c>
      <c r="BA1488">
        <v>0</v>
      </c>
      <c r="BB1488">
        <v>0</v>
      </c>
      <c r="BC1488">
        <v>0</v>
      </c>
      <c r="BD1488">
        <v>0</v>
      </c>
      <c r="BE1488">
        <v>0</v>
      </c>
      <c r="BF1488">
        <v>0</v>
      </c>
      <c r="BG1488">
        <v>0</v>
      </c>
      <c r="BH1488">
        <v>1</v>
      </c>
      <c r="BI1488">
        <v>1</v>
      </c>
      <c r="BJ1488">
        <v>0.2</v>
      </c>
      <c r="BK1488">
        <v>1</v>
      </c>
      <c r="BL1488">
        <v>54.28</v>
      </c>
      <c r="BM1488">
        <v>8.14</v>
      </c>
      <c r="BN1488">
        <v>62.42</v>
      </c>
      <c r="BO1488">
        <v>62.42</v>
      </c>
      <c r="BQ1488" t="s">
        <v>2090</v>
      </c>
      <c r="BR1488" t="s">
        <v>84</v>
      </c>
      <c r="BS1488" s="3">
        <v>45820</v>
      </c>
      <c r="BT1488" s="4">
        <v>0.33055555555555555</v>
      </c>
      <c r="BU1488" t="s">
        <v>2091</v>
      </c>
      <c r="BV1488" t="s">
        <v>86</v>
      </c>
      <c r="BY1488">
        <v>1200</v>
      </c>
      <c r="CA1488" t="s">
        <v>279</v>
      </c>
      <c r="CC1488" t="s">
        <v>376</v>
      </c>
      <c r="CD1488">
        <v>1401</v>
      </c>
      <c r="CE1488" t="s">
        <v>215</v>
      </c>
      <c r="CI1488">
        <v>1</v>
      </c>
      <c r="CJ1488">
        <v>1</v>
      </c>
      <c r="CK1488">
        <v>22</v>
      </c>
      <c r="CL1488" t="s">
        <v>90</v>
      </c>
    </row>
    <row r="1489" spans="1:90" x14ac:dyDescent="0.3">
      <c r="A1489" t="s">
        <v>72</v>
      </c>
      <c r="B1489" t="s">
        <v>73</v>
      </c>
      <c r="C1489" t="s">
        <v>74</v>
      </c>
      <c r="E1489" t="str">
        <f>"080065895564"</f>
        <v>080065895564</v>
      </c>
      <c r="F1489" s="3">
        <v>45819</v>
      </c>
      <c r="G1489">
        <v>202603</v>
      </c>
      <c r="H1489" t="s">
        <v>75</v>
      </c>
      <c r="I1489" t="s">
        <v>76</v>
      </c>
      <c r="J1489" t="s">
        <v>77</v>
      </c>
      <c r="K1489" t="s">
        <v>78</v>
      </c>
      <c r="L1489" t="s">
        <v>900</v>
      </c>
      <c r="M1489" t="s">
        <v>901</v>
      </c>
      <c r="N1489" t="s">
        <v>902</v>
      </c>
      <c r="O1489" t="s">
        <v>82</v>
      </c>
      <c r="P1489" t="str">
        <f>"4170043365                    "</f>
        <v xml:space="preserve">4170043365                    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>
        <v>20.9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</v>
      </c>
      <c r="AX1489">
        <v>0</v>
      </c>
      <c r="AY1489">
        <v>0</v>
      </c>
      <c r="AZ1489">
        <v>0</v>
      </c>
      <c r="BA1489">
        <v>0</v>
      </c>
      <c r="BB1489">
        <v>0</v>
      </c>
      <c r="BC1489">
        <v>0</v>
      </c>
      <c r="BD1489">
        <v>0</v>
      </c>
      <c r="BE1489">
        <v>0</v>
      </c>
      <c r="BF1489">
        <v>0</v>
      </c>
      <c r="BG1489">
        <v>0</v>
      </c>
      <c r="BH1489">
        <v>1</v>
      </c>
      <c r="BI1489">
        <v>1</v>
      </c>
      <c r="BJ1489">
        <v>0.2</v>
      </c>
      <c r="BK1489">
        <v>1</v>
      </c>
      <c r="BL1489">
        <v>69.5</v>
      </c>
      <c r="BM1489">
        <v>10.43</v>
      </c>
      <c r="BN1489">
        <v>79.930000000000007</v>
      </c>
      <c r="BO1489">
        <v>79.930000000000007</v>
      </c>
      <c r="BQ1489" t="s">
        <v>903</v>
      </c>
      <c r="BR1489" t="s">
        <v>84</v>
      </c>
      <c r="BS1489" t="s">
        <v>189</v>
      </c>
      <c r="BV1489" t="s">
        <v>90</v>
      </c>
      <c r="BY1489">
        <v>1200</v>
      </c>
      <c r="CC1489" t="s">
        <v>901</v>
      </c>
      <c r="CD1489">
        <v>4026</v>
      </c>
      <c r="CE1489" t="s">
        <v>215</v>
      </c>
      <c r="CI1489">
        <v>1</v>
      </c>
      <c r="CJ1489" t="s">
        <v>189</v>
      </c>
      <c r="CK1489">
        <v>21</v>
      </c>
      <c r="CL1489" t="s">
        <v>90</v>
      </c>
    </row>
    <row r="1490" spans="1:90" x14ac:dyDescent="0.3">
      <c r="A1490" t="s">
        <v>72</v>
      </c>
      <c r="B1490" t="s">
        <v>73</v>
      </c>
      <c r="C1490" t="s">
        <v>74</v>
      </c>
      <c r="E1490" t="str">
        <f>"080065895605"</f>
        <v>080065895605</v>
      </c>
      <c r="F1490" s="3">
        <v>45819</v>
      </c>
      <c r="G1490">
        <v>202603</v>
      </c>
      <c r="H1490" t="s">
        <v>75</v>
      </c>
      <c r="I1490" t="s">
        <v>76</v>
      </c>
      <c r="J1490" t="s">
        <v>77</v>
      </c>
      <c r="K1490" t="s">
        <v>78</v>
      </c>
      <c r="L1490" t="s">
        <v>331</v>
      </c>
      <c r="M1490" t="s">
        <v>332</v>
      </c>
      <c r="N1490" t="s">
        <v>484</v>
      </c>
      <c r="O1490" t="s">
        <v>82</v>
      </c>
      <c r="P1490" t="str">
        <f>"4170043389                    "</f>
        <v xml:space="preserve">4170043389                    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20.9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</v>
      </c>
      <c r="AX1490">
        <v>0</v>
      </c>
      <c r="AY1490">
        <v>0</v>
      </c>
      <c r="AZ1490">
        <v>0</v>
      </c>
      <c r="BA1490">
        <v>0</v>
      </c>
      <c r="BB1490">
        <v>0</v>
      </c>
      <c r="BC1490">
        <v>0</v>
      </c>
      <c r="BD1490">
        <v>0</v>
      </c>
      <c r="BE1490">
        <v>0</v>
      </c>
      <c r="BF1490">
        <v>0</v>
      </c>
      <c r="BG1490">
        <v>0</v>
      </c>
      <c r="BH1490">
        <v>1</v>
      </c>
      <c r="BI1490">
        <v>1</v>
      </c>
      <c r="BJ1490">
        <v>0.2</v>
      </c>
      <c r="BK1490">
        <v>1</v>
      </c>
      <c r="BL1490">
        <v>69.5</v>
      </c>
      <c r="BM1490">
        <v>10.43</v>
      </c>
      <c r="BN1490">
        <v>79.930000000000007</v>
      </c>
      <c r="BO1490">
        <v>79.930000000000007</v>
      </c>
      <c r="BQ1490" t="s">
        <v>485</v>
      </c>
      <c r="BR1490" t="s">
        <v>84</v>
      </c>
      <c r="BS1490" t="s">
        <v>189</v>
      </c>
      <c r="BV1490" t="s">
        <v>90</v>
      </c>
      <c r="BY1490">
        <v>1200</v>
      </c>
      <c r="CC1490" t="s">
        <v>332</v>
      </c>
      <c r="CD1490">
        <v>4052</v>
      </c>
      <c r="CE1490" t="s">
        <v>215</v>
      </c>
      <c r="CI1490">
        <v>1</v>
      </c>
      <c r="CJ1490" t="s">
        <v>189</v>
      </c>
      <c r="CK1490">
        <v>21</v>
      </c>
      <c r="CL1490" t="s">
        <v>90</v>
      </c>
    </row>
    <row r="1491" spans="1:90" x14ac:dyDescent="0.3">
      <c r="A1491" t="s">
        <v>72</v>
      </c>
      <c r="B1491" t="s">
        <v>73</v>
      </c>
      <c r="C1491" t="s">
        <v>74</v>
      </c>
      <c r="E1491" t="str">
        <f>"080065895635"</f>
        <v>080065895635</v>
      </c>
      <c r="F1491" s="3">
        <v>45819</v>
      </c>
      <c r="G1491">
        <v>202603</v>
      </c>
      <c r="H1491" t="s">
        <v>75</v>
      </c>
      <c r="I1491" t="s">
        <v>76</v>
      </c>
      <c r="J1491" t="s">
        <v>77</v>
      </c>
      <c r="K1491" t="s">
        <v>78</v>
      </c>
      <c r="L1491" t="s">
        <v>75</v>
      </c>
      <c r="M1491" t="s">
        <v>76</v>
      </c>
      <c r="N1491" t="s">
        <v>1056</v>
      </c>
      <c r="O1491" t="s">
        <v>82</v>
      </c>
      <c r="P1491" t="str">
        <f>"4170043289                    "</f>
        <v xml:space="preserve">4170043289                    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>
        <v>16.32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</v>
      </c>
      <c r="AX1491">
        <v>0</v>
      </c>
      <c r="AY1491">
        <v>0</v>
      </c>
      <c r="AZ1491">
        <v>0</v>
      </c>
      <c r="BA1491">
        <v>0</v>
      </c>
      <c r="BB1491">
        <v>0</v>
      </c>
      <c r="BC1491">
        <v>0</v>
      </c>
      <c r="BD1491">
        <v>0</v>
      </c>
      <c r="BE1491">
        <v>0</v>
      </c>
      <c r="BF1491">
        <v>0</v>
      </c>
      <c r="BG1491">
        <v>0</v>
      </c>
      <c r="BH1491">
        <v>1</v>
      </c>
      <c r="BI1491">
        <v>1</v>
      </c>
      <c r="BJ1491">
        <v>0.2</v>
      </c>
      <c r="BK1491">
        <v>1</v>
      </c>
      <c r="BL1491">
        <v>54.28</v>
      </c>
      <c r="BM1491">
        <v>8.14</v>
      </c>
      <c r="BN1491">
        <v>62.42</v>
      </c>
      <c r="BO1491">
        <v>62.42</v>
      </c>
      <c r="BQ1491" t="s">
        <v>1057</v>
      </c>
      <c r="BR1491" t="s">
        <v>84</v>
      </c>
      <c r="BS1491" t="s">
        <v>189</v>
      </c>
      <c r="BV1491" t="s">
        <v>90</v>
      </c>
      <c r="BY1491">
        <v>1200</v>
      </c>
      <c r="CC1491" t="s">
        <v>76</v>
      </c>
      <c r="CD1491">
        <v>1619</v>
      </c>
      <c r="CE1491" t="s">
        <v>215</v>
      </c>
      <c r="CI1491">
        <v>1</v>
      </c>
      <c r="CJ1491" t="s">
        <v>189</v>
      </c>
      <c r="CK1491">
        <v>22</v>
      </c>
      <c r="CL1491" t="s">
        <v>90</v>
      </c>
    </row>
    <row r="1492" spans="1:90" x14ac:dyDescent="0.3">
      <c r="A1492" t="s">
        <v>72</v>
      </c>
      <c r="B1492" t="s">
        <v>73</v>
      </c>
      <c r="C1492" t="s">
        <v>74</v>
      </c>
      <c r="E1492" t="str">
        <f>"080065895673"</f>
        <v>080065895673</v>
      </c>
      <c r="F1492" s="3">
        <v>45819</v>
      </c>
      <c r="G1492">
        <v>202603</v>
      </c>
      <c r="H1492" t="s">
        <v>75</v>
      </c>
      <c r="I1492" t="s">
        <v>76</v>
      </c>
      <c r="J1492" t="s">
        <v>77</v>
      </c>
      <c r="K1492" t="s">
        <v>78</v>
      </c>
      <c r="L1492" t="s">
        <v>251</v>
      </c>
      <c r="M1492" t="s">
        <v>252</v>
      </c>
      <c r="N1492" t="s">
        <v>567</v>
      </c>
      <c r="O1492" t="s">
        <v>82</v>
      </c>
      <c r="P1492" t="str">
        <f>"4170043496                    "</f>
        <v xml:space="preserve">4170043496                    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20.9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0</v>
      </c>
      <c r="AX1492">
        <v>0</v>
      </c>
      <c r="AY1492">
        <v>0</v>
      </c>
      <c r="AZ1492">
        <v>0</v>
      </c>
      <c r="BA1492">
        <v>0</v>
      </c>
      <c r="BB1492">
        <v>0</v>
      </c>
      <c r="BC1492">
        <v>0</v>
      </c>
      <c r="BD1492">
        <v>0</v>
      </c>
      <c r="BE1492">
        <v>0</v>
      </c>
      <c r="BF1492">
        <v>0</v>
      </c>
      <c r="BG1492">
        <v>0</v>
      </c>
      <c r="BH1492">
        <v>1</v>
      </c>
      <c r="BI1492">
        <v>1</v>
      </c>
      <c r="BJ1492">
        <v>0.2</v>
      </c>
      <c r="BK1492">
        <v>1</v>
      </c>
      <c r="BL1492">
        <v>69.5</v>
      </c>
      <c r="BM1492">
        <v>10.43</v>
      </c>
      <c r="BN1492">
        <v>79.930000000000007</v>
      </c>
      <c r="BO1492">
        <v>79.930000000000007</v>
      </c>
      <c r="BQ1492" t="s">
        <v>568</v>
      </c>
      <c r="BR1492" t="s">
        <v>84</v>
      </c>
      <c r="BS1492" t="s">
        <v>189</v>
      </c>
      <c r="BV1492" t="s">
        <v>90</v>
      </c>
      <c r="BY1492">
        <v>1200</v>
      </c>
      <c r="CC1492" t="s">
        <v>252</v>
      </c>
      <c r="CD1492">
        <v>4302</v>
      </c>
      <c r="CE1492" t="s">
        <v>215</v>
      </c>
      <c r="CI1492">
        <v>1</v>
      </c>
      <c r="CJ1492" t="s">
        <v>189</v>
      </c>
      <c r="CK1492">
        <v>21</v>
      </c>
      <c r="CL1492" t="s">
        <v>90</v>
      </c>
    </row>
    <row r="1493" spans="1:90" x14ac:dyDescent="0.3">
      <c r="A1493" t="s">
        <v>72</v>
      </c>
      <c r="B1493" t="s">
        <v>73</v>
      </c>
      <c r="C1493" t="s">
        <v>74</v>
      </c>
      <c r="E1493" t="str">
        <f>"080065895732"</f>
        <v>080065895732</v>
      </c>
      <c r="F1493" s="3">
        <v>45819</v>
      </c>
      <c r="G1493">
        <v>202603</v>
      </c>
      <c r="H1493" t="s">
        <v>75</v>
      </c>
      <c r="I1493" t="s">
        <v>76</v>
      </c>
      <c r="J1493" t="s">
        <v>77</v>
      </c>
      <c r="K1493" t="s">
        <v>78</v>
      </c>
      <c r="L1493" t="s">
        <v>331</v>
      </c>
      <c r="M1493" t="s">
        <v>332</v>
      </c>
      <c r="N1493" t="s">
        <v>1499</v>
      </c>
      <c r="O1493" t="s">
        <v>82</v>
      </c>
      <c r="P1493" t="str">
        <f>"4170043154                    "</f>
        <v xml:space="preserve">4170043154                    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41.78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  <c r="BE1493">
        <v>0</v>
      </c>
      <c r="BF1493">
        <v>0</v>
      </c>
      <c r="BG1493">
        <v>0</v>
      </c>
      <c r="BH1493">
        <v>1</v>
      </c>
      <c r="BI1493">
        <v>4</v>
      </c>
      <c r="BJ1493">
        <v>1.9</v>
      </c>
      <c r="BK1493">
        <v>4</v>
      </c>
      <c r="BL1493">
        <v>138.94</v>
      </c>
      <c r="BM1493">
        <v>20.84</v>
      </c>
      <c r="BN1493">
        <v>159.78</v>
      </c>
      <c r="BO1493">
        <v>159.78</v>
      </c>
      <c r="BQ1493" t="s">
        <v>1500</v>
      </c>
      <c r="BR1493" t="s">
        <v>84</v>
      </c>
      <c r="BS1493" s="3">
        <v>45820</v>
      </c>
      <c r="BT1493" s="4">
        <v>0.34166666666666667</v>
      </c>
      <c r="BU1493" t="s">
        <v>335</v>
      </c>
      <c r="BV1493" t="s">
        <v>86</v>
      </c>
      <c r="BY1493">
        <v>9600</v>
      </c>
      <c r="CA1493" t="s">
        <v>336</v>
      </c>
      <c r="CC1493" t="s">
        <v>332</v>
      </c>
      <c r="CD1493">
        <v>4051</v>
      </c>
      <c r="CE1493" t="s">
        <v>687</v>
      </c>
      <c r="CI1493">
        <v>1</v>
      </c>
      <c r="CJ1493">
        <v>1</v>
      </c>
      <c r="CK1493">
        <v>21</v>
      </c>
      <c r="CL1493" t="s">
        <v>90</v>
      </c>
    </row>
    <row r="1494" spans="1:90" x14ac:dyDescent="0.3">
      <c r="A1494" t="s">
        <v>72</v>
      </c>
      <c r="B1494" t="s">
        <v>73</v>
      </c>
      <c r="C1494" t="s">
        <v>74</v>
      </c>
      <c r="E1494" t="str">
        <f>"080065895750"</f>
        <v>080065895750</v>
      </c>
      <c r="F1494" s="3">
        <v>45819</v>
      </c>
      <c r="G1494">
        <v>202603</v>
      </c>
      <c r="H1494" t="s">
        <v>75</v>
      </c>
      <c r="I1494" t="s">
        <v>76</v>
      </c>
      <c r="J1494" t="s">
        <v>77</v>
      </c>
      <c r="K1494" t="s">
        <v>78</v>
      </c>
      <c r="L1494" t="s">
        <v>100</v>
      </c>
      <c r="M1494" t="s">
        <v>101</v>
      </c>
      <c r="N1494" t="s">
        <v>1013</v>
      </c>
      <c r="O1494" t="s">
        <v>82</v>
      </c>
      <c r="P1494" t="str">
        <f>"4170043405                    "</f>
        <v xml:space="preserve">4170043405                    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20.9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</v>
      </c>
      <c r="AX1494">
        <v>0</v>
      </c>
      <c r="AY1494">
        <v>0</v>
      </c>
      <c r="AZ1494">
        <v>0</v>
      </c>
      <c r="BA1494">
        <v>0</v>
      </c>
      <c r="BB1494">
        <v>0</v>
      </c>
      <c r="BC1494">
        <v>0</v>
      </c>
      <c r="BD1494">
        <v>0</v>
      </c>
      <c r="BE1494">
        <v>0</v>
      </c>
      <c r="BF1494">
        <v>0</v>
      </c>
      <c r="BG1494">
        <v>0</v>
      </c>
      <c r="BH1494">
        <v>1</v>
      </c>
      <c r="BI1494">
        <v>1</v>
      </c>
      <c r="BJ1494">
        <v>0.2</v>
      </c>
      <c r="BK1494">
        <v>1</v>
      </c>
      <c r="BL1494">
        <v>69.5</v>
      </c>
      <c r="BM1494">
        <v>10.43</v>
      </c>
      <c r="BN1494">
        <v>79.930000000000007</v>
      </c>
      <c r="BO1494">
        <v>79.930000000000007</v>
      </c>
      <c r="BQ1494" t="s">
        <v>1014</v>
      </c>
      <c r="BR1494" t="s">
        <v>84</v>
      </c>
      <c r="BS1494" t="s">
        <v>189</v>
      </c>
      <c r="BV1494" t="s">
        <v>90</v>
      </c>
      <c r="BY1494">
        <v>1200</v>
      </c>
      <c r="CC1494" t="s">
        <v>101</v>
      </c>
      <c r="CD1494">
        <v>6001</v>
      </c>
      <c r="CE1494" t="s">
        <v>215</v>
      </c>
      <c r="CI1494">
        <v>1</v>
      </c>
      <c r="CJ1494" t="s">
        <v>189</v>
      </c>
      <c r="CK1494">
        <v>21</v>
      </c>
      <c r="CL1494" t="s">
        <v>90</v>
      </c>
    </row>
    <row r="1495" spans="1:90" x14ac:dyDescent="0.3">
      <c r="A1495" t="s">
        <v>72</v>
      </c>
      <c r="B1495" t="s">
        <v>73</v>
      </c>
      <c r="C1495" t="s">
        <v>74</v>
      </c>
      <c r="E1495" t="str">
        <f>"080065895777"</f>
        <v>080065895777</v>
      </c>
      <c r="F1495" s="3">
        <v>45819</v>
      </c>
      <c r="G1495">
        <v>202603</v>
      </c>
      <c r="H1495" t="s">
        <v>75</v>
      </c>
      <c r="I1495" t="s">
        <v>76</v>
      </c>
      <c r="J1495" t="s">
        <v>77</v>
      </c>
      <c r="K1495" t="s">
        <v>78</v>
      </c>
      <c r="L1495" t="s">
        <v>375</v>
      </c>
      <c r="M1495" t="s">
        <v>376</v>
      </c>
      <c r="N1495" t="s">
        <v>2092</v>
      </c>
      <c r="O1495" t="s">
        <v>82</v>
      </c>
      <c r="P1495" t="str">
        <f>"4170043465                    "</f>
        <v xml:space="preserve">4170043465                    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16.32</v>
      </c>
      <c r="AR1495">
        <v>0</v>
      </c>
      <c r="AS1495">
        <v>0</v>
      </c>
      <c r="AT1495">
        <v>0</v>
      </c>
      <c r="AU1495">
        <v>0</v>
      </c>
      <c r="AV1495">
        <v>0</v>
      </c>
      <c r="AW1495">
        <v>0</v>
      </c>
      <c r="AX1495">
        <v>0</v>
      </c>
      <c r="AY1495">
        <v>0</v>
      </c>
      <c r="AZ1495">
        <v>0</v>
      </c>
      <c r="BA1495">
        <v>0</v>
      </c>
      <c r="BB1495">
        <v>0</v>
      </c>
      <c r="BC1495">
        <v>0</v>
      </c>
      <c r="BD1495">
        <v>0</v>
      </c>
      <c r="BE1495">
        <v>0</v>
      </c>
      <c r="BF1495">
        <v>0</v>
      </c>
      <c r="BG1495">
        <v>0</v>
      </c>
      <c r="BH1495">
        <v>1</v>
      </c>
      <c r="BI1495">
        <v>2</v>
      </c>
      <c r="BJ1495">
        <v>1.1000000000000001</v>
      </c>
      <c r="BK1495">
        <v>2</v>
      </c>
      <c r="BL1495">
        <v>54.28</v>
      </c>
      <c r="BM1495">
        <v>8.14</v>
      </c>
      <c r="BN1495">
        <v>62.42</v>
      </c>
      <c r="BO1495">
        <v>62.42</v>
      </c>
      <c r="BQ1495" t="s">
        <v>2093</v>
      </c>
      <c r="BR1495" t="s">
        <v>84</v>
      </c>
      <c r="BS1495" t="s">
        <v>189</v>
      </c>
      <c r="BV1495" t="s">
        <v>90</v>
      </c>
      <c r="BY1495">
        <v>5320</v>
      </c>
      <c r="CC1495" t="s">
        <v>376</v>
      </c>
      <c r="CD1495">
        <v>1401</v>
      </c>
      <c r="CE1495" t="s">
        <v>687</v>
      </c>
      <c r="CI1495">
        <v>1</v>
      </c>
      <c r="CJ1495" t="s">
        <v>189</v>
      </c>
      <c r="CK1495">
        <v>22</v>
      </c>
      <c r="CL1495" t="s">
        <v>90</v>
      </c>
    </row>
    <row r="1496" spans="1:90" x14ac:dyDescent="0.3">
      <c r="A1496" t="s">
        <v>72</v>
      </c>
      <c r="B1496" t="s">
        <v>73</v>
      </c>
      <c r="C1496" t="s">
        <v>74</v>
      </c>
      <c r="E1496" t="str">
        <f>"080065895788"</f>
        <v>080065895788</v>
      </c>
      <c r="F1496" s="3">
        <v>45819</v>
      </c>
      <c r="G1496">
        <v>202603</v>
      </c>
      <c r="H1496" t="s">
        <v>75</v>
      </c>
      <c r="I1496" t="s">
        <v>76</v>
      </c>
      <c r="J1496" t="s">
        <v>77</v>
      </c>
      <c r="K1496" t="s">
        <v>78</v>
      </c>
      <c r="L1496" t="s">
        <v>174</v>
      </c>
      <c r="M1496" t="s">
        <v>175</v>
      </c>
      <c r="N1496" t="s">
        <v>2094</v>
      </c>
      <c r="O1496" t="s">
        <v>82</v>
      </c>
      <c r="P1496" t="str">
        <f>"4170043193                    "</f>
        <v xml:space="preserve">4170043193                    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20.9</v>
      </c>
      <c r="AR1496">
        <v>0</v>
      </c>
      <c r="AS1496">
        <v>0</v>
      </c>
      <c r="AT1496">
        <v>0</v>
      </c>
      <c r="AU1496">
        <v>0</v>
      </c>
      <c r="AV1496">
        <v>0</v>
      </c>
      <c r="AW1496">
        <v>0</v>
      </c>
      <c r="AX1496">
        <v>0</v>
      </c>
      <c r="AY1496">
        <v>0</v>
      </c>
      <c r="AZ1496">
        <v>0</v>
      </c>
      <c r="BA1496">
        <v>0</v>
      </c>
      <c r="BB1496">
        <v>0</v>
      </c>
      <c r="BC1496">
        <v>0</v>
      </c>
      <c r="BD1496">
        <v>0</v>
      </c>
      <c r="BE1496">
        <v>0</v>
      </c>
      <c r="BF1496">
        <v>0</v>
      </c>
      <c r="BG1496">
        <v>0</v>
      </c>
      <c r="BH1496">
        <v>1</v>
      </c>
      <c r="BI1496">
        <v>1</v>
      </c>
      <c r="BJ1496">
        <v>0.2</v>
      </c>
      <c r="BK1496">
        <v>1</v>
      </c>
      <c r="BL1496">
        <v>69.5</v>
      </c>
      <c r="BM1496">
        <v>10.43</v>
      </c>
      <c r="BN1496">
        <v>79.930000000000007</v>
      </c>
      <c r="BO1496">
        <v>79.930000000000007</v>
      </c>
      <c r="BQ1496" t="s">
        <v>2095</v>
      </c>
      <c r="BR1496" t="s">
        <v>84</v>
      </c>
      <c r="BS1496" t="s">
        <v>189</v>
      </c>
      <c r="BV1496" t="s">
        <v>90</v>
      </c>
      <c r="BY1496">
        <v>1200</v>
      </c>
      <c r="CC1496" t="s">
        <v>175</v>
      </c>
      <c r="CD1496">
        <v>3610</v>
      </c>
      <c r="CE1496" t="s">
        <v>215</v>
      </c>
      <c r="CI1496">
        <v>1</v>
      </c>
      <c r="CJ1496" t="s">
        <v>189</v>
      </c>
      <c r="CK1496">
        <v>21</v>
      </c>
      <c r="CL1496" t="s">
        <v>90</v>
      </c>
    </row>
    <row r="1497" spans="1:90" x14ac:dyDescent="0.3">
      <c r="A1497" t="s">
        <v>72</v>
      </c>
      <c r="B1497" t="s">
        <v>73</v>
      </c>
      <c r="C1497" t="s">
        <v>74</v>
      </c>
      <c r="E1497" t="str">
        <f>"080065895818"</f>
        <v>080065895818</v>
      </c>
      <c r="F1497" s="3">
        <v>45819</v>
      </c>
      <c r="G1497">
        <v>202603</v>
      </c>
      <c r="H1497" t="s">
        <v>75</v>
      </c>
      <c r="I1497" t="s">
        <v>76</v>
      </c>
      <c r="J1497" t="s">
        <v>77</v>
      </c>
      <c r="K1497" t="s">
        <v>78</v>
      </c>
      <c r="L1497" t="s">
        <v>154</v>
      </c>
      <c r="M1497" t="s">
        <v>154</v>
      </c>
      <c r="N1497" t="s">
        <v>772</v>
      </c>
      <c r="O1497" t="s">
        <v>82</v>
      </c>
      <c r="P1497" t="str">
        <f>"4170043151                    "</f>
        <v xml:space="preserve">4170043151                    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40.49</v>
      </c>
      <c r="AR1497">
        <v>0</v>
      </c>
      <c r="AS1497">
        <v>0</v>
      </c>
      <c r="AT1497">
        <v>0</v>
      </c>
      <c r="AU1497">
        <v>0</v>
      </c>
      <c r="AV1497">
        <v>0</v>
      </c>
      <c r="AW1497">
        <v>0</v>
      </c>
      <c r="AX1497">
        <v>0</v>
      </c>
      <c r="AY1497">
        <v>0</v>
      </c>
      <c r="AZ1497">
        <v>0</v>
      </c>
      <c r="BA1497">
        <v>0</v>
      </c>
      <c r="BB1497">
        <v>0</v>
      </c>
      <c r="BC1497">
        <v>0</v>
      </c>
      <c r="BD1497">
        <v>0</v>
      </c>
      <c r="BE1497">
        <v>0</v>
      </c>
      <c r="BF1497">
        <v>0</v>
      </c>
      <c r="BG1497">
        <v>0</v>
      </c>
      <c r="BH1497">
        <v>1</v>
      </c>
      <c r="BI1497">
        <v>1</v>
      </c>
      <c r="BJ1497">
        <v>0.2</v>
      </c>
      <c r="BK1497">
        <v>1</v>
      </c>
      <c r="BL1497">
        <v>134.65</v>
      </c>
      <c r="BM1497">
        <v>20.2</v>
      </c>
      <c r="BN1497">
        <v>154.85</v>
      </c>
      <c r="BO1497">
        <v>154.85</v>
      </c>
      <c r="BQ1497" t="s">
        <v>773</v>
      </c>
      <c r="BR1497" t="s">
        <v>84</v>
      </c>
      <c r="BS1497" t="s">
        <v>189</v>
      </c>
      <c r="BV1497" t="s">
        <v>90</v>
      </c>
      <c r="BY1497">
        <v>1200</v>
      </c>
      <c r="CC1497" t="s">
        <v>154</v>
      </c>
      <c r="CD1497">
        <v>7646</v>
      </c>
      <c r="CE1497" t="s">
        <v>215</v>
      </c>
      <c r="CI1497">
        <v>1</v>
      </c>
      <c r="CJ1497" t="s">
        <v>189</v>
      </c>
      <c r="CK1497">
        <v>23</v>
      </c>
      <c r="CL1497" t="s">
        <v>90</v>
      </c>
    </row>
    <row r="1498" spans="1:90" x14ac:dyDescent="0.3">
      <c r="A1498" t="s">
        <v>72</v>
      </c>
      <c r="B1498" t="s">
        <v>73</v>
      </c>
      <c r="C1498" t="s">
        <v>74</v>
      </c>
      <c r="E1498" t="str">
        <f>"080065896163"</f>
        <v>080065896163</v>
      </c>
      <c r="F1498" s="3">
        <v>45819</v>
      </c>
      <c r="G1498">
        <v>202603</v>
      </c>
      <c r="H1498" t="s">
        <v>75</v>
      </c>
      <c r="I1498" t="s">
        <v>76</v>
      </c>
      <c r="J1498" t="s">
        <v>77</v>
      </c>
      <c r="K1498" t="s">
        <v>78</v>
      </c>
      <c r="L1498" t="s">
        <v>79</v>
      </c>
      <c r="M1498" t="s">
        <v>80</v>
      </c>
      <c r="N1498" t="s">
        <v>1951</v>
      </c>
      <c r="O1498" t="s">
        <v>82</v>
      </c>
      <c r="P1498" t="str">
        <f>"4170043394                    "</f>
        <v xml:space="preserve">4170043394                    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29.39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16.739999999999998</v>
      </c>
      <c r="AX1498">
        <v>0</v>
      </c>
      <c r="AY1498">
        <v>0</v>
      </c>
      <c r="AZ1498">
        <v>0</v>
      </c>
      <c r="BA1498">
        <v>0</v>
      </c>
      <c r="BB1498">
        <v>0</v>
      </c>
      <c r="BC1498">
        <v>0</v>
      </c>
      <c r="BD1498">
        <v>0</v>
      </c>
      <c r="BE1498">
        <v>0</v>
      </c>
      <c r="BF1498">
        <v>0</v>
      </c>
      <c r="BG1498">
        <v>0</v>
      </c>
      <c r="BH1498">
        <v>1</v>
      </c>
      <c r="BI1498">
        <v>1</v>
      </c>
      <c r="BJ1498">
        <v>0.2</v>
      </c>
      <c r="BK1498">
        <v>1</v>
      </c>
      <c r="BL1498">
        <v>114.48</v>
      </c>
      <c r="BM1498">
        <v>17.170000000000002</v>
      </c>
      <c r="BN1498">
        <v>131.65</v>
      </c>
      <c r="BO1498">
        <v>131.65</v>
      </c>
      <c r="BQ1498" t="s">
        <v>1952</v>
      </c>
      <c r="BR1498" t="s">
        <v>84</v>
      </c>
      <c r="BS1498" t="s">
        <v>189</v>
      </c>
      <c r="BV1498" t="s">
        <v>90</v>
      </c>
      <c r="BY1498">
        <v>1200</v>
      </c>
      <c r="BZ1498" t="s">
        <v>30</v>
      </c>
      <c r="CC1498" t="s">
        <v>80</v>
      </c>
      <c r="CD1498">
        <v>1723</v>
      </c>
      <c r="CE1498" t="s">
        <v>215</v>
      </c>
      <c r="CI1498">
        <v>1</v>
      </c>
      <c r="CJ1498" t="s">
        <v>189</v>
      </c>
      <c r="CK1498">
        <v>24</v>
      </c>
      <c r="CL1498" t="s">
        <v>90</v>
      </c>
    </row>
    <row r="1499" spans="1:90" x14ac:dyDescent="0.3">
      <c r="A1499" t="s">
        <v>72</v>
      </c>
      <c r="B1499" t="s">
        <v>73</v>
      </c>
      <c r="C1499" t="s">
        <v>74</v>
      </c>
      <c r="E1499" t="str">
        <f>"080065896191"</f>
        <v>080065896191</v>
      </c>
      <c r="F1499" s="3">
        <v>45819</v>
      </c>
      <c r="G1499">
        <v>202603</v>
      </c>
      <c r="H1499" t="s">
        <v>75</v>
      </c>
      <c r="I1499" t="s">
        <v>76</v>
      </c>
      <c r="J1499" t="s">
        <v>77</v>
      </c>
      <c r="K1499" t="s">
        <v>78</v>
      </c>
      <c r="L1499" t="s">
        <v>75</v>
      </c>
      <c r="M1499" t="s">
        <v>76</v>
      </c>
      <c r="N1499" t="s">
        <v>525</v>
      </c>
      <c r="O1499" t="s">
        <v>82</v>
      </c>
      <c r="P1499" t="str">
        <f>"4170043381                    "</f>
        <v xml:space="preserve">4170043381                    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>
        <v>16.32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</v>
      </c>
      <c r="AX1499">
        <v>0</v>
      </c>
      <c r="AY1499">
        <v>0</v>
      </c>
      <c r="AZ1499">
        <v>0</v>
      </c>
      <c r="BA1499">
        <v>0</v>
      </c>
      <c r="BB1499">
        <v>0</v>
      </c>
      <c r="BC1499">
        <v>0</v>
      </c>
      <c r="BD1499">
        <v>0</v>
      </c>
      <c r="BE1499">
        <v>0</v>
      </c>
      <c r="BF1499">
        <v>0</v>
      </c>
      <c r="BG1499">
        <v>0</v>
      </c>
      <c r="BH1499">
        <v>1</v>
      </c>
      <c r="BI1499">
        <v>1</v>
      </c>
      <c r="BJ1499">
        <v>1</v>
      </c>
      <c r="BK1499">
        <v>1</v>
      </c>
      <c r="BL1499">
        <v>54.28</v>
      </c>
      <c r="BM1499">
        <v>8.14</v>
      </c>
      <c r="BN1499">
        <v>62.42</v>
      </c>
      <c r="BO1499">
        <v>62.42</v>
      </c>
      <c r="BQ1499" t="s">
        <v>526</v>
      </c>
      <c r="BR1499" t="s">
        <v>84</v>
      </c>
      <c r="BS1499" t="s">
        <v>189</v>
      </c>
      <c r="BV1499" t="s">
        <v>90</v>
      </c>
      <c r="BY1499">
        <v>5200</v>
      </c>
      <c r="CC1499" t="s">
        <v>76</v>
      </c>
      <c r="CD1499">
        <v>1645</v>
      </c>
      <c r="CE1499" t="s">
        <v>166</v>
      </c>
      <c r="CI1499">
        <v>1</v>
      </c>
      <c r="CJ1499" t="s">
        <v>189</v>
      </c>
      <c r="CK1499">
        <v>22</v>
      </c>
      <c r="CL1499" t="s">
        <v>90</v>
      </c>
    </row>
    <row r="1500" spans="1:90" x14ac:dyDescent="0.3">
      <c r="A1500" t="s">
        <v>72</v>
      </c>
      <c r="B1500" t="s">
        <v>73</v>
      </c>
      <c r="C1500" t="s">
        <v>74</v>
      </c>
      <c r="E1500" t="str">
        <f>"080065896192"</f>
        <v>080065896192</v>
      </c>
      <c r="F1500" s="3">
        <v>45819</v>
      </c>
      <c r="G1500">
        <v>202603</v>
      </c>
      <c r="H1500" t="s">
        <v>75</v>
      </c>
      <c r="I1500" t="s">
        <v>76</v>
      </c>
      <c r="J1500" t="s">
        <v>77</v>
      </c>
      <c r="K1500" t="s">
        <v>78</v>
      </c>
      <c r="L1500" t="s">
        <v>75</v>
      </c>
      <c r="M1500" t="s">
        <v>76</v>
      </c>
      <c r="N1500" t="s">
        <v>2096</v>
      </c>
      <c r="O1500" t="s">
        <v>82</v>
      </c>
      <c r="P1500" t="str">
        <f>"4170043346                    "</f>
        <v xml:space="preserve">4170043346                    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Q1500">
        <v>16.32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</v>
      </c>
      <c r="AX1500">
        <v>0</v>
      </c>
      <c r="AY1500">
        <v>0</v>
      </c>
      <c r="AZ1500">
        <v>0</v>
      </c>
      <c r="BA1500">
        <v>0</v>
      </c>
      <c r="BB1500">
        <v>0</v>
      </c>
      <c r="BC1500">
        <v>0</v>
      </c>
      <c r="BD1500">
        <v>0</v>
      </c>
      <c r="BE1500">
        <v>0</v>
      </c>
      <c r="BF1500">
        <v>0</v>
      </c>
      <c r="BG1500">
        <v>0</v>
      </c>
      <c r="BH1500">
        <v>1</v>
      </c>
      <c r="BI1500">
        <v>1</v>
      </c>
      <c r="BJ1500">
        <v>0.2</v>
      </c>
      <c r="BK1500">
        <v>1</v>
      </c>
      <c r="BL1500">
        <v>54.28</v>
      </c>
      <c r="BM1500">
        <v>8.14</v>
      </c>
      <c r="BN1500">
        <v>62.42</v>
      </c>
      <c r="BO1500">
        <v>62.42</v>
      </c>
      <c r="BQ1500" t="s">
        <v>2097</v>
      </c>
      <c r="BR1500" t="s">
        <v>84</v>
      </c>
      <c r="BS1500" t="s">
        <v>189</v>
      </c>
      <c r="BV1500" t="s">
        <v>90</v>
      </c>
      <c r="BY1500">
        <v>1200</v>
      </c>
      <c r="CC1500" t="s">
        <v>76</v>
      </c>
      <c r="CD1500">
        <v>1601</v>
      </c>
      <c r="CE1500" t="s">
        <v>215</v>
      </c>
      <c r="CI1500">
        <v>1</v>
      </c>
      <c r="CJ1500" t="s">
        <v>189</v>
      </c>
      <c r="CK1500">
        <v>22</v>
      </c>
      <c r="CL1500" t="s">
        <v>90</v>
      </c>
    </row>
    <row r="1501" spans="1:90" x14ac:dyDescent="0.3">
      <c r="A1501" t="s">
        <v>72</v>
      </c>
      <c r="B1501" t="s">
        <v>73</v>
      </c>
      <c r="C1501" t="s">
        <v>74</v>
      </c>
      <c r="E1501" t="str">
        <f>"080065896228"</f>
        <v>080065896228</v>
      </c>
      <c r="F1501" s="3">
        <v>45819</v>
      </c>
      <c r="G1501">
        <v>202603</v>
      </c>
      <c r="H1501" t="s">
        <v>75</v>
      </c>
      <c r="I1501" t="s">
        <v>76</v>
      </c>
      <c r="J1501" t="s">
        <v>77</v>
      </c>
      <c r="K1501" t="s">
        <v>78</v>
      </c>
      <c r="L1501" t="s">
        <v>100</v>
      </c>
      <c r="M1501" t="s">
        <v>101</v>
      </c>
      <c r="N1501" t="s">
        <v>467</v>
      </c>
      <c r="O1501" t="s">
        <v>82</v>
      </c>
      <c r="P1501" t="str">
        <f>"4170043417                    "</f>
        <v xml:space="preserve">4170043417                    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20.9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>
        <v>0</v>
      </c>
      <c r="AY1501">
        <v>0</v>
      </c>
      <c r="AZ1501">
        <v>0</v>
      </c>
      <c r="BA1501">
        <v>0</v>
      </c>
      <c r="BB1501">
        <v>0</v>
      </c>
      <c r="BC1501">
        <v>0</v>
      </c>
      <c r="BD1501">
        <v>0</v>
      </c>
      <c r="BE1501">
        <v>0</v>
      </c>
      <c r="BF1501">
        <v>0</v>
      </c>
      <c r="BG1501">
        <v>0</v>
      </c>
      <c r="BH1501">
        <v>1</v>
      </c>
      <c r="BI1501">
        <v>1</v>
      </c>
      <c r="BJ1501">
        <v>1.1000000000000001</v>
      </c>
      <c r="BK1501">
        <v>1.5</v>
      </c>
      <c r="BL1501">
        <v>69.5</v>
      </c>
      <c r="BM1501">
        <v>10.43</v>
      </c>
      <c r="BN1501">
        <v>79.930000000000007</v>
      </c>
      <c r="BO1501">
        <v>79.930000000000007</v>
      </c>
      <c r="BQ1501" t="s">
        <v>2098</v>
      </c>
      <c r="BR1501" t="s">
        <v>84</v>
      </c>
      <c r="BS1501" s="3">
        <v>45820</v>
      </c>
      <c r="BT1501" s="4">
        <v>0.31944444444444442</v>
      </c>
      <c r="BU1501" t="s">
        <v>2099</v>
      </c>
      <c r="BV1501" t="s">
        <v>86</v>
      </c>
      <c r="BY1501">
        <v>5320</v>
      </c>
      <c r="CA1501" t="s">
        <v>394</v>
      </c>
      <c r="CC1501" t="s">
        <v>101</v>
      </c>
      <c r="CD1501">
        <v>6045</v>
      </c>
      <c r="CE1501" t="s">
        <v>687</v>
      </c>
      <c r="CI1501">
        <v>1</v>
      </c>
      <c r="CJ1501">
        <v>1</v>
      </c>
      <c r="CK1501">
        <v>21</v>
      </c>
      <c r="CL1501" t="s">
        <v>90</v>
      </c>
    </row>
    <row r="1502" spans="1:90" x14ac:dyDescent="0.3">
      <c r="A1502" t="s">
        <v>72</v>
      </c>
      <c r="B1502" t="s">
        <v>73</v>
      </c>
      <c r="C1502" t="s">
        <v>74</v>
      </c>
      <c r="E1502" t="str">
        <f>"080065896227"</f>
        <v>080065896227</v>
      </c>
      <c r="F1502" s="3">
        <v>45819</v>
      </c>
      <c r="G1502">
        <v>202603</v>
      </c>
      <c r="H1502" t="s">
        <v>75</v>
      </c>
      <c r="I1502" t="s">
        <v>76</v>
      </c>
      <c r="J1502" t="s">
        <v>77</v>
      </c>
      <c r="K1502" t="s">
        <v>78</v>
      </c>
      <c r="L1502" t="s">
        <v>100</v>
      </c>
      <c r="M1502" t="s">
        <v>101</v>
      </c>
      <c r="N1502" t="s">
        <v>1780</v>
      </c>
      <c r="O1502" t="s">
        <v>82</v>
      </c>
      <c r="P1502" t="str">
        <f>"4170043395                    "</f>
        <v xml:space="preserve">4170043395                    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Q1502">
        <v>20.9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</v>
      </c>
      <c r="AX1502">
        <v>0</v>
      </c>
      <c r="AY1502">
        <v>0</v>
      </c>
      <c r="AZ1502">
        <v>0</v>
      </c>
      <c r="BA1502">
        <v>0</v>
      </c>
      <c r="BB1502">
        <v>0</v>
      </c>
      <c r="BC1502">
        <v>0</v>
      </c>
      <c r="BD1502">
        <v>0</v>
      </c>
      <c r="BE1502">
        <v>0</v>
      </c>
      <c r="BF1502">
        <v>0</v>
      </c>
      <c r="BG1502">
        <v>0</v>
      </c>
      <c r="BH1502">
        <v>1</v>
      </c>
      <c r="BI1502">
        <v>1</v>
      </c>
      <c r="BJ1502">
        <v>0.2</v>
      </c>
      <c r="BK1502">
        <v>1</v>
      </c>
      <c r="BL1502">
        <v>69.5</v>
      </c>
      <c r="BM1502">
        <v>10.43</v>
      </c>
      <c r="BN1502">
        <v>79.930000000000007</v>
      </c>
      <c r="BO1502">
        <v>79.930000000000007</v>
      </c>
      <c r="BQ1502" t="s">
        <v>1781</v>
      </c>
      <c r="BR1502" t="s">
        <v>84</v>
      </c>
      <c r="BS1502" t="s">
        <v>189</v>
      </c>
      <c r="BV1502" t="s">
        <v>90</v>
      </c>
      <c r="BY1502">
        <v>1200</v>
      </c>
      <c r="CC1502" t="s">
        <v>101</v>
      </c>
      <c r="CD1502">
        <v>6000</v>
      </c>
      <c r="CE1502" t="s">
        <v>215</v>
      </c>
      <c r="CI1502">
        <v>1</v>
      </c>
      <c r="CJ1502" t="s">
        <v>189</v>
      </c>
      <c r="CK1502">
        <v>21</v>
      </c>
      <c r="CL1502" t="s">
        <v>90</v>
      </c>
    </row>
    <row r="1503" spans="1:90" x14ac:dyDescent="0.3">
      <c r="A1503" t="s">
        <v>72</v>
      </c>
      <c r="B1503" t="s">
        <v>73</v>
      </c>
      <c r="C1503" t="s">
        <v>74</v>
      </c>
      <c r="E1503" t="str">
        <f>"080065896258"</f>
        <v>080065896258</v>
      </c>
      <c r="F1503" s="3">
        <v>45819</v>
      </c>
      <c r="G1503">
        <v>202603</v>
      </c>
      <c r="H1503" t="s">
        <v>75</v>
      </c>
      <c r="I1503" t="s">
        <v>76</v>
      </c>
      <c r="J1503" t="s">
        <v>77</v>
      </c>
      <c r="K1503" t="s">
        <v>78</v>
      </c>
      <c r="L1503" t="s">
        <v>75</v>
      </c>
      <c r="M1503" t="s">
        <v>76</v>
      </c>
      <c r="N1503" t="s">
        <v>656</v>
      </c>
      <c r="O1503" t="s">
        <v>82</v>
      </c>
      <c r="P1503" t="str">
        <f>"4170043399                    "</f>
        <v xml:space="preserve">4170043399                    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16.32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</v>
      </c>
      <c r="AX1503">
        <v>0</v>
      </c>
      <c r="AY1503">
        <v>0</v>
      </c>
      <c r="AZ1503">
        <v>0</v>
      </c>
      <c r="BA1503">
        <v>0</v>
      </c>
      <c r="BB1503">
        <v>0</v>
      </c>
      <c r="BC1503">
        <v>0</v>
      </c>
      <c r="BD1503">
        <v>0</v>
      </c>
      <c r="BE1503">
        <v>0</v>
      </c>
      <c r="BF1503">
        <v>0</v>
      </c>
      <c r="BG1503">
        <v>0</v>
      </c>
      <c r="BH1503">
        <v>1</v>
      </c>
      <c r="BI1503">
        <v>1</v>
      </c>
      <c r="BJ1503">
        <v>0.2</v>
      </c>
      <c r="BK1503">
        <v>1</v>
      </c>
      <c r="BL1503">
        <v>54.28</v>
      </c>
      <c r="BM1503">
        <v>8.14</v>
      </c>
      <c r="BN1503">
        <v>62.42</v>
      </c>
      <c r="BO1503">
        <v>62.42</v>
      </c>
      <c r="BQ1503" t="s">
        <v>657</v>
      </c>
      <c r="BR1503" t="s">
        <v>84</v>
      </c>
      <c r="BS1503" t="s">
        <v>189</v>
      </c>
      <c r="BV1503" t="s">
        <v>90</v>
      </c>
      <c r="BY1503">
        <v>1200</v>
      </c>
      <c r="CC1503" t="s">
        <v>76</v>
      </c>
      <c r="CD1503">
        <v>1619</v>
      </c>
      <c r="CE1503" t="s">
        <v>1029</v>
      </c>
      <c r="CI1503">
        <v>1</v>
      </c>
      <c r="CJ1503" t="s">
        <v>189</v>
      </c>
      <c r="CK1503">
        <v>22</v>
      </c>
      <c r="CL1503" t="s">
        <v>90</v>
      </c>
    </row>
    <row r="1504" spans="1:90" x14ac:dyDescent="0.3">
      <c r="A1504" t="s">
        <v>72</v>
      </c>
      <c r="B1504" t="s">
        <v>73</v>
      </c>
      <c r="C1504" t="s">
        <v>74</v>
      </c>
      <c r="E1504" t="str">
        <f>"080065896267"</f>
        <v>080065896267</v>
      </c>
      <c r="F1504" s="3">
        <v>45819</v>
      </c>
      <c r="G1504">
        <v>202603</v>
      </c>
      <c r="H1504" t="s">
        <v>75</v>
      </c>
      <c r="I1504" t="s">
        <v>76</v>
      </c>
      <c r="J1504" t="s">
        <v>77</v>
      </c>
      <c r="K1504" t="s">
        <v>78</v>
      </c>
      <c r="L1504" t="s">
        <v>321</v>
      </c>
      <c r="M1504" t="s">
        <v>322</v>
      </c>
      <c r="N1504" t="s">
        <v>533</v>
      </c>
      <c r="O1504" t="s">
        <v>82</v>
      </c>
      <c r="P1504" t="str">
        <f>"4170043442                    "</f>
        <v xml:space="preserve">4170043442                    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43.7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>
        <v>0</v>
      </c>
      <c r="AY1504">
        <v>0</v>
      </c>
      <c r="AZ1504">
        <v>0</v>
      </c>
      <c r="BA1504">
        <v>0</v>
      </c>
      <c r="BB1504">
        <v>0</v>
      </c>
      <c r="BC1504">
        <v>0</v>
      </c>
      <c r="BD1504">
        <v>0</v>
      </c>
      <c r="BE1504">
        <v>0</v>
      </c>
      <c r="BF1504">
        <v>0</v>
      </c>
      <c r="BG1504">
        <v>0</v>
      </c>
      <c r="BH1504">
        <v>1</v>
      </c>
      <c r="BI1504">
        <v>3</v>
      </c>
      <c r="BJ1504">
        <v>1.9</v>
      </c>
      <c r="BK1504">
        <v>3</v>
      </c>
      <c r="BL1504">
        <v>145.33000000000001</v>
      </c>
      <c r="BM1504">
        <v>21.8</v>
      </c>
      <c r="BN1504">
        <v>167.13</v>
      </c>
      <c r="BO1504">
        <v>167.13</v>
      </c>
      <c r="BQ1504" t="s">
        <v>534</v>
      </c>
      <c r="BR1504" t="s">
        <v>84</v>
      </c>
      <c r="BS1504" t="s">
        <v>189</v>
      </c>
      <c r="BV1504" t="s">
        <v>90</v>
      </c>
      <c r="BY1504">
        <v>9600</v>
      </c>
      <c r="CC1504" t="s">
        <v>322</v>
      </c>
      <c r="CD1504">
        <v>1438</v>
      </c>
      <c r="CE1504" t="s">
        <v>1029</v>
      </c>
      <c r="CI1504">
        <v>1</v>
      </c>
      <c r="CJ1504" t="s">
        <v>189</v>
      </c>
      <c r="CK1504">
        <v>24</v>
      </c>
      <c r="CL1504" t="s">
        <v>90</v>
      </c>
    </row>
    <row r="1505" spans="1:90" x14ac:dyDescent="0.3">
      <c r="A1505" t="s">
        <v>72</v>
      </c>
      <c r="B1505" t="s">
        <v>73</v>
      </c>
      <c r="C1505" t="s">
        <v>74</v>
      </c>
      <c r="E1505" t="str">
        <f>"080065896298"</f>
        <v>080065896298</v>
      </c>
      <c r="F1505" s="3">
        <v>45819</v>
      </c>
      <c r="G1505">
        <v>202603</v>
      </c>
      <c r="H1505" t="s">
        <v>75</v>
      </c>
      <c r="I1505" t="s">
        <v>76</v>
      </c>
      <c r="J1505" t="s">
        <v>77</v>
      </c>
      <c r="K1505" t="s">
        <v>78</v>
      </c>
      <c r="L1505" t="s">
        <v>136</v>
      </c>
      <c r="M1505" t="s">
        <v>137</v>
      </c>
      <c r="N1505" t="s">
        <v>2100</v>
      </c>
      <c r="O1505" t="s">
        <v>82</v>
      </c>
      <c r="P1505" t="str">
        <f>"4170043414                    "</f>
        <v xml:space="preserve">4170043414                    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20.9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</v>
      </c>
      <c r="AX1505">
        <v>0</v>
      </c>
      <c r="AY1505">
        <v>0</v>
      </c>
      <c r="AZ1505">
        <v>0</v>
      </c>
      <c r="BA1505">
        <v>0</v>
      </c>
      <c r="BB1505">
        <v>0</v>
      </c>
      <c r="BC1505">
        <v>0</v>
      </c>
      <c r="BD1505">
        <v>0</v>
      </c>
      <c r="BE1505">
        <v>0</v>
      </c>
      <c r="BF1505">
        <v>0</v>
      </c>
      <c r="BG1505">
        <v>0</v>
      </c>
      <c r="BH1505">
        <v>1</v>
      </c>
      <c r="BI1505">
        <v>1</v>
      </c>
      <c r="BJ1505">
        <v>0.2</v>
      </c>
      <c r="BK1505">
        <v>1</v>
      </c>
      <c r="BL1505">
        <v>69.5</v>
      </c>
      <c r="BM1505">
        <v>10.43</v>
      </c>
      <c r="BN1505">
        <v>79.930000000000007</v>
      </c>
      <c r="BO1505">
        <v>79.930000000000007</v>
      </c>
      <c r="BQ1505" t="s">
        <v>2101</v>
      </c>
      <c r="BR1505" t="s">
        <v>84</v>
      </c>
      <c r="BS1505" t="s">
        <v>189</v>
      </c>
      <c r="BV1505" t="s">
        <v>90</v>
      </c>
      <c r="BY1505">
        <v>1200</v>
      </c>
      <c r="CC1505" t="s">
        <v>137</v>
      </c>
      <c r="CD1505">
        <v>5201</v>
      </c>
      <c r="CE1505" t="s">
        <v>1029</v>
      </c>
      <c r="CI1505">
        <v>1</v>
      </c>
      <c r="CJ1505" t="s">
        <v>189</v>
      </c>
      <c r="CK1505">
        <v>21</v>
      </c>
      <c r="CL1505" t="s">
        <v>90</v>
      </c>
    </row>
    <row r="1506" spans="1:90" x14ac:dyDescent="0.3">
      <c r="A1506" t="s">
        <v>72</v>
      </c>
      <c r="B1506" t="s">
        <v>73</v>
      </c>
      <c r="C1506" t="s">
        <v>74</v>
      </c>
      <c r="E1506" t="str">
        <f>"080065896307"</f>
        <v>080065896307</v>
      </c>
      <c r="F1506" s="3">
        <v>45819</v>
      </c>
      <c r="G1506">
        <v>202603</v>
      </c>
      <c r="H1506" t="s">
        <v>75</v>
      </c>
      <c r="I1506" t="s">
        <v>76</v>
      </c>
      <c r="J1506" t="s">
        <v>77</v>
      </c>
      <c r="K1506" t="s">
        <v>78</v>
      </c>
      <c r="L1506" t="s">
        <v>136</v>
      </c>
      <c r="M1506" t="s">
        <v>137</v>
      </c>
      <c r="N1506" t="s">
        <v>806</v>
      </c>
      <c r="O1506" t="s">
        <v>82</v>
      </c>
      <c r="P1506" t="str">
        <f>"4170043331                    "</f>
        <v xml:space="preserve">4170043331                    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20.9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>
        <v>0</v>
      </c>
      <c r="AY1506">
        <v>0</v>
      </c>
      <c r="AZ1506">
        <v>0</v>
      </c>
      <c r="BA1506">
        <v>0</v>
      </c>
      <c r="BB1506">
        <v>0</v>
      </c>
      <c r="BC1506">
        <v>0</v>
      </c>
      <c r="BD1506">
        <v>0</v>
      </c>
      <c r="BE1506">
        <v>0</v>
      </c>
      <c r="BF1506">
        <v>0</v>
      </c>
      <c r="BG1506">
        <v>0</v>
      </c>
      <c r="BH1506">
        <v>1</v>
      </c>
      <c r="BI1506">
        <v>1</v>
      </c>
      <c r="BJ1506">
        <v>1.9</v>
      </c>
      <c r="BK1506">
        <v>2</v>
      </c>
      <c r="BL1506">
        <v>69.5</v>
      </c>
      <c r="BM1506">
        <v>10.43</v>
      </c>
      <c r="BN1506">
        <v>79.930000000000007</v>
      </c>
      <c r="BO1506">
        <v>79.930000000000007</v>
      </c>
      <c r="BQ1506" t="s">
        <v>807</v>
      </c>
      <c r="BR1506" t="s">
        <v>84</v>
      </c>
      <c r="BS1506" t="s">
        <v>189</v>
      </c>
      <c r="BV1506" t="s">
        <v>90</v>
      </c>
      <c r="BY1506">
        <v>9600</v>
      </c>
      <c r="CC1506" t="s">
        <v>137</v>
      </c>
      <c r="CD1506">
        <v>5201</v>
      </c>
      <c r="CE1506" t="s">
        <v>1029</v>
      </c>
      <c r="CI1506">
        <v>1</v>
      </c>
      <c r="CJ1506" t="s">
        <v>189</v>
      </c>
      <c r="CK1506">
        <v>21</v>
      </c>
      <c r="CL1506" t="s">
        <v>90</v>
      </c>
    </row>
    <row r="1507" spans="1:90" x14ac:dyDescent="0.3">
      <c r="A1507" t="s">
        <v>72</v>
      </c>
      <c r="B1507" t="s">
        <v>73</v>
      </c>
      <c r="C1507" t="s">
        <v>74</v>
      </c>
      <c r="E1507" t="str">
        <f>"080065896345"</f>
        <v>080065896345</v>
      </c>
      <c r="F1507" s="3">
        <v>45819</v>
      </c>
      <c r="G1507">
        <v>202603</v>
      </c>
      <c r="H1507" t="s">
        <v>75</v>
      </c>
      <c r="I1507" t="s">
        <v>76</v>
      </c>
      <c r="J1507" t="s">
        <v>77</v>
      </c>
      <c r="K1507" t="s">
        <v>78</v>
      </c>
      <c r="L1507" t="s">
        <v>375</v>
      </c>
      <c r="M1507" t="s">
        <v>376</v>
      </c>
      <c r="N1507" t="s">
        <v>386</v>
      </c>
      <c r="O1507" t="s">
        <v>82</v>
      </c>
      <c r="P1507" t="str">
        <f>"4170043433                    "</f>
        <v xml:space="preserve">4170043433                    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16.32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>
        <v>0</v>
      </c>
      <c r="BD1507">
        <v>0</v>
      </c>
      <c r="BE1507">
        <v>0</v>
      </c>
      <c r="BF1507">
        <v>0</v>
      </c>
      <c r="BG1507">
        <v>0</v>
      </c>
      <c r="BH1507">
        <v>1</v>
      </c>
      <c r="BI1507">
        <v>1</v>
      </c>
      <c r="BJ1507">
        <v>0.2</v>
      </c>
      <c r="BK1507">
        <v>1</v>
      </c>
      <c r="BL1507">
        <v>54.28</v>
      </c>
      <c r="BM1507">
        <v>8.14</v>
      </c>
      <c r="BN1507">
        <v>62.42</v>
      </c>
      <c r="BO1507">
        <v>62.42</v>
      </c>
      <c r="BQ1507" t="s">
        <v>387</v>
      </c>
      <c r="BR1507" t="s">
        <v>84</v>
      </c>
      <c r="BS1507" t="s">
        <v>189</v>
      </c>
      <c r="BV1507" t="s">
        <v>90</v>
      </c>
      <c r="BY1507">
        <v>1200</v>
      </c>
      <c r="CC1507" t="s">
        <v>376</v>
      </c>
      <c r="CD1507">
        <v>1401</v>
      </c>
      <c r="CE1507" t="s">
        <v>1029</v>
      </c>
      <c r="CI1507">
        <v>1</v>
      </c>
      <c r="CJ1507" t="s">
        <v>189</v>
      </c>
      <c r="CK1507">
        <v>22</v>
      </c>
      <c r="CL1507" t="s">
        <v>90</v>
      </c>
    </row>
    <row r="1508" spans="1:90" x14ac:dyDescent="0.3">
      <c r="A1508" t="s">
        <v>72</v>
      </c>
      <c r="B1508" t="s">
        <v>73</v>
      </c>
      <c r="C1508" t="s">
        <v>74</v>
      </c>
      <c r="E1508" t="str">
        <f>"080065896363"</f>
        <v>080065896363</v>
      </c>
      <c r="F1508" s="3">
        <v>45819</v>
      </c>
      <c r="G1508">
        <v>202603</v>
      </c>
      <c r="H1508" t="s">
        <v>75</v>
      </c>
      <c r="I1508" t="s">
        <v>76</v>
      </c>
      <c r="J1508" t="s">
        <v>77</v>
      </c>
      <c r="K1508" t="s">
        <v>78</v>
      </c>
      <c r="L1508" t="s">
        <v>369</v>
      </c>
      <c r="M1508" t="s">
        <v>370</v>
      </c>
      <c r="N1508" t="s">
        <v>371</v>
      </c>
      <c r="O1508" t="s">
        <v>82</v>
      </c>
      <c r="P1508" t="str">
        <f>"4170043371                    "</f>
        <v xml:space="preserve">4170043371                    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>
        <v>40.49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</v>
      </c>
      <c r="AX1508">
        <v>0</v>
      </c>
      <c r="AY1508">
        <v>0</v>
      </c>
      <c r="AZ1508">
        <v>0</v>
      </c>
      <c r="BA1508">
        <v>0</v>
      </c>
      <c r="BB1508">
        <v>0</v>
      </c>
      <c r="BC1508">
        <v>0</v>
      </c>
      <c r="BD1508">
        <v>0</v>
      </c>
      <c r="BE1508">
        <v>0</v>
      </c>
      <c r="BF1508">
        <v>0</v>
      </c>
      <c r="BG1508">
        <v>0</v>
      </c>
      <c r="BH1508">
        <v>1</v>
      </c>
      <c r="BI1508">
        <v>1</v>
      </c>
      <c r="BJ1508">
        <v>1.1000000000000001</v>
      </c>
      <c r="BK1508">
        <v>1.5</v>
      </c>
      <c r="BL1508">
        <v>134.65</v>
      </c>
      <c r="BM1508">
        <v>20.2</v>
      </c>
      <c r="BN1508">
        <v>154.85</v>
      </c>
      <c r="BO1508">
        <v>154.85</v>
      </c>
      <c r="BQ1508" t="s">
        <v>372</v>
      </c>
      <c r="BR1508" t="s">
        <v>84</v>
      </c>
      <c r="BS1508" t="s">
        <v>189</v>
      </c>
      <c r="BV1508" t="s">
        <v>90</v>
      </c>
      <c r="BY1508">
        <v>5320</v>
      </c>
      <c r="CC1508" t="s">
        <v>370</v>
      </c>
      <c r="CD1508">
        <v>7130</v>
      </c>
      <c r="CE1508" t="s">
        <v>1029</v>
      </c>
      <c r="CI1508">
        <v>1</v>
      </c>
      <c r="CJ1508" t="s">
        <v>189</v>
      </c>
      <c r="CK1508">
        <v>23</v>
      </c>
      <c r="CL1508" t="s">
        <v>90</v>
      </c>
    </row>
    <row r="1509" spans="1:90" x14ac:dyDescent="0.3">
      <c r="A1509" t="s">
        <v>72</v>
      </c>
      <c r="B1509" t="s">
        <v>73</v>
      </c>
      <c r="C1509" t="s">
        <v>74</v>
      </c>
      <c r="E1509" t="str">
        <f>"080065896413"</f>
        <v>080065896413</v>
      </c>
      <c r="F1509" s="3">
        <v>45819</v>
      </c>
      <c r="G1509">
        <v>202603</v>
      </c>
      <c r="H1509" t="s">
        <v>75</v>
      </c>
      <c r="I1509" t="s">
        <v>76</v>
      </c>
      <c r="J1509" t="s">
        <v>77</v>
      </c>
      <c r="K1509" t="s">
        <v>78</v>
      </c>
      <c r="L1509" t="s">
        <v>91</v>
      </c>
      <c r="M1509" t="s">
        <v>92</v>
      </c>
      <c r="N1509" t="s">
        <v>841</v>
      </c>
      <c r="O1509" t="s">
        <v>82</v>
      </c>
      <c r="P1509" t="str">
        <f>"4170043502                    "</f>
        <v xml:space="preserve">4170043502                    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20.9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</v>
      </c>
      <c r="AX1509">
        <v>0</v>
      </c>
      <c r="AY1509">
        <v>0</v>
      </c>
      <c r="AZ1509">
        <v>0</v>
      </c>
      <c r="BA1509">
        <v>0</v>
      </c>
      <c r="BB1509">
        <v>0</v>
      </c>
      <c r="BC1509">
        <v>0</v>
      </c>
      <c r="BD1509">
        <v>0</v>
      </c>
      <c r="BE1509">
        <v>0</v>
      </c>
      <c r="BF1509">
        <v>0</v>
      </c>
      <c r="BG1509">
        <v>0</v>
      </c>
      <c r="BH1509">
        <v>1</v>
      </c>
      <c r="BI1509">
        <v>1</v>
      </c>
      <c r="BJ1509">
        <v>0.2</v>
      </c>
      <c r="BK1509">
        <v>1</v>
      </c>
      <c r="BL1509">
        <v>69.5</v>
      </c>
      <c r="BM1509">
        <v>10.43</v>
      </c>
      <c r="BN1509">
        <v>79.930000000000007</v>
      </c>
      <c r="BO1509">
        <v>79.930000000000007</v>
      </c>
      <c r="BQ1509" t="s">
        <v>842</v>
      </c>
      <c r="BR1509" t="s">
        <v>84</v>
      </c>
      <c r="BS1509" t="s">
        <v>189</v>
      </c>
      <c r="BV1509" t="s">
        <v>90</v>
      </c>
      <c r="BY1509">
        <v>1200</v>
      </c>
      <c r="CC1509" t="s">
        <v>92</v>
      </c>
      <c r="CD1509">
        <v>7535</v>
      </c>
      <c r="CE1509" t="s">
        <v>1029</v>
      </c>
      <c r="CI1509">
        <v>1</v>
      </c>
      <c r="CJ1509" t="s">
        <v>189</v>
      </c>
      <c r="CK1509">
        <v>21</v>
      </c>
      <c r="CL1509" t="s">
        <v>90</v>
      </c>
    </row>
    <row r="1510" spans="1:90" x14ac:dyDescent="0.3">
      <c r="A1510" t="s">
        <v>72</v>
      </c>
      <c r="B1510" t="s">
        <v>73</v>
      </c>
      <c r="C1510" t="s">
        <v>74</v>
      </c>
      <c r="E1510" t="str">
        <f>"080065896427"</f>
        <v>080065896427</v>
      </c>
      <c r="F1510" s="3">
        <v>45819</v>
      </c>
      <c r="G1510">
        <v>202603</v>
      </c>
      <c r="H1510" t="s">
        <v>75</v>
      </c>
      <c r="I1510" t="s">
        <v>76</v>
      </c>
      <c r="J1510" t="s">
        <v>77</v>
      </c>
      <c r="K1510" t="s">
        <v>78</v>
      </c>
      <c r="L1510" t="s">
        <v>413</v>
      </c>
      <c r="M1510" t="s">
        <v>414</v>
      </c>
      <c r="N1510" t="s">
        <v>236</v>
      </c>
      <c r="O1510" t="s">
        <v>82</v>
      </c>
      <c r="P1510" t="str">
        <f>"4170043347                    "</f>
        <v xml:space="preserve">4170043347                    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78.319999999999993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  <c r="BE1510">
        <v>0</v>
      </c>
      <c r="BF1510">
        <v>0</v>
      </c>
      <c r="BG1510">
        <v>0</v>
      </c>
      <c r="BH1510">
        <v>1</v>
      </c>
      <c r="BI1510">
        <v>4</v>
      </c>
      <c r="BJ1510">
        <v>7.1</v>
      </c>
      <c r="BK1510">
        <v>7.5</v>
      </c>
      <c r="BL1510">
        <v>260.45999999999998</v>
      </c>
      <c r="BM1510">
        <v>39.07</v>
      </c>
      <c r="BN1510">
        <v>299.52999999999997</v>
      </c>
      <c r="BO1510">
        <v>299.52999999999997</v>
      </c>
      <c r="BQ1510" t="s">
        <v>237</v>
      </c>
      <c r="BR1510" t="s">
        <v>84</v>
      </c>
      <c r="BS1510" t="s">
        <v>189</v>
      </c>
      <c r="BV1510" t="s">
        <v>90</v>
      </c>
      <c r="BY1510">
        <v>35568</v>
      </c>
      <c r="CC1510" t="s">
        <v>414</v>
      </c>
      <c r="CD1510">
        <v>4133</v>
      </c>
      <c r="CE1510" t="s">
        <v>1029</v>
      </c>
      <c r="CI1510">
        <v>1</v>
      </c>
      <c r="CJ1510" t="s">
        <v>189</v>
      </c>
      <c r="CK1510">
        <v>21</v>
      </c>
      <c r="CL1510" t="s">
        <v>90</v>
      </c>
    </row>
    <row r="1511" spans="1:90" x14ac:dyDescent="0.3">
      <c r="A1511" t="s">
        <v>72</v>
      </c>
      <c r="B1511" t="s">
        <v>73</v>
      </c>
      <c r="C1511" t="s">
        <v>74</v>
      </c>
      <c r="E1511" t="str">
        <f>"080065896479"</f>
        <v>080065896479</v>
      </c>
      <c r="F1511" s="3">
        <v>45819</v>
      </c>
      <c r="G1511">
        <v>202603</v>
      </c>
      <c r="H1511" t="s">
        <v>75</v>
      </c>
      <c r="I1511" t="s">
        <v>76</v>
      </c>
      <c r="J1511" t="s">
        <v>77</v>
      </c>
      <c r="K1511" t="s">
        <v>78</v>
      </c>
      <c r="L1511" t="s">
        <v>174</v>
      </c>
      <c r="M1511" t="s">
        <v>175</v>
      </c>
      <c r="N1511" t="s">
        <v>680</v>
      </c>
      <c r="O1511" t="s">
        <v>82</v>
      </c>
      <c r="P1511" t="str">
        <f>"4170043408                    "</f>
        <v xml:space="preserve">4170043408                    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20.9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</v>
      </c>
      <c r="AX1511">
        <v>0</v>
      </c>
      <c r="AY1511">
        <v>0</v>
      </c>
      <c r="AZ1511">
        <v>0</v>
      </c>
      <c r="BA1511">
        <v>0</v>
      </c>
      <c r="BB1511">
        <v>0</v>
      </c>
      <c r="BC1511">
        <v>0</v>
      </c>
      <c r="BD1511">
        <v>0</v>
      </c>
      <c r="BE1511">
        <v>0</v>
      </c>
      <c r="BF1511">
        <v>0</v>
      </c>
      <c r="BG1511">
        <v>0</v>
      </c>
      <c r="BH1511">
        <v>1</v>
      </c>
      <c r="BI1511">
        <v>1</v>
      </c>
      <c r="BJ1511">
        <v>0.2</v>
      </c>
      <c r="BK1511">
        <v>1</v>
      </c>
      <c r="BL1511">
        <v>69.5</v>
      </c>
      <c r="BM1511">
        <v>10.43</v>
      </c>
      <c r="BN1511">
        <v>79.930000000000007</v>
      </c>
      <c r="BO1511">
        <v>79.930000000000007</v>
      </c>
      <c r="BQ1511" t="s">
        <v>681</v>
      </c>
      <c r="BR1511" t="s">
        <v>84</v>
      </c>
      <c r="BS1511" t="s">
        <v>189</v>
      </c>
      <c r="BV1511" t="s">
        <v>90</v>
      </c>
      <c r="BY1511">
        <v>1200</v>
      </c>
      <c r="CC1511" t="s">
        <v>175</v>
      </c>
      <c r="CD1511">
        <v>3610</v>
      </c>
      <c r="CE1511" t="s">
        <v>1029</v>
      </c>
      <c r="CI1511">
        <v>1</v>
      </c>
      <c r="CJ1511" t="s">
        <v>189</v>
      </c>
      <c r="CK1511">
        <v>21</v>
      </c>
      <c r="CL1511" t="s">
        <v>90</v>
      </c>
    </row>
    <row r="1512" spans="1:90" x14ac:dyDescent="0.3">
      <c r="A1512" t="s">
        <v>72</v>
      </c>
      <c r="B1512" t="s">
        <v>73</v>
      </c>
      <c r="C1512" t="s">
        <v>74</v>
      </c>
      <c r="E1512" t="str">
        <f>"080065896498"</f>
        <v>080065896498</v>
      </c>
      <c r="F1512" s="3">
        <v>45819</v>
      </c>
      <c r="G1512">
        <v>202603</v>
      </c>
      <c r="H1512" t="s">
        <v>75</v>
      </c>
      <c r="I1512" t="s">
        <v>76</v>
      </c>
      <c r="J1512" t="s">
        <v>77</v>
      </c>
      <c r="K1512" t="s">
        <v>78</v>
      </c>
      <c r="L1512" t="s">
        <v>224</v>
      </c>
      <c r="M1512" t="s">
        <v>225</v>
      </c>
      <c r="N1512" t="s">
        <v>1442</v>
      </c>
      <c r="O1512" t="s">
        <v>82</v>
      </c>
      <c r="P1512" t="str">
        <f>"4170043349                    "</f>
        <v xml:space="preserve">4170043349                    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77.06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0</v>
      </c>
      <c r="BA1512">
        <v>0</v>
      </c>
      <c r="BB1512">
        <v>0</v>
      </c>
      <c r="BC1512">
        <v>0</v>
      </c>
      <c r="BD1512">
        <v>0</v>
      </c>
      <c r="BE1512">
        <v>0</v>
      </c>
      <c r="BF1512">
        <v>0</v>
      </c>
      <c r="BG1512">
        <v>0</v>
      </c>
      <c r="BH1512">
        <v>1</v>
      </c>
      <c r="BI1512">
        <v>4</v>
      </c>
      <c r="BJ1512">
        <v>3.4</v>
      </c>
      <c r="BK1512">
        <v>4</v>
      </c>
      <c r="BL1512">
        <v>256.26</v>
      </c>
      <c r="BM1512">
        <v>38.44</v>
      </c>
      <c r="BN1512">
        <v>294.7</v>
      </c>
      <c r="BO1512">
        <v>294.7</v>
      </c>
      <c r="BQ1512" t="s">
        <v>1443</v>
      </c>
      <c r="BR1512" t="s">
        <v>84</v>
      </c>
      <c r="BS1512" t="s">
        <v>189</v>
      </c>
      <c r="BV1512" t="s">
        <v>90</v>
      </c>
      <c r="BY1512">
        <v>16800</v>
      </c>
      <c r="CC1512" t="s">
        <v>225</v>
      </c>
      <c r="CD1512">
        <v>6300</v>
      </c>
      <c r="CE1512" t="s">
        <v>1029</v>
      </c>
      <c r="CI1512">
        <v>2</v>
      </c>
      <c r="CJ1512" t="s">
        <v>189</v>
      </c>
      <c r="CK1512">
        <v>23</v>
      </c>
      <c r="CL1512" t="s">
        <v>90</v>
      </c>
    </row>
    <row r="1513" spans="1:90" x14ac:dyDescent="0.3">
      <c r="A1513" t="s">
        <v>72</v>
      </c>
      <c r="B1513" t="s">
        <v>73</v>
      </c>
      <c r="C1513" t="s">
        <v>74</v>
      </c>
      <c r="E1513" t="str">
        <f>"080065896529"</f>
        <v>080065896529</v>
      </c>
      <c r="F1513" s="3">
        <v>45819</v>
      </c>
      <c r="G1513">
        <v>202603</v>
      </c>
      <c r="H1513" t="s">
        <v>75</v>
      </c>
      <c r="I1513" t="s">
        <v>76</v>
      </c>
      <c r="J1513" t="s">
        <v>77</v>
      </c>
      <c r="K1513" t="s">
        <v>78</v>
      </c>
      <c r="L1513" t="s">
        <v>100</v>
      </c>
      <c r="M1513" t="s">
        <v>101</v>
      </c>
      <c r="N1513" t="s">
        <v>391</v>
      </c>
      <c r="O1513" t="s">
        <v>82</v>
      </c>
      <c r="P1513" t="str">
        <f>"4170043452                    "</f>
        <v xml:space="preserve">4170043452                    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20.9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</v>
      </c>
      <c r="AX1513">
        <v>0</v>
      </c>
      <c r="AY1513">
        <v>0</v>
      </c>
      <c r="AZ1513">
        <v>0</v>
      </c>
      <c r="BA1513">
        <v>0</v>
      </c>
      <c r="BB1513">
        <v>0</v>
      </c>
      <c r="BC1513">
        <v>0</v>
      </c>
      <c r="BD1513">
        <v>0</v>
      </c>
      <c r="BE1513">
        <v>0</v>
      </c>
      <c r="BF1513">
        <v>0</v>
      </c>
      <c r="BG1513">
        <v>0</v>
      </c>
      <c r="BH1513">
        <v>1</v>
      </c>
      <c r="BI1513">
        <v>1</v>
      </c>
      <c r="BJ1513">
        <v>0.2</v>
      </c>
      <c r="BK1513">
        <v>1</v>
      </c>
      <c r="BL1513">
        <v>69.5</v>
      </c>
      <c r="BM1513">
        <v>10.43</v>
      </c>
      <c r="BN1513">
        <v>79.930000000000007</v>
      </c>
      <c r="BO1513">
        <v>79.930000000000007</v>
      </c>
      <c r="BQ1513" t="s">
        <v>392</v>
      </c>
      <c r="BR1513" t="s">
        <v>84</v>
      </c>
      <c r="BS1513" t="s">
        <v>189</v>
      </c>
      <c r="BV1513" t="s">
        <v>90</v>
      </c>
      <c r="BY1513">
        <v>1200</v>
      </c>
      <c r="CC1513" t="s">
        <v>101</v>
      </c>
      <c r="CD1513">
        <v>6001</v>
      </c>
      <c r="CE1513" t="s">
        <v>1029</v>
      </c>
      <c r="CI1513">
        <v>1</v>
      </c>
      <c r="CJ1513" t="s">
        <v>189</v>
      </c>
      <c r="CK1513">
        <v>21</v>
      </c>
      <c r="CL1513" t="s">
        <v>90</v>
      </c>
    </row>
    <row r="1514" spans="1:90" x14ac:dyDescent="0.3">
      <c r="A1514" t="s">
        <v>72</v>
      </c>
      <c r="B1514" t="s">
        <v>73</v>
      </c>
      <c r="C1514" t="s">
        <v>74</v>
      </c>
      <c r="E1514" t="str">
        <f>"080065896551"</f>
        <v>080065896551</v>
      </c>
      <c r="F1514" s="3">
        <v>45819</v>
      </c>
      <c r="G1514">
        <v>202603</v>
      </c>
      <c r="H1514" t="s">
        <v>75</v>
      </c>
      <c r="I1514" t="s">
        <v>76</v>
      </c>
      <c r="J1514" t="s">
        <v>77</v>
      </c>
      <c r="K1514" t="s">
        <v>78</v>
      </c>
      <c r="L1514" t="s">
        <v>106</v>
      </c>
      <c r="M1514" t="s">
        <v>107</v>
      </c>
      <c r="N1514" t="s">
        <v>1141</v>
      </c>
      <c r="O1514" t="s">
        <v>94</v>
      </c>
      <c r="P1514" t="str">
        <f>"4170043277                    "</f>
        <v xml:space="preserve">4170043277                    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50.42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</v>
      </c>
      <c r="AX1514">
        <v>0</v>
      </c>
      <c r="AY1514">
        <v>0</v>
      </c>
      <c r="AZ1514">
        <v>0</v>
      </c>
      <c r="BA1514">
        <v>0</v>
      </c>
      <c r="BB1514">
        <v>0</v>
      </c>
      <c r="BC1514">
        <v>0</v>
      </c>
      <c r="BD1514">
        <v>0</v>
      </c>
      <c r="BE1514">
        <v>0</v>
      </c>
      <c r="BF1514">
        <v>0</v>
      </c>
      <c r="BG1514">
        <v>0</v>
      </c>
      <c r="BH1514">
        <v>1</v>
      </c>
      <c r="BI1514">
        <v>21</v>
      </c>
      <c r="BJ1514">
        <v>10.1</v>
      </c>
      <c r="BK1514">
        <v>21</v>
      </c>
      <c r="BL1514">
        <v>173.25</v>
      </c>
      <c r="BM1514">
        <v>25.99</v>
      </c>
      <c r="BN1514">
        <v>199.24</v>
      </c>
      <c r="BO1514">
        <v>199.24</v>
      </c>
      <c r="BQ1514" t="s">
        <v>1142</v>
      </c>
      <c r="BR1514" t="s">
        <v>84</v>
      </c>
      <c r="BS1514" t="s">
        <v>189</v>
      </c>
      <c r="BV1514" t="s">
        <v>90</v>
      </c>
      <c r="BY1514">
        <v>50400</v>
      </c>
      <c r="CC1514" t="s">
        <v>107</v>
      </c>
      <c r="CD1514">
        <v>184</v>
      </c>
      <c r="CE1514" t="s">
        <v>1029</v>
      </c>
      <c r="CI1514">
        <v>1</v>
      </c>
      <c r="CJ1514" t="s">
        <v>189</v>
      </c>
      <c r="CK1514">
        <v>41</v>
      </c>
      <c r="CL1514" t="s">
        <v>90</v>
      </c>
    </row>
    <row r="1515" spans="1:90" x14ac:dyDescent="0.3">
      <c r="A1515" t="s">
        <v>72</v>
      </c>
      <c r="B1515" t="s">
        <v>73</v>
      </c>
      <c r="C1515" t="s">
        <v>74</v>
      </c>
      <c r="E1515" t="str">
        <f>"080065896567"</f>
        <v>080065896567</v>
      </c>
      <c r="F1515" s="3">
        <v>45819</v>
      </c>
      <c r="G1515">
        <v>202603</v>
      </c>
      <c r="H1515" t="s">
        <v>75</v>
      </c>
      <c r="I1515" t="s">
        <v>76</v>
      </c>
      <c r="J1515" t="s">
        <v>77</v>
      </c>
      <c r="K1515" t="s">
        <v>78</v>
      </c>
      <c r="L1515" t="s">
        <v>266</v>
      </c>
      <c r="M1515" t="s">
        <v>267</v>
      </c>
      <c r="N1515" t="s">
        <v>268</v>
      </c>
      <c r="O1515" t="s">
        <v>82</v>
      </c>
      <c r="P1515" t="str">
        <f>"4170043421                    "</f>
        <v xml:space="preserve">4170043421                    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20.9</v>
      </c>
      <c r="AR1515">
        <v>0</v>
      </c>
      <c r="AS1515">
        <v>0</v>
      </c>
      <c r="AT1515">
        <v>0</v>
      </c>
      <c r="AU1515">
        <v>0</v>
      </c>
      <c r="AV1515">
        <v>0</v>
      </c>
      <c r="AW1515">
        <v>0</v>
      </c>
      <c r="AX1515">
        <v>0</v>
      </c>
      <c r="AY1515">
        <v>0</v>
      </c>
      <c r="AZ1515">
        <v>0</v>
      </c>
      <c r="BA1515">
        <v>0</v>
      </c>
      <c r="BB1515">
        <v>0</v>
      </c>
      <c r="BC1515">
        <v>0</v>
      </c>
      <c r="BD1515">
        <v>0</v>
      </c>
      <c r="BE1515">
        <v>0</v>
      </c>
      <c r="BF1515">
        <v>0</v>
      </c>
      <c r="BG1515">
        <v>0</v>
      </c>
      <c r="BH1515">
        <v>1</v>
      </c>
      <c r="BI1515">
        <v>1</v>
      </c>
      <c r="BJ1515">
        <v>0.2</v>
      </c>
      <c r="BK1515">
        <v>1</v>
      </c>
      <c r="BL1515">
        <v>69.5</v>
      </c>
      <c r="BM1515">
        <v>10.43</v>
      </c>
      <c r="BN1515">
        <v>79.930000000000007</v>
      </c>
      <c r="BO1515">
        <v>79.930000000000007</v>
      </c>
      <c r="BQ1515" t="s">
        <v>269</v>
      </c>
      <c r="BR1515" t="s">
        <v>84</v>
      </c>
      <c r="BS1515" t="s">
        <v>189</v>
      </c>
      <c r="BV1515" t="s">
        <v>90</v>
      </c>
      <c r="BY1515">
        <v>1200</v>
      </c>
      <c r="CC1515" t="s">
        <v>267</v>
      </c>
      <c r="CD1515">
        <v>6021</v>
      </c>
      <c r="CE1515" t="s">
        <v>1029</v>
      </c>
      <c r="CI1515">
        <v>1</v>
      </c>
      <c r="CJ1515" t="s">
        <v>189</v>
      </c>
      <c r="CK1515">
        <v>21</v>
      </c>
      <c r="CL1515" t="s">
        <v>90</v>
      </c>
    </row>
    <row r="1516" spans="1:90" x14ac:dyDescent="0.3">
      <c r="A1516" t="s">
        <v>72</v>
      </c>
      <c r="B1516" t="s">
        <v>73</v>
      </c>
      <c r="C1516" t="s">
        <v>74</v>
      </c>
      <c r="E1516" t="str">
        <f>"080065896602"</f>
        <v>080065896602</v>
      </c>
      <c r="F1516" s="3">
        <v>45819</v>
      </c>
      <c r="G1516">
        <v>202603</v>
      </c>
      <c r="H1516" t="s">
        <v>75</v>
      </c>
      <c r="I1516" t="s">
        <v>76</v>
      </c>
      <c r="J1516" t="s">
        <v>77</v>
      </c>
      <c r="K1516" t="s">
        <v>78</v>
      </c>
      <c r="L1516" t="s">
        <v>100</v>
      </c>
      <c r="M1516" t="s">
        <v>101</v>
      </c>
      <c r="N1516" t="s">
        <v>123</v>
      </c>
      <c r="O1516" t="s">
        <v>82</v>
      </c>
      <c r="P1516" t="str">
        <f>"4170043390                    "</f>
        <v xml:space="preserve">4170043390                    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20.9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>
        <v>0</v>
      </c>
      <c r="BD1516">
        <v>0</v>
      </c>
      <c r="BE1516">
        <v>0</v>
      </c>
      <c r="BF1516">
        <v>0</v>
      </c>
      <c r="BG1516">
        <v>0</v>
      </c>
      <c r="BH1516">
        <v>1</v>
      </c>
      <c r="BI1516">
        <v>1</v>
      </c>
      <c r="BJ1516">
        <v>1.9</v>
      </c>
      <c r="BK1516">
        <v>2</v>
      </c>
      <c r="BL1516">
        <v>69.5</v>
      </c>
      <c r="BM1516">
        <v>10.43</v>
      </c>
      <c r="BN1516">
        <v>79.930000000000007</v>
      </c>
      <c r="BO1516">
        <v>79.930000000000007</v>
      </c>
      <c r="BQ1516" t="s">
        <v>124</v>
      </c>
      <c r="BR1516" t="s">
        <v>84</v>
      </c>
      <c r="BS1516" t="s">
        <v>189</v>
      </c>
      <c r="BV1516" t="s">
        <v>90</v>
      </c>
      <c r="BY1516">
        <v>9600</v>
      </c>
      <c r="CC1516" t="s">
        <v>101</v>
      </c>
      <c r="CD1516">
        <v>6001</v>
      </c>
      <c r="CE1516" t="s">
        <v>1029</v>
      </c>
      <c r="CI1516">
        <v>1</v>
      </c>
      <c r="CJ1516" t="s">
        <v>189</v>
      </c>
      <c r="CK1516">
        <v>21</v>
      </c>
      <c r="CL1516" t="s">
        <v>90</v>
      </c>
    </row>
    <row r="1517" spans="1:90" x14ac:dyDescent="0.3">
      <c r="A1517" t="s">
        <v>72</v>
      </c>
      <c r="B1517" t="s">
        <v>73</v>
      </c>
      <c r="C1517" t="s">
        <v>74</v>
      </c>
      <c r="E1517" t="str">
        <f>"080065896608"</f>
        <v>080065896608</v>
      </c>
      <c r="F1517" s="3">
        <v>45819</v>
      </c>
      <c r="G1517">
        <v>202603</v>
      </c>
      <c r="H1517" t="s">
        <v>75</v>
      </c>
      <c r="I1517" t="s">
        <v>76</v>
      </c>
      <c r="J1517" t="s">
        <v>77</v>
      </c>
      <c r="K1517" t="s">
        <v>78</v>
      </c>
      <c r="L1517" t="s">
        <v>159</v>
      </c>
      <c r="M1517" t="s">
        <v>160</v>
      </c>
      <c r="N1517" t="s">
        <v>230</v>
      </c>
      <c r="O1517" t="s">
        <v>82</v>
      </c>
      <c r="P1517" t="str">
        <f>"4170043430                    "</f>
        <v xml:space="preserve">4170043430                    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16.32</v>
      </c>
      <c r="AR1517">
        <v>0</v>
      </c>
      <c r="AS1517">
        <v>0</v>
      </c>
      <c r="AT1517">
        <v>0</v>
      </c>
      <c r="AU1517">
        <v>0</v>
      </c>
      <c r="AV1517">
        <v>0</v>
      </c>
      <c r="AW1517">
        <v>0</v>
      </c>
      <c r="AX1517">
        <v>0</v>
      </c>
      <c r="AY1517">
        <v>0</v>
      </c>
      <c r="AZ1517">
        <v>0</v>
      </c>
      <c r="BA1517">
        <v>0</v>
      </c>
      <c r="BB1517">
        <v>0</v>
      </c>
      <c r="BC1517">
        <v>0</v>
      </c>
      <c r="BD1517">
        <v>0</v>
      </c>
      <c r="BE1517">
        <v>0</v>
      </c>
      <c r="BF1517">
        <v>0</v>
      </c>
      <c r="BG1517">
        <v>0</v>
      </c>
      <c r="BH1517">
        <v>1</v>
      </c>
      <c r="BI1517">
        <v>1</v>
      </c>
      <c r="BJ1517">
        <v>0.2</v>
      </c>
      <c r="BK1517">
        <v>1</v>
      </c>
      <c r="BL1517">
        <v>54.28</v>
      </c>
      <c r="BM1517">
        <v>8.14</v>
      </c>
      <c r="BN1517">
        <v>62.42</v>
      </c>
      <c r="BO1517">
        <v>62.42</v>
      </c>
      <c r="BQ1517" t="s">
        <v>231</v>
      </c>
      <c r="BR1517" t="s">
        <v>84</v>
      </c>
      <c r="BS1517" t="s">
        <v>189</v>
      </c>
      <c r="BV1517" t="s">
        <v>90</v>
      </c>
      <c r="BY1517">
        <v>1200</v>
      </c>
      <c r="CC1517" t="s">
        <v>160</v>
      </c>
      <c r="CD1517">
        <v>2094</v>
      </c>
      <c r="CE1517" t="s">
        <v>1029</v>
      </c>
      <c r="CI1517">
        <v>1</v>
      </c>
      <c r="CJ1517" t="s">
        <v>189</v>
      </c>
      <c r="CK1517">
        <v>22</v>
      </c>
      <c r="CL1517" t="s">
        <v>90</v>
      </c>
    </row>
    <row r="1518" spans="1:90" x14ac:dyDescent="0.3">
      <c r="A1518" t="s">
        <v>72</v>
      </c>
      <c r="B1518" t="s">
        <v>73</v>
      </c>
      <c r="C1518" t="s">
        <v>74</v>
      </c>
      <c r="E1518" t="str">
        <f>"080065896637"</f>
        <v>080065896637</v>
      </c>
      <c r="F1518" s="3">
        <v>45819</v>
      </c>
      <c r="G1518">
        <v>202603</v>
      </c>
      <c r="H1518" t="s">
        <v>75</v>
      </c>
      <c r="I1518" t="s">
        <v>76</v>
      </c>
      <c r="J1518" t="s">
        <v>77</v>
      </c>
      <c r="K1518" t="s">
        <v>78</v>
      </c>
      <c r="L1518" t="s">
        <v>159</v>
      </c>
      <c r="M1518" t="s">
        <v>160</v>
      </c>
      <c r="N1518" t="s">
        <v>1481</v>
      </c>
      <c r="O1518" t="s">
        <v>82</v>
      </c>
      <c r="P1518" t="str">
        <f>"4170043437                    "</f>
        <v xml:space="preserve">4170043437                    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20.9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16.739999999999998</v>
      </c>
      <c r="AX1518">
        <v>0</v>
      </c>
      <c r="AY1518">
        <v>0</v>
      </c>
      <c r="AZ1518">
        <v>0</v>
      </c>
      <c r="BA1518">
        <v>0</v>
      </c>
      <c r="BB1518">
        <v>0</v>
      </c>
      <c r="BC1518">
        <v>0</v>
      </c>
      <c r="BD1518">
        <v>0</v>
      </c>
      <c r="BE1518">
        <v>0</v>
      </c>
      <c r="BF1518">
        <v>0</v>
      </c>
      <c r="BG1518">
        <v>0</v>
      </c>
      <c r="BH1518">
        <v>1</v>
      </c>
      <c r="BI1518">
        <v>1</v>
      </c>
      <c r="BJ1518">
        <v>0.2</v>
      </c>
      <c r="BK1518">
        <v>1</v>
      </c>
      <c r="BL1518">
        <v>86.24</v>
      </c>
      <c r="BM1518">
        <v>12.94</v>
      </c>
      <c r="BN1518">
        <v>99.18</v>
      </c>
      <c r="BO1518">
        <v>99.18</v>
      </c>
      <c r="BQ1518" t="s">
        <v>1482</v>
      </c>
      <c r="BR1518" t="s">
        <v>84</v>
      </c>
      <c r="BS1518" t="s">
        <v>189</v>
      </c>
      <c r="BV1518" t="s">
        <v>90</v>
      </c>
      <c r="BY1518">
        <v>1200</v>
      </c>
      <c r="BZ1518" t="s">
        <v>30</v>
      </c>
      <c r="CC1518" t="s">
        <v>160</v>
      </c>
      <c r="CD1518">
        <v>1811</v>
      </c>
      <c r="CE1518" t="s">
        <v>215</v>
      </c>
      <c r="CI1518">
        <v>0</v>
      </c>
      <c r="CJ1518">
        <v>0</v>
      </c>
      <c r="CK1518">
        <v>21</v>
      </c>
      <c r="CL1518" t="s">
        <v>90</v>
      </c>
    </row>
    <row r="1519" spans="1:90" x14ac:dyDescent="0.3">
      <c r="A1519" t="s">
        <v>72</v>
      </c>
      <c r="B1519" t="s">
        <v>73</v>
      </c>
      <c r="C1519" t="s">
        <v>74</v>
      </c>
      <c r="E1519" t="str">
        <f>"080065896635"</f>
        <v>080065896635</v>
      </c>
      <c r="F1519" s="3">
        <v>45819</v>
      </c>
      <c r="G1519">
        <v>202603</v>
      </c>
      <c r="H1519" t="s">
        <v>75</v>
      </c>
      <c r="I1519" t="s">
        <v>76</v>
      </c>
      <c r="J1519" t="s">
        <v>77</v>
      </c>
      <c r="K1519" t="s">
        <v>78</v>
      </c>
      <c r="L1519" t="s">
        <v>159</v>
      </c>
      <c r="M1519" t="s">
        <v>160</v>
      </c>
      <c r="N1519" t="s">
        <v>1248</v>
      </c>
      <c r="O1519" t="s">
        <v>82</v>
      </c>
      <c r="P1519" t="str">
        <f>"4170043441                    "</f>
        <v xml:space="preserve">4170043441                    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16.32</v>
      </c>
      <c r="AR1519">
        <v>0</v>
      </c>
      <c r="AS1519">
        <v>0</v>
      </c>
      <c r="AT1519">
        <v>0</v>
      </c>
      <c r="AU1519">
        <v>0</v>
      </c>
      <c r="AV1519">
        <v>0</v>
      </c>
      <c r="AW1519">
        <v>0</v>
      </c>
      <c r="AX1519">
        <v>0</v>
      </c>
      <c r="AY1519">
        <v>0</v>
      </c>
      <c r="AZ1519">
        <v>0</v>
      </c>
      <c r="BA1519">
        <v>0</v>
      </c>
      <c r="BB1519">
        <v>0</v>
      </c>
      <c r="BC1519">
        <v>0</v>
      </c>
      <c r="BD1519">
        <v>0</v>
      </c>
      <c r="BE1519">
        <v>0</v>
      </c>
      <c r="BF1519">
        <v>0</v>
      </c>
      <c r="BG1519">
        <v>0</v>
      </c>
      <c r="BH1519">
        <v>1</v>
      </c>
      <c r="BI1519">
        <v>4</v>
      </c>
      <c r="BJ1519">
        <v>3.4</v>
      </c>
      <c r="BK1519">
        <v>4</v>
      </c>
      <c r="BL1519">
        <v>54.28</v>
      </c>
      <c r="BM1519">
        <v>8.14</v>
      </c>
      <c r="BN1519">
        <v>62.42</v>
      </c>
      <c r="BO1519">
        <v>62.42</v>
      </c>
      <c r="BQ1519" t="s">
        <v>1249</v>
      </c>
      <c r="BR1519" t="s">
        <v>84</v>
      </c>
      <c r="BS1519" t="s">
        <v>189</v>
      </c>
      <c r="BV1519" t="s">
        <v>90</v>
      </c>
      <c r="BY1519">
        <v>16965</v>
      </c>
      <c r="CC1519" t="s">
        <v>160</v>
      </c>
      <c r="CD1519">
        <v>2022</v>
      </c>
      <c r="CE1519" t="s">
        <v>687</v>
      </c>
      <c r="CI1519">
        <v>1</v>
      </c>
      <c r="CJ1519" t="s">
        <v>189</v>
      </c>
      <c r="CK1519">
        <v>22</v>
      </c>
      <c r="CL1519" t="s">
        <v>90</v>
      </c>
    </row>
    <row r="1520" spans="1:90" x14ac:dyDescent="0.3">
      <c r="A1520" t="s">
        <v>72</v>
      </c>
      <c r="B1520" t="s">
        <v>73</v>
      </c>
      <c r="C1520" t="s">
        <v>74</v>
      </c>
      <c r="E1520" t="str">
        <f>"080065896684"</f>
        <v>080065896684</v>
      </c>
      <c r="F1520" s="3">
        <v>45819</v>
      </c>
      <c r="G1520">
        <v>202603</v>
      </c>
      <c r="H1520" t="s">
        <v>75</v>
      </c>
      <c r="I1520" t="s">
        <v>76</v>
      </c>
      <c r="J1520" t="s">
        <v>77</v>
      </c>
      <c r="K1520" t="s">
        <v>78</v>
      </c>
      <c r="L1520" t="s">
        <v>106</v>
      </c>
      <c r="M1520" t="s">
        <v>107</v>
      </c>
      <c r="N1520" t="s">
        <v>1565</v>
      </c>
      <c r="O1520" t="s">
        <v>82</v>
      </c>
      <c r="P1520" t="str">
        <f>"4170043448                    "</f>
        <v xml:space="preserve">4170043448                    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>
        <v>20.9</v>
      </c>
      <c r="AR1520">
        <v>0</v>
      </c>
      <c r="AS1520">
        <v>0</v>
      </c>
      <c r="AT1520">
        <v>0</v>
      </c>
      <c r="AU1520">
        <v>0</v>
      </c>
      <c r="AV1520">
        <v>0</v>
      </c>
      <c r="AW1520">
        <v>0</v>
      </c>
      <c r="AX1520">
        <v>0</v>
      </c>
      <c r="AY1520">
        <v>0</v>
      </c>
      <c r="AZ1520">
        <v>0</v>
      </c>
      <c r="BA1520">
        <v>0</v>
      </c>
      <c r="BB1520">
        <v>0</v>
      </c>
      <c r="BC1520">
        <v>0</v>
      </c>
      <c r="BD1520">
        <v>0</v>
      </c>
      <c r="BE1520">
        <v>0</v>
      </c>
      <c r="BF1520">
        <v>0</v>
      </c>
      <c r="BG1520">
        <v>0</v>
      </c>
      <c r="BH1520">
        <v>1</v>
      </c>
      <c r="BI1520">
        <v>1</v>
      </c>
      <c r="BJ1520">
        <v>0.6</v>
      </c>
      <c r="BK1520">
        <v>1</v>
      </c>
      <c r="BL1520">
        <v>69.5</v>
      </c>
      <c r="BM1520">
        <v>10.43</v>
      </c>
      <c r="BN1520">
        <v>79.930000000000007</v>
      </c>
      <c r="BO1520">
        <v>79.930000000000007</v>
      </c>
      <c r="BQ1520" t="s">
        <v>1566</v>
      </c>
      <c r="BR1520" t="s">
        <v>84</v>
      </c>
      <c r="BS1520" t="s">
        <v>189</v>
      </c>
      <c r="BV1520" t="s">
        <v>90</v>
      </c>
      <c r="BY1520">
        <v>3192</v>
      </c>
      <c r="CC1520" t="s">
        <v>107</v>
      </c>
      <c r="CD1520">
        <v>200</v>
      </c>
      <c r="CE1520" t="s">
        <v>687</v>
      </c>
      <c r="CI1520">
        <v>1</v>
      </c>
      <c r="CJ1520" t="s">
        <v>189</v>
      </c>
      <c r="CK1520">
        <v>21</v>
      </c>
      <c r="CL1520" t="s">
        <v>90</v>
      </c>
    </row>
    <row r="1521" spans="1:90" x14ac:dyDescent="0.3">
      <c r="A1521" t="s">
        <v>72</v>
      </c>
      <c r="B1521" t="s">
        <v>73</v>
      </c>
      <c r="C1521" t="s">
        <v>74</v>
      </c>
      <c r="E1521" t="str">
        <f>"080065896718"</f>
        <v>080065896718</v>
      </c>
      <c r="F1521" s="3">
        <v>45819</v>
      </c>
      <c r="G1521">
        <v>202603</v>
      </c>
      <c r="H1521" t="s">
        <v>75</v>
      </c>
      <c r="I1521" t="s">
        <v>76</v>
      </c>
      <c r="J1521" t="s">
        <v>77</v>
      </c>
      <c r="K1521" t="s">
        <v>78</v>
      </c>
      <c r="L1521" t="s">
        <v>106</v>
      </c>
      <c r="M1521" t="s">
        <v>107</v>
      </c>
      <c r="N1521" t="s">
        <v>1137</v>
      </c>
      <c r="O1521" t="s">
        <v>82</v>
      </c>
      <c r="P1521" t="str">
        <f>"4170043383                    "</f>
        <v xml:space="preserve">4170043383                    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20.9</v>
      </c>
      <c r="AR1521">
        <v>0</v>
      </c>
      <c r="AS1521">
        <v>0</v>
      </c>
      <c r="AT1521">
        <v>0</v>
      </c>
      <c r="AU1521">
        <v>0</v>
      </c>
      <c r="AV1521">
        <v>0</v>
      </c>
      <c r="AW1521">
        <v>0</v>
      </c>
      <c r="AX1521">
        <v>0</v>
      </c>
      <c r="AY1521">
        <v>0</v>
      </c>
      <c r="AZ1521">
        <v>0</v>
      </c>
      <c r="BA1521">
        <v>0</v>
      </c>
      <c r="BB1521">
        <v>0</v>
      </c>
      <c r="BC1521">
        <v>0</v>
      </c>
      <c r="BD1521">
        <v>0</v>
      </c>
      <c r="BE1521">
        <v>0</v>
      </c>
      <c r="BF1521">
        <v>0</v>
      </c>
      <c r="BG1521">
        <v>0</v>
      </c>
      <c r="BH1521">
        <v>1</v>
      </c>
      <c r="BI1521">
        <v>1</v>
      </c>
      <c r="BJ1521">
        <v>1.1000000000000001</v>
      </c>
      <c r="BK1521">
        <v>1.5</v>
      </c>
      <c r="BL1521">
        <v>69.5</v>
      </c>
      <c r="BM1521">
        <v>10.43</v>
      </c>
      <c r="BN1521">
        <v>79.930000000000007</v>
      </c>
      <c r="BO1521">
        <v>79.930000000000007</v>
      </c>
      <c r="BQ1521" t="s">
        <v>1138</v>
      </c>
      <c r="BR1521" t="s">
        <v>84</v>
      </c>
      <c r="BS1521" s="3">
        <v>45820</v>
      </c>
      <c r="BT1521" s="4">
        <v>0.31666666666666665</v>
      </c>
      <c r="BU1521" t="s">
        <v>1256</v>
      </c>
      <c r="BV1521" t="s">
        <v>86</v>
      </c>
      <c r="BY1521">
        <v>5320</v>
      </c>
      <c r="CA1521" t="s">
        <v>1888</v>
      </c>
      <c r="CC1521" t="s">
        <v>107</v>
      </c>
      <c r="CD1521">
        <v>83</v>
      </c>
      <c r="CE1521" t="s">
        <v>687</v>
      </c>
      <c r="CI1521">
        <v>1</v>
      </c>
      <c r="CJ1521">
        <v>1</v>
      </c>
      <c r="CK1521">
        <v>21</v>
      </c>
      <c r="CL1521" t="s">
        <v>90</v>
      </c>
    </row>
    <row r="1522" spans="1:90" x14ac:dyDescent="0.3">
      <c r="A1522" t="s">
        <v>72</v>
      </c>
      <c r="B1522" t="s">
        <v>73</v>
      </c>
      <c r="C1522" t="s">
        <v>74</v>
      </c>
      <c r="E1522" t="str">
        <f>"080065896755"</f>
        <v>080065896755</v>
      </c>
      <c r="F1522" s="3">
        <v>45819</v>
      </c>
      <c r="G1522">
        <v>202603</v>
      </c>
      <c r="H1522" t="s">
        <v>75</v>
      </c>
      <c r="I1522" t="s">
        <v>76</v>
      </c>
      <c r="J1522" t="s">
        <v>77</v>
      </c>
      <c r="K1522" t="s">
        <v>78</v>
      </c>
      <c r="L1522" t="s">
        <v>331</v>
      </c>
      <c r="M1522" t="s">
        <v>332</v>
      </c>
      <c r="N1522" t="s">
        <v>1499</v>
      </c>
      <c r="O1522" t="s">
        <v>82</v>
      </c>
      <c r="P1522" t="str">
        <f>"4170043107                    "</f>
        <v xml:space="preserve">4170043107                    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Q1522">
        <v>104.42</v>
      </c>
      <c r="AR1522">
        <v>0</v>
      </c>
      <c r="AS1522">
        <v>0</v>
      </c>
      <c r="AT1522">
        <v>0</v>
      </c>
      <c r="AU1522">
        <v>0</v>
      </c>
      <c r="AV1522">
        <v>0</v>
      </c>
      <c r="AW1522">
        <v>0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>
        <v>0</v>
      </c>
      <c r="BD1522">
        <v>0</v>
      </c>
      <c r="BE1522">
        <v>0</v>
      </c>
      <c r="BF1522">
        <v>0</v>
      </c>
      <c r="BG1522">
        <v>0</v>
      </c>
      <c r="BH1522">
        <v>1</v>
      </c>
      <c r="BI1522">
        <v>10</v>
      </c>
      <c r="BJ1522">
        <v>8.9</v>
      </c>
      <c r="BK1522">
        <v>10</v>
      </c>
      <c r="BL1522">
        <v>347.26</v>
      </c>
      <c r="BM1522">
        <v>52.09</v>
      </c>
      <c r="BN1522">
        <v>399.35</v>
      </c>
      <c r="BO1522">
        <v>399.35</v>
      </c>
      <c r="BQ1522" t="s">
        <v>1500</v>
      </c>
      <c r="BR1522" t="s">
        <v>84</v>
      </c>
      <c r="BS1522" s="3">
        <v>45820</v>
      </c>
      <c r="BT1522" s="4">
        <v>0.34166666666666667</v>
      </c>
      <c r="BU1522" t="s">
        <v>335</v>
      </c>
      <c r="BV1522" t="s">
        <v>86</v>
      </c>
      <c r="BY1522">
        <v>44640</v>
      </c>
      <c r="CA1522" t="s">
        <v>336</v>
      </c>
      <c r="CC1522" t="s">
        <v>332</v>
      </c>
      <c r="CD1522">
        <v>4051</v>
      </c>
      <c r="CE1522" t="s">
        <v>687</v>
      </c>
      <c r="CI1522">
        <v>1</v>
      </c>
      <c r="CJ1522">
        <v>1</v>
      </c>
      <c r="CK1522">
        <v>21</v>
      </c>
      <c r="CL1522" t="s">
        <v>90</v>
      </c>
    </row>
    <row r="1523" spans="1:90" x14ac:dyDescent="0.3">
      <c r="A1523" t="s">
        <v>72</v>
      </c>
      <c r="B1523" t="s">
        <v>73</v>
      </c>
      <c r="C1523" t="s">
        <v>74</v>
      </c>
      <c r="E1523" t="str">
        <f>"080065896822"</f>
        <v>080065896822</v>
      </c>
      <c r="F1523" s="3">
        <v>45819</v>
      </c>
      <c r="G1523">
        <v>202603</v>
      </c>
      <c r="H1523" t="s">
        <v>75</v>
      </c>
      <c r="I1523" t="s">
        <v>76</v>
      </c>
      <c r="J1523" t="s">
        <v>77</v>
      </c>
      <c r="K1523" t="s">
        <v>78</v>
      </c>
      <c r="L1523" t="s">
        <v>174</v>
      </c>
      <c r="M1523" t="s">
        <v>175</v>
      </c>
      <c r="N1523" t="s">
        <v>926</v>
      </c>
      <c r="O1523" t="s">
        <v>82</v>
      </c>
      <c r="P1523" t="str">
        <f>"4170043185                    "</f>
        <v xml:space="preserve">4170043185                    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57.44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</v>
      </c>
      <c r="AX1523">
        <v>0</v>
      </c>
      <c r="AY1523">
        <v>0</v>
      </c>
      <c r="AZ1523">
        <v>0</v>
      </c>
      <c r="BA1523">
        <v>0</v>
      </c>
      <c r="BB1523">
        <v>0</v>
      </c>
      <c r="BC1523">
        <v>0</v>
      </c>
      <c r="BD1523">
        <v>0</v>
      </c>
      <c r="BE1523">
        <v>0</v>
      </c>
      <c r="BF1523">
        <v>0</v>
      </c>
      <c r="BG1523">
        <v>0</v>
      </c>
      <c r="BH1523">
        <v>1</v>
      </c>
      <c r="BI1523">
        <v>5</v>
      </c>
      <c r="BJ1523">
        <v>5.2</v>
      </c>
      <c r="BK1523">
        <v>5.5</v>
      </c>
      <c r="BL1523">
        <v>191.02</v>
      </c>
      <c r="BM1523">
        <v>28.65</v>
      </c>
      <c r="BN1523">
        <v>219.67</v>
      </c>
      <c r="BO1523">
        <v>219.67</v>
      </c>
      <c r="BQ1523" t="s">
        <v>927</v>
      </c>
      <c r="BR1523" t="s">
        <v>84</v>
      </c>
      <c r="BS1523" t="s">
        <v>189</v>
      </c>
      <c r="BV1523" t="s">
        <v>90</v>
      </c>
      <c r="BY1523">
        <v>25984</v>
      </c>
      <c r="CC1523" t="s">
        <v>175</v>
      </c>
      <c r="CD1523">
        <v>3610</v>
      </c>
      <c r="CE1523" t="s">
        <v>166</v>
      </c>
      <c r="CI1523">
        <v>1</v>
      </c>
      <c r="CJ1523" t="s">
        <v>189</v>
      </c>
      <c r="CK1523">
        <v>21</v>
      </c>
      <c r="CL1523" t="s">
        <v>90</v>
      </c>
    </row>
    <row r="1524" spans="1:90" x14ac:dyDescent="0.3">
      <c r="A1524" t="s">
        <v>72</v>
      </c>
      <c r="B1524" t="s">
        <v>73</v>
      </c>
      <c r="C1524" t="s">
        <v>74</v>
      </c>
      <c r="E1524" t="str">
        <f>"080065897573"</f>
        <v>080065897573</v>
      </c>
      <c r="F1524" s="3">
        <v>45819</v>
      </c>
      <c r="G1524">
        <v>202603</v>
      </c>
      <c r="H1524" t="s">
        <v>75</v>
      </c>
      <c r="I1524" t="s">
        <v>76</v>
      </c>
      <c r="J1524" t="s">
        <v>77</v>
      </c>
      <c r="K1524" t="s">
        <v>78</v>
      </c>
      <c r="L1524" t="s">
        <v>426</v>
      </c>
      <c r="M1524" t="s">
        <v>427</v>
      </c>
      <c r="N1524" t="s">
        <v>1069</v>
      </c>
      <c r="O1524" t="s">
        <v>94</v>
      </c>
      <c r="P1524" t="str">
        <f>"4170043409                    "</f>
        <v xml:space="preserve">4170043409                    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>
        <v>62.11</v>
      </c>
      <c r="AR1524">
        <v>0</v>
      </c>
      <c r="AS1524">
        <v>0</v>
      </c>
      <c r="AT1524">
        <v>0</v>
      </c>
      <c r="AU1524">
        <v>0</v>
      </c>
      <c r="AV1524">
        <v>0</v>
      </c>
      <c r="AW1524">
        <v>0</v>
      </c>
      <c r="AX1524">
        <v>0</v>
      </c>
      <c r="AY1524">
        <v>0</v>
      </c>
      <c r="AZ1524">
        <v>0</v>
      </c>
      <c r="BA1524">
        <v>0</v>
      </c>
      <c r="BB1524">
        <v>0</v>
      </c>
      <c r="BC1524">
        <v>0</v>
      </c>
      <c r="BD1524">
        <v>0</v>
      </c>
      <c r="BE1524">
        <v>0</v>
      </c>
      <c r="BF1524">
        <v>0</v>
      </c>
      <c r="BG1524">
        <v>0</v>
      </c>
      <c r="BH1524">
        <v>3</v>
      </c>
      <c r="BI1524">
        <v>30</v>
      </c>
      <c r="BJ1524">
        <v>11.3</v>
      </c>
      <c r="BK1524">
        <v>30</v>
      </c>
      <c r="BL1524">
        <v>212.12</v>
      </c>
      <c r="BM1524">
        <v>31.82</v>
      </c>
      <c r="BN1524">
        <v>243.94</v>
      </c>
      <c r="BO1524">
        <v>243.94</v>
      </c>
      <c r="BQ1524" t="s">
        <v>1070</v>
      </c>
      <c r="BR1524" t="s">
        <v>84</v>
      </c>
      <c r="BS1524" t="s">
        <v>189</v>
      </c>
      <c r="BV1524" t="s">
        <v>90</v>
      </c>
      <c r="BY1524">
        <v>38358</v>
      </c>
      <c r="CC1524" t="s">
        <v>427</v>
      </c>
      <c r="CD1524">
        <v>1758</v>
      </c>
      <c r="CE1524" t="s">
        <v>166</v>
      </c>
      <c r="CI1524">
        <v>1</v>
      </c>
      <c r="CJ1524" t="s">
        <v>189</v>
      </c>
      <c r="CK1524">
        <v>44</v>
      </c>
      <c r="CL1524" t="s">
        <v>90</v>
      </c>
    </row>
    <row r="1525" spans="1:90" x14ac:dyDescent="0.3">
      <c r="A1525" t="s">
        <v>72</v>
      </c>
      <c r="B1525" t="s">
        <v>73</v>
      </c>
      <c r="C1525" t="s">
        <v>74</v>
      </c>
      <c r="E1525" t="str">
        <f>"080065897741"</f>
        <v>080065897741</v>
      </c>
      <c r="F1525" s="3">
        <v>45819</v>
      </c>
      <c r="G1525">
        <v>202603</v>
      </c>
      <c r="H1525" t="s">
        <v>75</v>
      </c>
      <c r="I1525" t="s">
        <v>76</v>
      </c>
      <c r="J1525" t="s">
        <v>77</v>
      </c>
      <c r="K1525" t="s">
        <v>78</v>
      </c>
      <c r="L1525" t="s">
        <v>350</v>
      </c>
      <c r="M1525" t="s">
        <v>351</v>
      </c>
      <c r="N1525" t="s">
        <v>512</v>
      </c>
      <c r="O1525" t="s">
        <v>82</v>
      </c>
      <c r="P1525" t="str">
        <f>"4170043361                    "</f>
        <v xml:space="preserve">4170043361                    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26.12</v>
      </c>
      <c r="AR1525">
        <v>0</v>
      </c>
      <c r="AS1525">
        <v>0</v>
      </c>
      <c r="AT1525">
        <v>0</v>
      </c>
      <c r="AU1525">
        <v>0</v>
      </c>
      <c r="AV1525">
        <v>0</v>
      </c>
      <c r="AW1525">
        <v>0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>
        <v>0</v>
      </c>
      <c r="BD1525">
        <v>0</v>
      </c>
      <c r="BE1525">
        <v>0</v>
      </c>
      <c r="BF1525">
        <v>0</v>
      </c>
      <c r="BG1525">
        <v>0</v>
      </c>
      <c r="BH1525">
        <v>1</v>
      </c>
      <c r="BI1525">
        <v>2</v>
      </c>
      <c r="BJ1525">
        <v>2.2000000000000002</v>
      </c>
      <c r="BK1525">
        <v>2.5</v>
      </c>
      <c r="BL1525">
        <v>86.86</v>
      </c>
      <c r="BM1525">
        <v>13.03</v>
      </c>
      <c r="BN1525">
        <v>99.89</v>
      </c>
      <c r="BO1525">
        <v>99.89</v>
      </c>
      <c r="BQ1525" t="s">
        <v>513</v>
      </c>
      <c r="BR1525" t="s">
        <v>84</v>
      </c>
      <c r="BS1525" t="s">
        <v>189</v>
      </c>
      <c r="BV1525" t="s">
        <v>90</v>
      </c>
      <c r="BY1525">
        <v>11115</v>
      </c>
      <c r="CC1525" t="s">
        <v>351</v>
      </c>
      <c r="CD1525">
        <v>157</v>
      </c>
      <c r="CE1525" t="s">
        <v>687</v>
      </c>
      <c r="CI1525">
        <v>1</v>
      </c>
      <c r="CJ1525" t="s">
        <v>189</v>
      </c>
      <c r="CK1525">
        <v>21</v>
      </c>
      <c r="CL1525" t="s">
        <v>90</v>
      </c>
    </row>
    <row r="1526" spans="1:90" x14ac:dyDescent="0.3">
      <c r="A1526" t="s">
        <v>72</v>
      </c>
      <c r="B1526" t="s">
        <v>73</v>
      </c>
      <c r="C1526" t="s">
        <v>74</v>
      </c>
      <c r="E1526" t="str">
        <f>"080065897812"</f>
        <v>080065897812</v>
      </c>
      <c r="F1526" s="3">
        <v>45819</v>
      </c>
      <c r="G1526">
        <v>202603</v>
      </c>
      <c r="H1526" t="s">
        <v>75</v>
      </c>
      <c r="I1526" t="s">
        <v>76</v>
      </c>
      <c r="J1526" t="s">
        <v>77</v>
      </c>
      <c r="K1526" t="s">
        <v>78</v>
      </c>
      <c r="L1526" t="s">
        <v>239</v>
      </c>
      <c r="M1526" t="s">
        <v>240</v>
      </c>
      <c r="N1526" t="s">
        <v>241</v>
      </c>
      <c r="O1526" t="s">
        <v>82</v>
      </c>
      <c r="P1526" t="str">
        <f>"4170043374                    "</f>
        <v xml:space="preserve">4170043374                    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40.49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>
        <v>0</v>
      </c>
      <c r="BD1526">
        <v>0</v>
      </c>
      <c r="BE1526">
        <v>0</v>
      </c>
      <c r="BF1526">
        <v>0</v>
      </c>
      <c r="BG1526">
        <v>0</v>
      </c>
      <c r="BH1526">
        <v>1</v>
      </c>
      <c r="BI1526">
        <v>2</v>
      </c>
      <c r="BJ1526">
        <v>0.9</v>
      </c>
      <c r="BK1526">
        <v>2</v>
      </c>
      <c r="BL1526">
        <v>134.65</v>
      </c>
      <c r="BM1526">
        <v>20.2</v>
      </c>
      <c r="BN1526">
        <v>154.85</v>
      </c>
      <c r="BO1526">
        <v>154.85</v>
      </c>
      <c r="BQ1526" t="s">
        <v>242</v>
      </c>
      <c r="BR1526" t="s">
        <v>84</v>
      </c>
      <c r="BS1526" t="s">
        <v>189</v>
      </c>
      <c r="BV1526" t="s">
        <v>90</v>
      </c>
      <c r="BY1526">
        <v>4275</v>
      </c>
      <c r="CC1526" t="s">
        <v>240</v>
      </c>
      <c r="CD1526">
        <v>2531</v>
      </c>
      <c r="CE1526" t="s">
        <v>687</v>
      </c>
      <c r="CI1526">
        <v>1</v>
      </c>
      <c r="CJ1526" t="s">
        <v>189</v>
      </c>
      <c r="CK1526">
        <v>23</v>
      </c>
      <c r="CL1526" t="s">
        <v>90</v>
      </c>
    </row>
    <row r="1527" spans="1:90" x14ac:dyDescent="0.3">
      <c r="A1527" t="s">
        <v>72</v>
      </c>
      <c r="B1527" t="s">
        <v>73</v>
      </c>
      <c r="C1527" t="s">
        <v>74</v>
      </c>
      <c r="E1527" t="str">
        <f>"080065897838"</f>
        <v>080065897838</v>
      </c>
      <c r="F1527" s="3">
        <v>45819</v>
      </c>
      <c r="G1527">
        <v>202603</v>
      </c>
      <c r="H1527" t="s">
        <v>75</v>
      </c>
      <c r="I1527" t="s">
        <v>76</v>
      </c>
      <c r="J1527" t="s">
        <v>77</v>
      </c>
      <c r="K1527" t="s">
        <v>78</v>
      </c>
      <c r="L1527" t="s">
        <v>100</v>
      </c>
      <c r="M1527" t="s">
        <v>101</v>
      </c>
      <c r="N1527" t="s">
        <v>726</v>
      </c>
      <c r="O1527" t="s">
        <v>82</v>
      </c>
      <c r="P1527" t="str">
        <f>"4170043378                    "</f>
        <v xml:space="preserve">4170043378                    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47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  <c r="BE1527">
        <v>0</v>
      </c>
      <c r="BF1527">
        <v>0</v>
      </c>
      <c r="BG1527">
        <v>0</v>
      </c>
      <c r="BH1527">
        <v>1</v>
      </c>
      <c r="BI1527">
        <v>1</v>
      </c>
      <c r="BJ1527">
        <v>4.3</v>
      </c>
      <c r="BK1527">
        <v>4.5</v>
      </c>
      <c r="BL1527">
        <v>156.30000000000001</v>
      </c>
      <c r="BM1527">
        <v>23.45</v>
      </c>
      <c r="BN1527">
        <v>179.75</v>
      </c>
      <c r="BO1527">
        <v>179.75</v>
      </c>
      <c r="BQ1527" t="s">
        <v>727</v>
      </c>
      <c r="BR1527" t="s">
        <v>84</v>
      </c>
      <c r="BS1527" t="s">
        <v>189</v>
      </c>
      <c r="BV1527" t="s">
        <v>90</v>
      </c>
      <c r="BY1527">
        <v>21489</v>
      </c>
      <c r="CC1527" t="s">
        <v>101</v>
      </c>
      <c r="CD1527">
        <v>6001</v>
      </c>
      <c r="CE1527" t="s">
        <v>687</v>
      </c>
      <c r="CI1527">
        <v>1</v>
      </c>
      <c r="CJ1527" t="s">
        <v>189</v>
      </c>
      <c r="CK1527">
        <v>21</v>
      </c>
      <c r="CL1527" t="s">
        <v>90</v>
      </c>
    </row>
    <row r="1528" spans="1:90" x14ac:dyDescent="0.3">
      <c r="A1528" t="s">
        <v>72</v>
      </c>
      <c r="B1528" t="s">
        <v>73</v>
      </c>
      <c r="C1528" t="s">
        <v>74</v>
      </c>
      <c r="E1528" t="str">
        <f>"080065897884"</f>
        <v>080065897884</v>
      </c>
      <c r="F1528" s="3">
        <v>45819</v>
      </c>
      <c r="G1528">
        <v>202603</v>
      </c>
      <c r="H1528" t="s">
        <v>75</v>
      </c>
      <c r="I1528" t="s">
        <v>76</v>
      </c>
      <c r="J1528" t="s">
        <v>77</v>
      </c>
      <c r="K1528" t="s">
        <v>78</v>
      </c>
      <c r="L1528" t="s">
        <v>100</v>
      </c>
      <c r="M1528" t="s">
        <v>101</v>
      </c>
      <c r="N1528" t="s">
        <v>1078</v>
      </c>
      <c r="O1528" t="s">
        <v>82</v>
      </c>
      <c r="P1528" t="str">
        <f>"4170043366                    "</f>
        <v xml:space="preserve">4170043366                    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>
        <v>20.9</v>
      </c>
      <c r="AR1528">
        <v>0</v>
      </c>
      <c r="AS1528">
        <v>0</v>
      </c>
      <c r="AT1528">
        <v>0</v>
      </c>
      <c r="AU1528">
        <v>0</v>
      </c>
      <c r="AV1528">
        <v>0</v>
      </c>
      <c r="AW1528">
        <v>0</v>
      </c>
      <c r="AX1528">
        <v>0</v>
      </c>
      <c r="AY1528">
        <v>0</v>
      </c>
      <c r="AZ1528">
        <v>0</v>
      </c>
      <c r="BA1528">
        <v>0</v>
      </c>
      <c r="BB1528">
        <v>0</v>
      </c>
      <c r="BC1528">
        <v>0</v>
      </c>
      <c r="BD1528">
        <v>0</v>
      </c>
      <c r="BE1528">
        <v>0</v>
      </c>
      <c r="BF1528">
        <v>0</v>
      </c>
      <c r="BG1528">
        <v>0</v>
      </c>
      <c r="BH1528">
        <v>1</v>
      </c>
      <c r="BI1528">
        <v>1</v>
      </c>
      <c r="BJ1528">
        <v>2</v>
      </c>
      <c r="BK1528">
        <v>2</v>
      </c>
      <c r="BL1528">
        <v>69.5</v>
      </c>
      <c r="BM1528">
        <v>10.43</v>
      </c>
      <c r="BN1528">
        <v>79.930000000000007</v>
      </c>
      <c r="BO1528">
        <v>79.930000000000007</v>
      </c>
      <c r="BQ1528" t="s">
        <v>1079</v>
      </c>
      <c r="BR1528" t="s">
        <v>84</v>
      </c>
      <c r="BS1528" t="s">
        <v>189</v>
      </c>
      <c r="BV1528" t="s">
        <v>90</v>
      </c>
      <c r="BY1528">
        <v>9900</v>
      </c>
      <c r="CC1528" t="s">
        <v>101</v>
      </c>
      <c r="CD1528">
        <v>6001</v>
      </c>
      <c r="CE1528" t="s">
        <v>687</v>
      </c>
      <c r="CI1528">
        <v>1</v>
      </c>
      <c r="CJ1528" t="s">
        <v>189</v>
      </c>
      <c r="CK1528">
        <v>21</v>
      </c>
      <c r="CL1528" t="s">
        <v>90</v>
      </c>
    </row>
    <row r="1529" spans="1:90" x14ac:dyDescent="0.3">
      <c r="A1529" t="s">
        <v>72</v>
      </c>
      <c r="B1529" t="s">
        <v>73</v>
      </c>
      <c r="C1529" t="s">
        <v>74</v>
      </c>
      <c r="E1529" t="str">
        <f>"080065897925"</f>
        <v>080065897925</v>
      </c>
      <c r="F1529" s="3">
        <v>45819</v>
      </c>
      <c r="G1529">
        <v>202603</v>
      </c>
      <c r="H1529" t="s">
        <v>75</v>
      </c>
      <c r="I1529" t="s">
        <v>76</v>
      </c>
      <c r="J1529" t="s">
        <v>77</v>
      </c>
      <c r="K1529" t="s">
        <v>78</v>
      </c>
      <c r="L1529" t="s">
        <v>266</v>
      </c>
      <c r="M1529" t="s">
        <v>267</v>
      </c>
      <c r="N1529" t="s">
        <v>923</v>
      </c>
      <c r="O1529" t="s">
        <v>82</v>
      </c>
      <c r="P1529" t="str">
        <f>"4170043480                    "</f>
        <v xml:space="preserve">4170043480                    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>
        <v>135.74</v>
      </c>
      <c r="AR1529">
        <v>0</v>
      </c>
      <c r="AS1529">
        <v>0</v>
      </c>
      <c r="AT1529">
        <v>0</v>
      </c>
      <c r="AU1529">
        <v>0</v>
      </c>
      <c r="AV1529">
        <v>0</v>
      </c>
      <c r="AW1529">
        <v>0</v>
      </c>
      <c r="AX1529">
        <v>0</v>
      </c>
      <c r="AY1529">
        <v>0</v>
      </c>
      <c r="AZ1529">
        <v>0</v>
      </c>
      <c r="BA1529">
        <v>0</v>
      </c>
      <c r="BB1529">
        <v>0</v>
      </c>
      <c r="BC1529">
        <v>0</v>
      </c>
      <c r="BD1529">
        <v>0</v>
      </c>
      <c r="BE1529">
        <v>0</v>
      </c>
      <c r="BF1529">
        <v>0</v>
      </c>
      <c r="BG1529">
        <v>0</v>
      </c>
      <c r="BH1529">
        <v>2</v>
      </c>
      <c r="BI1529">
        <v>10</v>
      </c>
      <c r="BJ1529">
        <v>12.8</v>
      </c>
      <c r="BK1529">
        <v>13</v>
      </c>
      <c r="BL1529">
        <v>451.42</v>
      </c>
      <c r="BM1529">
        <v>67.709999999999994</v>
      </c>
      <c r="BN1529">
        <v>519.13</v>
      </c>
      <c r="BO1529">
        <v>519.13</v>
      </c>
      <c r="BQ1529" t="s">
        <v>924</v>
      </c>
      <c r="BR1529" t="s">
        <v>84</v>
      </c>
      <c r="BS1529" t="s">
        <v>189</v>
      </c>
      <c r="BV1529" t="s">
        <v>90</v>
      </c>
      <c r="BY1529">
        <v>63932</v>
      </c>
      <c r="CC1529" t="s">
        <v>267</v>
      </c>
      <c r="CD1529">
        <v>6229</v>
      </c>
      <c r="CE1529" t="s">
        <v>166</v>
      </c>
      <c r="CI1529">
        <v>1</v>
      </c>
      <c r="CJ1529" t="s">
        <v>189</v>
      </c>
      <c r="CK1529">
        <v>21</v>
      </c>
      <c r="CL1529" t="s">
        <v>90</v>
      </c>
    </row>
    <row r="1530" spans="1:90" x14ac:dyDescent="0.3">
      <c r="A1530" t="s">
        <v>72</v>
      </c>
      <c r="B1530" t="s">
        <v>73</v>
      </c>
      <c r="C1530" t="s">
        <v>74</v>
      </c>
      <c r="E1530" t="str">
        <f>"080065897991"</f>
        <v>080065897991</v>
      </c>
      <c r="F1530" s="3">
        <v>45819</v>
      </c>
      <c r="G1530">
        <v>202603</v>
      </c>
      <c r="H1530" t="s">
        <v>75</v>
      </c>
      <c r="I1530" t="s">
        <v>76</v>
      </c>
      <c r="J1530" t="s">
        <v>77</v>
      </c>
      <c r="K1530" t="s">
        <v>78</v>
      </c>
      <c r="L1530" t="s">
        <v>91</v>
      </c>
      <c r="M1530" t="s">
        <v>92</v>
      </c>
      <c r="N1530" t="s">
        <v>540</v>
      </c>
      <c r="O1530" t="s">
        <v>82</v>
      </c>
      <c r="P1530" t="str">
        <f>"4170043481                    "</f>
        <v xml:space="preserve">4170043481                    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20.9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</v>
      </c>
      <c r="AX1530">
        <v>0</v>
      </c>
      <c r="AY1530">
        <v>0</v>
      </c>
      <c r="AZ1530">
        <v>0</v>
      </c>
      <c r="BA1530">
        <v>0</v>
      </c>
      <c r="BB1530">
        <v>0</v>
      </c>
      <c r="BC1530">
        <v>0</v>
      </c>
      <c r="BD1530">
        <v>0</v>
      </c>
      <c r="BE1530">
        <v>0</v>
      </c>
      <c r="BF1530">
        <v>0</v>
      </c>
      <c r="BG1530">
        <v>0</v>
      </c>
      <c r="BH1530">
        <v>1</v>
      </c>
      <c r="BI1530">
        <v>1</v>
      </c>
      <c r="BJ1530">
        <v>0.2</v>
      </c>
      <c r="BK1530">
        <v>1</v>
      </c>
      <c r="BL1530">
        <v>69.5</v>
      </c>
      <c r="BM1530">
        <v>10.43</v>
      </c>
      <c r="BN1530">
        <v>79.930000000000007</v>
      </c>
      <c r="BO1530">
        <v>79.930000000000007</v>
      </c>
      <c r="BQ1530" t="s">
        <v>541</v>
      </c>
      <c r="BR1530" t="s">
        <v>84</v>
      </c>
      <c r="BS1530" t="s">
        <v>189</v>
      </c>
      <c r="BV1530" t="s">
        <v>90</v>
      </c>
      <c r="BY1530">
        <v>1200</v>
      </c>
      <c r="CC1530" t="s">
        <v>92</v>
      </c>
      <c r="CD1530">
        <v>7441</v>
      </c>
      <c r="CE1530" t="s">
        <v>215</v>
      </c>
      <c r="CI1530">
        <v>1</v>
      </c>
      <c r="CJ1530" t="s">
        <v>189</v>
      </c>
      <c r="CK1530">
        <v>21</v>
      </c>
      <c r="CL1530" t="s">
        <v>90</v>
      </c>
    </row>
    <row r="1531" spans="1:90" x14ac:dyDescent="0.3">
      <c r="A1531" t="s">
        <v>72</v>
      </c>
      <c r="B1531" t="s">
        <v>73</v>
      </c>
      <c r="C1531" t="s">
        <v>74</v>
      </c>
      <c r="E1531" t="str">
        <f>"080065898001"</f>
        <v>080065898001</v>
      </c>
      <c r="F1531" s="3">
        <v>45819</v>
      </c>
      <c r="G1531">
        <v>202603</v>
      </c>
      <c r="H1531" t="s">
        <v>75</v>
      </c>
      <c r="I1531" t="s">
        <v>76</v>
      </c>
      <c r="J1531" t="s">
        <v>77</v>
      </c>
      <c r="K1531" t="s">
        <v>78</v>
      </c>
      <c r="L1531" t="s">
        <v>79</v>
      </c>
      <c r="M1531" t="s">
        <v>80</v>
      </c>
      <c r="N1531" t="s">
        <v>893</v>
      </c>
      <c r="O1531" t="s">
        <v>276</v>
      </c>
      <c r="P1531" t="str">
        <f>"4170043463                    "</f>
        <v xml:space="preserve">4170043463                    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Q1531">
        <v>276.33</v>
      </c>
      <c r="AR1531">
        <v>0</v>
      </c>
      <c r="AS1531">
        <v>0</v>
      </c>
      <c r="AT1531">
        <v>0</v>
      </c>
      <c r="AU1531">
        <v>0</v>
      </c>
      <c r="AV1531">
        <v>0</v>
      </c>
      <c r="AW1531">
        <v>0</v>
      </c>
      <c r="AX1531">
        <v>0</v>
      </c>
      <c r="AY1531">
        <v>0</v>
      </c>
      <c r="AZ1531">
        <v>0</v>
      </c>
      <c r="BA1531">
        <v>0</v>
      </c>
      <c r="BB1531">
        <v>0</v>
      </c>
      <c r="BC1531">
        <v>0</v>
      </c>
      <c r="BD1531">
        <v>0</v>
      </c>
      <c r="BE1531">
        <v>0</v>
      </c>
      <c r="BF1531">
        <v>0</v>
      </c>
      <c r="BG1531">
        <v>0</v>
      </c>
      <c r="BH1531">
        <v>1</v>
      </c>
      <c r="BI1531">
        <v>16</v>
      </c>
      <c r="BJ1531">
        <v>5.9</v>
      </c>
      <c r="BK1531">
        <v>16</v>
      </c>
      <c r="BL1531">
        <v>918.96</v>
      </c>
      <c r="BM1531">
        <v>137.84</v>
      </c>
      <c r="BN1531">
        <v>1056.8</v>
      </c>
      <c r="BO1531">
        <v>1056.8</v>
      </c>
      <c r="BQ1531" t="s">
        <v>894</v>
      </c>
      <c r="BR1531" t="s">
        <v>84</v>
      </c>
      <c r="BS1531" s="3">
        <v>45820</v>
      </c>
      <c r="BT1531" s="4">
        <v>0.35347222222222224</v>
      </c>
      <c r="BU1531" t="s">
        <v>2102</v>
      </c>
      <c r="BV1531" t="s">
        <v>86</v>
      </c>
      <c r="BY1531">
        <v>29406</v>
      </c>
      <c r="CA1531" t="s">
        <v>896</v>
      </c>
      <c r="CC1531" t="s">
        <v>80</v>
      </c>
      <c r="CD1531">
        <v>1748</v>
      </c>
      <c r="CE1531" t="s">
        <v>166</v>
      </c>
      <c r="CI1531">
        <v>1</v>
      </c>
      <c r="CJ1531">
        <v>1</v>
      </c>
      <c r="CK1531">
        <v>34</v>
      </c>
      <c r="CL1531" t="s">
        <v>90</v>
      </c>
    </row>
    <row r="1532" spans="1:90" x14ac:dyDescent="0.3">
      <c r="A1532" t="s">
        <v>72</v>
      </c>
      <c r="B1532" t="s">
        <v>73</v>
      </c>
      <c r="C1532" t="s">
        <v>74</v>
      </c>
      <c r="E1532" t="str">
        <f>"080065898033"</f>
        <v>080065898033</v>
      </c>
      <c r="F1532" s="3">
        <v>45819</v>
      </c>
      <c r="G1532">
        <v>202603</v>
      </c>
      <c r="H1532" t="s">
        <v>75</v>
      </c>
      <c r="I1532" t="s">
        <v>76</v>
      </c>
      <c r="J1532" t="s">
        <v>77</v>
      </c>
      <c r="K1532" t="s">
        <v>78</v>
      </c>
      <c r="L1532" t="s">
        <v>136</v>
      </c>
      <c r="M1532" t="s">
        <v>137</v>
      </c>
      <c r="N1532" t="s">
        <v>806</v>
      </c>
      <c r="O1532" t="s">
        <v>82</v>
      </c>
      <c r="P1532" t="str">
        <f>"4170043456                    "</f>
        <v xml:space="preserve">4170043456                    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>
        <v>20.9</v>
      </c>
      <c r="AR1532">
        <v>0</v>
      </c>
      <c r="AS1532">
        <v>0</v>
      </c>
      <c r="AT1532">
        <v>0</v>
      </c>
      <c r="AU1532">
        <v>0</v>
      </c>
      <c r="AV1532">
        <v>0</v>
      </c>
      <c r="AW1532">
        <v>0</v>
      </c>
      <c r="AX1532">
        <v>0</v>
      </c>
      <c r="AY1532">
        <v>0</v>
      </c>
      <c r="AZ1532">
        <v>0</v>
      </c>
      <c r="BA1532">
        <v>0</v>
      </c>
      <c r="BB1532">
        <v>0</v>
      </c>
      <c r="BC1532">
        <v>0</v>
      </c>
      <c r="BD1532">
        <v>0</v>
      </c>
      <c r="BE1532">
        <v>0</v>
      </c>
      <c r="BF1532">
        <v>0</v>
      </c>
      <c r="BG1532">
        <v>0</v>
      </c>
      <c r="BH1532">
        <v>1</v>
      </c>
      <c r="BI1532">
        <v>1</v>
      </c>
      <c r="BJ1532">
        <v>0.2</v>
      </c>
      <c r="BK1532">
        <v>1</v>
      </c>
      <c r="BL1532">
        <v>69.5</v>
      </c>
      <c r="BM1532">
        <v>10.43</v>
      </c>
      <c r="BN1532">
        <v>79.930000000000007</v>
      </c>
      <c r="BO1532">
        <v>79.930000000000007</v>
      </c>
      <c r="BQ1532" t="s">
        <v>807</v>
      </c>
      <c r="BR1532" t="s">
        <v>84</v>
      </c>
      <c r="BS1532" t="s">
        <v>189</v>
      </c>
      <c r="BV1532" t="s">
        <v>90</v>
      </c>
      <c r="BY1532">
        <v>1200</v>
      </c>
      <c r="CC1532" t="s">
        <v>137</v>
      </c>
      <c r="CD1532">
        <v>5201</v>
      </c>
      <c r="CE1532" t="s">
        <v>215</v>
      </c>
      <c r="CI1532">
        <v>1</v>
      </c>
      <c r="CJ1532" t="s">
        <v>189</v>
      </c>
      <c r="CK1532">
        <v>21</v>
      </c>
      <c r="CL1532" t="s">
        <v>90</v>
      </c>
    </row>
    <row r="1533" spans="1:90" x14ac:dyDescent="0.3">
      <c r="A1533" t="s">
        <v>72</v>
      </c>
      <c r="B1533" t="s">
        <v>73</v>
      </c>
      <c r="C1533" t="s">
        <v>74</v>
      </c>
      <c r="E1533" t="str">
        <f>"080065898073"</f>
        <v>080065898073</v>
      </c>
      <c r="F1533" s="3">
        <v>45819</v>
      </c>
      <c r="G1533">
        <v>202603</v>
      </c>
      <c r="H1533" t="s">
        <v>75</v>
      </c>
      <c r="I1533" t="s">
        <v>76</v>
      </c>
      <c r="J1533" t="s">
        <v>77</v>
      </c>
      <c r="K1533" t="s">
        <v>78</v>
      </c>
      <c r="L1533" t="s">
        <v>331</v>
      </c>
      <c r="M1533" t="s">
        <v>332</v>
      </c>
      <c r="N1533" t="s">
        <v>1053</v>
      </c>
      <c r="O1533" t="s">
        <v>82</v>
      </c>
      <c r="P1533" t="str">
        <f>"4170043477                    "</f>
        <v xml:space="preserve">4170043477                    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20.9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</v>
      </c>
      <c r="AX1533">
        <v>0</v>
      </c>
      <c r="AY1533">
        <v>0</v>
      </c>
      <c r="AZ1533">
        <v>0</v>
      </c>
      <c r="BA1533">
        <v>0</v>
      </c>
      <c r="BB1533">
        <v>0</v>
      </c>
      <c r="BC1533">
        <v>0</v>
      </c>
      <c r="BD1533">
        <v>0</v>
      </c>
      <c r="BE1533">
        <v>0</v>
      </c>
      <c r="BF1533">
        <v>0</v>
      </c>
      <c r="BG1533">
        <v>0</v>
      </c>
      <c r="BH1533">
        <v>1</v>
      </c>
      <c r="BI1533">
        <v>1</v>
      </c>
      <c r="BJ1533">
        <v>0.2</v>
      </c>
      <c r="BK1533">
        <v>1</v>
      </c>
      <c r="BL1533">
        <v>69.5</v>
      </c>
      <c r="BM1533">
        <v>10.43</v>
      </c>
      <c r="BN1533">
        <v>79.930000000000007</v>
      </c>
      <c r="BO1533">
        <v>79.930000000000007</v>
      </c>
      <c r="BQ1533" t="s">
        <v>1054</v>
      </c>
      <c r="BR1533" t="s">
        <v>84</v>
      </c>
      <c r="BS1533" t="s">
        <v>189</v>
      </c>
      <c r="BV1533" t="s">
        <v>90</v>
      </c>
      <c r="BY1533">
        <v>1200</v>
      </c>
      <c r="CC1533" t="s">
        <v>332</v>
      </c>
      <c r="CD1533">
        <v>4001</v>
      </c>
      <c r="CE1533" t="s">
        <v>215</v>
      </c>
      <c r="CI1533">
        <v>1</v>
      </c>
      <c r="CJ1533" t="s">
        <v>189</v>
      </c>
      <c r="CK1533">
        <v>21</v>
      </c>
      <c r="CL1533" t="s">
        <v>90</v>
      </c>
    </row>
    <row r="1534" spans="1:90" x14ac:dyDescent="0.3">
      <c r="A1534" t="s">
        <v>72</v>
      </c>
      <c r="B1534" t="s">
        <v>73</v>
      </c>
      <c r="C1534" t="s">
        <v>74</v>
      </c>
      <c r="E1534" t="str">
        <f>"080065898143"</f>
        <v>080065898143</v>
      </c>
      <c r="F1534" s="3">
        <v>45819</v>
      </c>
      <c r="G1534">
        <v>202603</v>
      </c>
      <c r="H1534" t="s">
        <v>75</v>
      </c>
      <c r="I1534" t="s">
        <v>76</v>
      </c>
      <c r="J1534" t="s">
        <v>77</v>
      </c>
      <c r="K1534" t="s">
        <v>78</v>
      </c>
      <c r="L1534" t="s">
        <v>91</v>
      </c>
      <c r="M1534" t="s">
        <v>92</v>
      </c>
      <c r="N1534" t="s">
        <v>93</v>
      </c>
      <c r="O1534" t="s">
        <v>82</v>
      </c>
      <c r="P1534" t="str">
        <f>"4170043428                    "</f>
        <v xml:space="preserve">4170043428                    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>
        <v>20.9</v>
      </c>
      <c r="AR1534">
        <v>0</v>
      </c>
      <c r="AS1534">
        <v>0</v>
      </c>
      <c r="AT1534">
        <v>0</v>
      </c>
      <c r="AU1534">
        <v>0</v>
      </c>
      <c r="AV1534">
        <v>0</v>
      </c>
      <c r="AW1534">
        <v>0</v>
      </c>
      <c r="AX1534">
        <v>0</v>
      </c>
      <c r="AY1534">
        <v>0</v>
      </c>
      <c r="AZ1534">
        <v>0</v>
      </c>
      <c r="BA1534">
        <v>0</v>
      </c>
      <c r="BB1534">
        <v>0</v>
      </c>
      <c r="BC1534">
        <v>0</v>
      </c>
      <c r="BD1534">
        <v>0</v>
      </c>
      <c r="BE1534">
        <v>0</v>
      </c>
      <c r="BF1534">
        <v>0</v>
      </c>
      <c r="BG1534">
        <v>0</v>
      </c>
      <c r="BH1534">
        <v>1</v>
      </c>
      <c r="BI1534">
        <v>1</v>
      </c>
      <c r="BJ1534">
        <v>0.2</v>
      </c>
      <c r="BK1534">
        <v>1</v>
      </c>
      <c r="BL1534">
        <v>69.5</v>
      </c>
      <c r="BM1534">
        <v>10.43</v>
      </c>
      <c r="BN1534">
        <v>79.930000000000007</v>
      </c>
      <c r="BO1534">
        <v>79.930000000000007</v>
      </c>
      <c r="BQ1534" t="s">
        <v>95</v>
      </c>
      <c r="BR1534" t="s">
        <v>84</v>
      </c>
      <c r="BS1534" t="s">
        <v>189</v>
      </c>
      <c r="BV1534" t="s">
        <v>90</v>
      </c>
      <c r="BY1534">
        <v>1200</v>
      </c>
      <c r="CC1534" t="s">
        <v>92</v>
      </c>
      <c r="CD1534">
        <v>7441</v>
      </c>
      <c r="CE1534" t="s">
        <v>215</v>
      </c>
      <c r="CI1534">
        <v>1</v>
      </c>
      <c r="CJ1534" t="s">
        <v>189</v>
      </c>
      <c r="CK1534">
        <v>21</v>
      </c>
      <c r="CL1534" t="s">
        <v>90</v>
      </c>
    </row>
    <row r="1535" spans="1:90" x14ac:dyDescent="0.3">
      <c r="A1535" t="s">
        <v>72</v>
      </c>
      <c r="B1535" t="s">
        <v>73</v>
      </c>
      <c r="C1535" t="s">
        <v>74</v>
      </c>
      <c r="E1535" t="str">
        <f>"080065898196"</f>
        <v>080065898196</v>
      </c>
      <c r="F1535" s="3">
        <v>45819</v>
      </c>
      <c r="G1535">
        <v>202603</v>
      </c>
      <c r="H1535" t="s">
        <v>75</v>
      </c>
      <c r="I1535" t="s">
        <v>76</v>
      </c>
      <c r="J1535" t="s">
        <v>77</v>
      </c>
      <c r="K1535" t="s">
        <v>78</v>
      </c>
      <c r="L1535" t="s">
        <v>100</v>
      </c>
      <c r="M1535" t="s">
        <v>101</v>
      </c>
      <c r="N1535" t="s">
        <v>123</v>
      </c>
      <c r="O1535" t="s">
        <v>82</v>
      </c>
      <c r="P1535" t="str">
        <f>"4170043423                    "</f>
        <v xml:space="preserve">4170043423                    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>
        <v>20.9</v>
      </c>
      <c r="AR1535">
        <v>0</v>
      </c>
      <c r="AS1535">
        <v>0</v>
      </c>
      <c r="AT1535">
        <v>0</v>
      </c>
      <c r="AU1535">
        <v>0</v>
      </c>
      <c r="AV1535">
        <v>0</v>
      </c>
      <c r="AW1535">
        <v>0</v>
      </c>
      <c r="AX1535">
        <v>0</v>
      </c>
      <c r="AY1535">
        <v>0</v>
      </c>
      <c r="AZ1535">
        <v>0</v>
      </c>
      <c r="BA1535">
        <v>0</v>
      </c>
      <c r="BB1535">
        <v>0</v>
      </c>
      <c r="BC1535">
        <v>0</v>
      </c>
      <c r="BD1535">
        <v>0</v>
      </c>
      <c r="BE1535">
        <v>0</v>
      </c>
      <c r="BF1535">
        <v>0</v>
      </c>
      <c r="BG1535">
        <v>0</v>
      </c>
      <c r="BH1535">
        <v>1</v>
      </c>
      <c r="BI1535">
        <v>1</v>
      </c>
      <c r="BJ1535">
        <v>0.2</v>
      </c>
      <c r="BK1535">
        <v>1</v>
      </c>
      <c r="BL1535">
        <v>69.5</v>
      </c>
      <c r="BM1535">
        <v>10.43</v>
      </c>
      <c r="BN1535">
        <v>79.930000000000007</v>
      </c>
      <c r="BO1535">
        <v>79.930000000000007</v>
      </c>
      <c r="BQ1535" t="s">
        <v>124</v>
      </c>
      <c r="BR1535" t="s">
        <v>84</v>
      </c>
      <c r="BS1535" t="s">
        <v>189</v>
      </c>
      <c r="BV1535" t="s">
        <v>90</v>
      </c>
      <c r="BY1535">
        <v>1200</v>
      </c>
      <c r="CC1535" t="s">
        <v>101</v>
      </c>
      <c r="CD1535">
        <v>6001</v>
      </c>
      <c r="CE1535" t="s">
        <v>215</v>
      </c>
      <c r="CI1535">
        <v>1</v>
      </c>
      <c r="CJ1535" t="s">
        <v>189</v>
      </c>
      <c r="CK1535">
        <v>21</v>
      </c>
      <c r="CL1535" t="s">
        <v>90</v>
      </c>
    </row>
    <row r="1536" spans="1:90" x14ac:dyDescent="0.3">
      <c r="A1536" t="s">
        <v>72</v>
      </c>
      <c r="B1536" t="s">
        <v>73</v>
      </c>
      <c r="C1536" t="s">
        <v>74</v>
      </c>
      <c r="E1536" t="str">
        <f>"080065898248"</f>
        <v>080065898248</v>
      </c>
      <c r="F1536" s="3">
        <v>45819</v>
      </c>
      <c r="G1536">
        <v>202603</v>
      </c>
      <c r="H1536" t="s">
        <v>75</v>
      </c>
      <c r="I1536" t="s">
        <v>76</v>
      </c>
      <c r="J1536" t="s">
        <v>77</v>
      </c>
      <c r="K1536" t="s">
        <v>78</v>
      </c>
      <c r="L1536" t="s">
        <v>350</v>
      </c>
      <c r="M1536" t="s">
        <v>351</v>
      </c>
      <c r="N1536" t="s">
        <v>2103</v>
      </c>
      <c r="O1536" t="s">
        <v>82</v>
      </c>
      <c r="P1536" t="str">
        <f>"4170043422                    "</f>
        <v xml:space="preserve">4170043422                    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>
        <v>20.9</v>
      </c>
      <c r="AR1536">
        <v>0</v>
      </c>
      <c r="AS1536">
        <v>0</v>
      </c>
      <c r="AT1536">
        <v>0</v>
      </c>
      <c r="AU1536">
        <v>0</v>
      </c>
      <c r="AV1536">
        <v>0</v>
      </c>
      <c r="AW1536">
        <v>0</v>
      </c>
      <c r="AX1536">
        <v>0</v>
      </c>
      <c r="AY1536">
        <v>0</v>
      </c>
      <c r="AZ1536">
        <v>0</v>
      </c>
      <c r="BA1536">
        <v>0</v>
      </c>
      <c r="BB1536">
        <v>0</v>
      </c>
      <c r="BC1536">
        <v>0</v>
      </c>
      <c r="BD1536">
        <v>0</v>
      </c>
      <c r="BE1536">
        <v>0</v>
      </c>
      <c r="BF1536">
        <v>0</v>
      </c>
      <c r="BG1536">
        <v>0</v>
      </c>
      <c r="BH1536">
        <v>1</v>
      </c>
      <c r="BI1536">
        <v>1</v>
      </c>
      <c r="BJ1536">
        <v>0.2</v>
      </c>
      <c r="BK1536">
        <v>1</v>
      </c>
      <c r="BL1536">
        <v>69.5</v>
      </c>
      <c r="BM1536">
        <v>10.43</v>
      </c>
      <c r="BN1536">
        <v>79.930000000000007</v>
      </c>
      <c r="BO1536">
        <v>79.930000000000007</v>
      </c>
      <c r="BQ1536" t="s">
        <v>2104</v>
      </c>
      <c r="BR1536" t="s">
        <v>84</v>
      </c>
      <c r="BS1536" t="s">
        <v>189</v>
      </c>
      <c r="BV1536" t="s">
        <v>90</v>
      </c>
      <c r="BY1536">
        <v>1200</v>
      </c>
      <c r="CC1536" t="s">
        <v>351</v>
      </c>
      <c r="CD1536">
        <v>157</v>
      </c>
      <c r="CE1536" t="s">
        <v>215</v>
      </c>
      <c r="CI1536">
        <v>1</v>
      </c>
      <c r="CJ1536" t="s">
        <v>189</v>
      </c>
      <c r="CK1536">
        <v>21</v>
      </c>
      <c r="CL1536" t="s">
        <v>90</v>
      </c>
    </row>
    <row r="1537" spans="1:90" x14ac:dyDescent="0.3">
      <c r="A1537" t="s">
        <v>72</v>
      </c>
      <c r="B1537" t="s">
        <v>73</v>
      </c>
      <c r="C1537" t="s">
        <v>74</v>
      </c>
      <c r="E1537" t="str">
        <f>"080065898294"</f>
        <v>080065898294</v>
      </c>
      <c r="F1537" s="3">
        <v>45819</v>
      </c>
      <c r="G1537">
        <v>202603</v>
      </c>
      <c r="H1537" t="s">
        <v>75</v>
      </c>
      <c r="I1537" t="s">
        <v>76</v>
      </c>
      <c r="J1537" t="s">
        <v>77</v>
      </c>
      <c r="K1537" t="s">
        <v>78</v>
      </c>
      <c r="L1537" t="s">
        <v>266</v>
      </c>
      <c r="M1537" t="s">
        <v>267</v>
      </c>
      <c r="N1537" t="s">
        <v>946</v>
      </c>
      <c r="O1537" t="s">
        <v>82</v>
      </c>
      <c r="P1537" t="str">
        <f>"4170043429                    "</f>
        <v xml:space="preserve">4170043429                    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Q1537">
        <v>20.9</v>
      </c>
      <c r="AR1537">
        <v>0</v>
      </c>
      <c r="AS1537">
        <v>0</v>
      </c>
      <c r="AT1537">
        <v>0</v>
      </c>
      <c r="AU1537">
        <v>0</v>
      </c>
      <c r="AV1537">
        <v>0</v>
      </c>
      <c r="AW1537">
        <v>0</v>
      </c>
      <c r="AX1537">
        <v>0</v>
      </c>
      <c r="AY1537">
        <v>0</v>
      </c>
      <c r="AZ1537">
        <v>0</v>
      </c>
      <c r="BA1537">
        <v>0</v>
      </c>
      <c r="BB1537">
        <v>0</v>
      </c>
      <c r="BC1537">
        <v>0</v>
      </c>
      <c r="BD1537">
        <v>0</v>
      </c>
      <c r="BE1537">
        <v>0</v>
      </c>
      <c r="BF1537">
        <v>0</v>
      </c>
      <c r="BG1537">
        <v>0</v>
      </c>
      <c r="BH1537">
        <v>1</v>
      </c>
      <c r="BI1537">
        <v>1</v>
      </c>
      <c r="BJ1537">
        <v>0.2</v>
      </c>
      <c r="BK1537">
        <v>1</v>
      </c>
      <c r="BL1537">
        <v>69.5</v>
      </c>
      <c r="BM1537">
        <v>10.43</v>
      </c>
      <c r="BN1537">
        <v>79.930000000000007</v>
      </c>
      <c r="BO1537">
        <v>79.930000000000007</v>
      </c>
      <c r="BQ1537" t="s">
        <v>947</v>
      </c>
      <c r="BR1537" t="s">
        <v>84</v>
      </c>
      <c r="BS1537" t="s">
        <v>189</v>
      </c>
      <c r="BV1537" t="s">
        <v>90</v>
      </c>
      <c r="BY1537">
        <v>1200</v>
      </c>
      <c r="CC1537" t="s">
        <v>267</v>
      </c>
      <c r="CD1537">
        <v>6021</v>
      </c>
      <c r="CE1537" t="s">
        <v>215</v>
      </c>
      <c r="CI1537">
        <v>1</v>
      </c>
      <c r="CJ1537" t="s">
        <v>189</v>
      </c>
      <c r="CK1537">
        <v>21</v>
      </c>
      <c r="CL1537" t="s">
        <v>90</v>
      </c>
    </row>
    <row r="1538" spans="1:90" x14ac:dyDescent="0.3">
      <c r="A1538" t="s">
        <v>72</v>
      </c>
      <c r="B1538" t="s">
        <v>73</v>
      </c>
      <c r="C1538" t="s">
        <v>74</v>
      </c>
      <c r="E1538" t="str">
        <f>"080065898680"</f>
        <v>080065898680</v>
      </c>
      <c r="F1538" s="3">
        <v>45819</v>
      </c>
      <c r="G1538">
        <v>202603</v>
      </c>
      <c r="H1538" t="s">
        <v>75</v>
      </c>
      <c r="I1538" t="s">
        <v>76</v>
      </c>
      <c r="J1538" t="s">
        <v>77</v>
      </c>
      <c r="K1538" t="s">
        <v>78</v>
      </c>
      <c r="L1538" t="s">
        <v>159</v>
      </c>
      <c r="M1538" t="s">
        <v>160</v>
      </c>
      <c r="N1538" t="s">
        <v>571</v>
      </c>
      <c r="O1538" t="s">
        <v>82</v>
      </c>
      <c r="P1538" t="str">
        <f>"4170043376                    "</f>
        <v xml:space="preserve">4170043376                    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16.32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</v>
      </c>
      <c r="AX1538">
        <v>0</v>
      </c>
      <c r="AY1538">
        <v>0</v>
      </c>
      <c r="AZ1538">
        <v>0</v>
      </c>
      <c r="BA1538">
        <v>0</v>
      </c>
      <c r="BB1538">
        <v>0</v>
      </c>
      <c r="BC1538">
        <v>0</v>
      </c>
      <c r="BD1538">
        <v>0</v>
      </c>
      <c r="BE1538">
        <v>0</v>
      </c>
      <c r="BF1538">
        <v>0</v>
      </c>
      <c r="BG1538">
        <v>0</v>
      </c>
      <c r="BH1538">
        <v>1</v>
      </c>
      <c r="BI1538">
        <v>1</v>
      </c>
      <c r="BJ1538">
        <v>0.2</v>
      </c>
      <c r="BK1538">
        <v>1</v>
      </c>
      <c r="BL1538">
        <v>54.28</v>
      </c>
      <c r="BM1538">
        <v>8.14</v>
      </c>
      <c r="BN1538">
        <v>62.42</v>
      </c>
      <c r="BO1538">
        <v>62.42</v>
      </c>
      <c r="BQ1538" t="s">
        <v>572</v>
      </c>
      <c r="BR1538" t="s">
        <v>84</v>
      </c>
      <c r="BS1538" t="s">
        <v>189</v>
      </c>
      <c r="BV1538" t="s">
        <v>90</v>
      </c>
      <c r="BY1538">
        <v>1200</v>
      </c>
      <c r="CC1538" t="s">
        <v>160</v>
      </c>
      <c r="CD1538">
        <v>2013</v>
      </c>
      <c r="CE1538" t="s">
        <v>215</v>
      </c>
      <c r="CI1538">
        <v>1</v>
      </c>
      <c r="CJ1538" t="s">
        <v>189</v>
      </c>
      <c r="CK1538">
        <v>22</v>
      </c>
      <c r="CL1538" t="s">
        <v>90</v>
      </c>
    </row>
    <row r="1539" spans="1:90" x14ac:dyDescent="0.3">
      <c r="A1539" t="s">
        <v>72</v>
      </c>
      <c r="B1539" t="s">
        <v>73</v>
      </c>
      <c r="C1539" t="s">
        <v>74</v>
      </c>
      <c r="E1539" t="str">
        <f>"080065898704"</f>
        <v>080065898704</v>
      </c>
      <c r="F1539" s="3">
        <v>45819</v>
      </c>
      <c r="G1539">
        <v>202603</v>
      </c>
      <c r="H1539" t="s">
        <v>75</v>
      </c>
      <c r="I1539" t="s">
        <v>76</v>
      </c>
      <c r="J1539" t="s">
        <v>77</v>
      </c>
      <c r="K1539" t="s">
        <v>78</v>
      </c>
      <c r="L1539" t="s">
        <v>375</v>
      </c>
      <c r="M1539" t="s">
        <v>376</v>
      </c>
      <c r="N1539" t="s">
        <v>2105</v>
      </c>
      <c r="O1539" t="s">
        <v>82</v>
      </c>
      <c r="P1539" t="str">
        <f>"4170043380                    "</f>
        <v xml:space="preserve">4170043380                    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>
        <v>16.32</v>
      </c>
      <c r="AR1539">
        <v>0</v>
      </c>
      <c r="AS1539">
        <v>0</v>
      </c>
      <c r="AT1539">
        <v>0</v>
      </c>
      <c r="AU1539">
        <v>0</v>
      </c>
      <c r="AV1539">
        <v>0</v>
      </c>
      <c r="AW1539">
        <v>0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>
        <v>0</v>
      </c>
      <c r="BD1539">
        <v>0</v>
      </c>
      <c r="BE1539">
        <v>0</v>
      </c>
      <c r="BF1539">
        <v>0</v>
      </c>
      <c r="BG1539">
        <v>0</v>
      </c>
      <c r="BH1539">
        <v>2</v>
      </c>
      <c r="BI1539">
        <v>4</v>
      </c>
      <c r="BJ1539">
        <v>2.6</v>
      </c>
      <c r="BK1539">
        <v>4</v>
      </c>
      <c r="BL1539">
        <v>54.28</v>
      </c>
      <c r="BM1539">
        <v>8.14</v>
      </c>
      <c r="BN1539">
        <v>62.42</v>
      </c>
      <c r="BO1539">
        <v>62.42</v>
      </c>
      <c r="BQ1539" t="s">
        <v>2106</v>
      </c>
      <c r="BR1539" t="s">
        <v>84</v>
      </c>
      <c r="BS1539" t="s">
        <v>189</v>
      </c>
      <c r="BV1539" t="s">
        <v>90</v>
      </c>
      <c r="BY1539">
        <v>12787</v>
      </c>
      <c r="CC1539" t="s">
        <v>376</v>
      </c>
      <c r="CD1539">
        <v>1401</v>
      </c>
      <c r="CE1539" t="s">
        <v>292</v>
      </c>
      <c r="CI1539">
        <v>1</v>
      </c>
      <c r="CJ1539" t="s">
        <v>189</v>
      </c>
      <c r="CK1539">
        <v>22</v>
      </c>
      <c r="CL1539" t="s">
        <v>90</v>
      </c>
    </row>
    <row r="1540" spans="1:90" x14ac:dyDescent="0.3">
      <c r="A1540" t="s">
        <v>72</v>
      </c>
      <c r="B1540" t="s">
        <v>73</v>
      </c>
      <c r="C1540" t="s">
        <v>74</v>
      </c>
      <c r="E1540" t="str">
        <f>"080065898718"</f>
        <v>080065898718</v>
      </c>
      <c r="F1540" s="3">
        <v>45819</v>
      </c>
      <c r="G1540">
        <v>202603</v>
      </c>
      <c r="H1540" t="s">
        <v>75</v>
      </c>
      <c r="I1540" t="s">
        <v>76</v>
      </c>
      <c r="J1540" t="s">
        <v>77</v>
      </c>
      <c r="K1540" t="s">
        <v>78</v>
      </c>
      <c r="L1540" t="s">
        <v>100</v>
      </c>
      <c r="M1540" t="s">
        <v>101</v>
      </c>
      <c r="N1540" t="s">
        <v>391</v>
      </c>
      <c r="O1540" t="s">
        <v>82</v>
      </c>
      <c r="P1540" t="str">
        <f>"4170043416                    "</f>
        <v xml:space="preserve">4170043416                    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20.9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>
        <v>0</v>
      </c>
      <c r="BD1540">
        <v>0</v>
      </c>
      <c r="BE1540">
        <v>0</v>
      </c>
      <c r="BF1540">
        <v>0</v>
      </c>
      <c r="BG1540">
        <v>0</v>
      </c>
      <c r="BH1540">
        <v>1</v>
      </c>
      <c r="BI1540">
        <v>1</v>
      </c>
      <c r="BJ1540">
        <v>0.2</v>
      </c>
      <c r="BK1540">
        <v>1</v>
      </c>
      <c r="BL1540">
        <v>69.5</v>
      </c>
      <c r="BM1540">
        <v>10.43</v>
      </c>
      <c r="BN1540">
        <v>79.930000000000007</v>
      </c>
      <c r="BO1540">
        <v>79.930000000000007</v>
      </c>
      <c r="BQ1540" t="s">
        <v>392</v>
      </c>
      <c r="BR1540" t="s">
        <v>84</v>
      </c>
      <c r="BS1540" t="s">
        <v>189</v>
      </c>
      <c r="BV1540" t="s">
        <v>90</v>
      </c>
      <c r="BY1540">
        <v>1200</v>
      </c>
      <c r="CC1540" t="s">
        <v>101</v>
      </c>
      <c r="CD1540">
        <v>6001</v>
      </c>
      <c r="CE1540" t="s">
        <v>215</v>
      </c>
      <c r="CI1540">
        <v>1</v>
      </c>
      <c r="CJ1540" t="s">
        <v>189</v>
      </c>
      <c r="CK1540">
        <v>21</v>
      </c>
      <c r="CL1540" t="s">
        <v>90</v>
      </c>
    </row>
    <row r="1541" spans="1:90" x14ac:dyDescent="0.3">
      <c r="A1541" t="s">
        <v>72</v>
      </c>
      <c r="B1541" t="s">
        <v>73</v>
      </c>
      <c r="C1541" t="s">
        <v>74</v>
      </c>
      <c r="E1541" t="str">
        <f>"080065898747"</f>
        <v>080065898747</v>
      </c>
      <c r="F1541" s="3">
        <v>45819</v>
      </c>
      <c r="G1541">
        <v>202603</v>
      </c>
      <c r="H1541" t="s">
        <v>75</v>
      </c>
      <c r="I1541" t="s">
        <v>76</v>
      </c>
      <c r="J1541" t="s">
        <v>77</v>
      </c>
      <c r="K1541" t="s">
        <v>78</v>
      </c>
      <c r="L1541" t="s">
        <v>75</v>
      </c>
      <c r="M1541" t="s">
        <v>76</v>
      </c>
      <c r="N1541" t="s">
        <v>1103</v>
      </c>
      <c r="O1541" t="s">
        <v>276</v>
      </c>
      <c r="P1541" t="str">
        <f>"4170043521                    "</f>
        <v xml:space="preserve">4170043521                    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16.329999999999998</v>
      </c>
      <c r="AR1541">
        <v>0</v>
      </c>
      <c r="AS1541">
        <v>0</v>
      </c>
      <c r="AT1541">
        <v>0</v>
      </c>
      <c r="AU1541">
        <v>0</v>
      </c>
      <c r="AV1541">
        <v>0</v>
      </c>
      <c r="AW1541">
        <v>0</v>
      </c>
      <c r="AX1541">
        <v>0</v>
      </c>
      <c r="AY1541">
        <v>0</v>
      </c>
      <c r="AZ1541">
        <v>0</v>
      </c>
      <c r="BA1541">
        <v>0</v>
      </c>
      <c r="BB1541">
        <v>0</v>
      </c>
      <c r="BC1541">
        <v>0</v>
      </c>
      <c r="BD1541">
        <v>0</v>
      </c>
      <c r="BE1541">
        <v>0</v>
      </c>
      <c r="BF1541">
        <v>0</v>
      </c>
      <c r="BG1541">
        <v>0</v>
      </c>
      <c r="BH1541">
        <v>2</v>
      </c>
      <c r="BI1541">
        <v>8</v>
      </c>
      <c r="BJ1541">
        <v>5.6</v>
      </c>
      <c r="BK1541">
        <v>8</v>
      </c>
      <c r="BL1541">
        <v>54.3</v>
      </c>
      <c r="BM1541">
        <v>8.15</v>
      </c>
      <c r="BN1541">
        <v>62.45</v>
      </c>
      <c r="BO1541">
        <v>62.45</v>
      </c>
      <c r="BQ1541" t="s">
        <v>1104</v>
      </c>
      <c r="BR1541" t="s">
        <v>84</v>
      </c>
      <c r="BS1541" t="s">
        <v>189</v>
      </c>
      <c r="BV1541" t="s">
        <v>90</v>
      </c>
      <c r="BY1541">
        <v>27940</v>
      </c>
      <c r="CC1541" t="s">
        <v>76</v>
      </c>
      <c r="CD1541">
        <v>1619</v>
      </c>
      <c r="CE1541" t="s">
        <v>292</v>
      </c>
      <c r="CI1541">
        <v>1</v>
      </c>
      <c r="CJ1541" t="s">
        <v>189</v>
      </c>
      <c r="CK1541">
        <v>32</v>
      </c>
      <c r="CL1541" t="s">
        <v>90</v>
      </c>
    </row>
    <row r="1542" spans="1:90" x14ac:dyDescent="0.3">
      <c r="A1542" t="s">
        <v>72</v>
      </c>
      <c r="B1542" t="s">
        <v>73</v>
      </c>
      <c r="C1542" t="s">
        <v>74</v>
      </c>
      <c r="E1542" t="str">
        <f>"080065898776"</f>
        <v>080065898776</v>
      </c>
      <c r="F1542" s="3">
        <v>45819</v>
      </c>
      <c r="G1542">
        <v>202603</v>
      </c>
      <c r="H1542" t="s">
        <v>75</v>
      </c>
      <c r="I1542" t="s">
        <v>76</v>
      </c>
      <c r="J1542" t="s">
        <v>77</v>
      </c>
      <c r="K1542" t="s">
        <v>78</v>
      </c>
      <c r="L1542" t="s">
        <v>1097</v>
      </c>
      <c r="M1542" t="s">
        <v>1098</v>
      </c>
      <c r="N1542" t="s">
        <v>236</v>
      </c>
      <c r="O1542" t="s">
        <v>82</v>
      </c>
      <c r="P1542" t="str">
        <f>"4170043476                    "</f>
        <v xml:space="preserve">4170043476                    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>
        <v>16.32</v>
      </c>
      <c r="AR1542">
        <v>0</v>
      </c>
      <c r="AS1542">
        <v>0</v>
      </c>
      <c r="AT1542">
        <v>0</v>
      </c>
      <c r="AU1542">
        <v>0</v>
      </c>
      <c r="AV1542">
        <v>0</v>
      </c>
      <c r="AW1542">
        <v>0</v>
      </c>
      <c r="AX1542">
        <v>0</v>
      </c>
      <c r="AY1542">
        <v>0</v>
      </c>
      <c r="AZ1542">
        <v>0</v>
      </c>
      <c r="BA1542">
        <v>0</v>
      </c>
      <c r="BB1542">
        <v>0</v>
      </c>
      <c r="BC1542">
        <v>0</v>
      </c>
      <c r="BD1542">
        <v>0</v>
      </c>
      <c r="BE1542">
        <v>0</v>
      </c>
      <c r="BF1542">
        <v>0</v>
      </c>
      <c r="BG1542">
        <v>0</v>
      </c>
      <c r="BH1542">
        <v>1</v>
      </c>
      <c r="BI1542">
        <v>2</v>
      </c>
      <c r="BJ1542">
        <v>1.9</v>
      </c>
      <c r="BK1542">
        <v>2</v>
      </c>
      <c r="BL1542">
        <v>54.28</v>
      </c>
      <c r="BM1542">
        <v>8.14</v>
      </c>
      <c r="BN1542">
        <v>62.42</v>
      </c>
      <c r="BO1542">
        <v>62.42</v>
      </c>
      <c r="BQ1542" t="s">
        <v>237</v>
      </c>
      <c r="BR1542" t="s">
        <v>84</v>
      </c>
      <c r="BS1542" t="s">
        <v>189</v>
      </c>
      <c r="BV1542" t="s">
        <v>90</v>
      </c>
      <c r="BY1542">
        <v>9600</v>
      </c>
      <c r="CC1542" t="s">
        <v>1098</v>
      </c>
      <c r="CD1542">
        <v>1451</v>
      </c>
      <c r="CE1542" t="s">
        <v>687</v>
      </c>
      <c r="CI1542">
        <v>1</v>
      </c>
      <c r="CJ1542" t="s">
        <v>189</v>
      </c>
      <c r="CK1542">
        <v>22</v>
      </c>
      <c r="CL1542" t="s">
        <v>90</v>
      </c>
    </row>
    <row r="1543" spans="1:90" x14ac:dyDescent="0.3">
      <c r="A1543" t="s">
        <v>72</v>
      </c>
      <c r="B1543" t="s">
        <v>73</v>
      </c>
      <c r="C1543" t="s">
        <v>74</v>
      </c>
      <c r="E1543" t="str">
        <f>"080065898810"</f>
        <v>080065898810</v>
      </c>
      <c r="F1543" s="3">
        <v>45819</v>
      </c>
      <c r="G1543">
        <v>202603</v>
      </c>
      <c r="H1543" t="s">
        <v>75</v>
      </c>
      <c r="I1543" t="s">
        <v>76</v>
      </c>
      <c r="J1543" t="s">
        <v>77</v>
      </c>
      <c r="K1543" t="s">
        <v>78</v>
      </c>
      <c r="L1543" t="s">
        <v>331</v>
      </c>
      <c r="M1543" t="s">
        <v>332</v>
      </c>
      <c r="N1543" t="s">
        <v>2107</v>
      </c>
      <c r="O1543" t="s">
        <v>82</v>
      </c>
      <c r="P1543" t="str">
        <f>"4170043379                    "</f>
        <v xml:space="preserve">4170043379                    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93.98</v>
      </c>
      <c r="AR1543">
        <v>0</v>
      </c>
      <c r="AS1543">
        <v>0</v>
      </c>
      <c r="AT1543">
        <v>0</v>
      </c>
      <c r="AU1543">
        <v>0</v>
      </c>
      <c r="AV1543">
        <v>0</v>
      </c>
      <c r="AW1543">
        <v>0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>
        <v>0</v>
      </c>
      <c r="BD1543">
        <v>0</v>
      </c>
      <c r="BE1543">
        <v>0</v>
      </c>
      <c r="BF1543">
        <v>0</v>
      </c>
      <c r="BG1543">
        <v>0</v>
      </c>
      <c r="BH1543">
        <v>1</v>
      </c>
      <c r="BI1543">
        <v>6</v>
      </c>
      <c r="BJ1543">
        <v>8.9</v>
      </c>
      <c r="BK1543">
        <v>9</v>
      </c>
      <c r="BL1543">
        <v>312.54000000000002</v>
      </c>
      <c r="BM1543">
        <v>46.88</v>
      </c>
      <c r="BN1543">
        <v>359.42</v>
      </c>
      <c r="BO1543">
        <v>359.42</v>
      </c>
      <c r="BQ1543" t="s">
        <v>2108</v>
      </c>
      <c r="BR1543" t="s">
        <v>84</v>
      </c>
      <c r="BS1543" t="s">
        <v>189</v>
      </c>
      <c r="BV1543" t="s">
        <v>90</v>
      </c>
      <c r="BY1543">
        <v>44640</v>
      </c>
      <c r="CC1543" t="s">
        <v>332</v>
      </c>
      <c r="CD1543">
        <v>4001</v>
      </c>
      <c r="CE1543" t="s">
        <v>687</v>
      </c>
      <c r="CI1543">
        <v>1</v>
      </c>
      <c r="CJ1543" t="s">
        <v>189</v>
      </c>
      <c r="CK1543">
        <v>21</v>
      </c>
      <c r="CL1543" t="s">
        <v>90</v>
      </c>
    </row>
    <row r="1544" spans="1:90" x14ac:dyDescent="0.3">
      <c r="A1544" t="s">
        <v>72</v>
      </c>
      <c r="B1544" t="s">
        <v>73</v>
      </c>
      <c r="C1544" t="s">
        <v>74</v>
      </c>
      <c r="E1544" t="str">
        <f>"080065898877"</f>
        <v>080065898877</v>
      </c>
      <c r="F1544" s="3">
        <v>45819</v>
      </c>
      <c r="G1544">
        <v>202603</v>
      </c>
      <c r="H1544" t="s">
        <v>75</v>
      </c>
      <c r="I1544" t="s">
        <v>76</v>
      </c>
      <c r="J1544" t="s">
        <v>77</v>
      </c>
      <c r="K1544" t="s">
        <v>78</v>
      </c>
      <c r="L1544" t="s">
        <v>461</v>
      </c>
      <c r="M1544" t="s">
        <v>462</v>
      </c>
      <c r="N1544" t="s">
        <v>2109</v>
      </c>
      <c r="O1544" t="s">
        <v>94</v>
      </c>
      <c r="P1544" t="str">
        <f>"4170043338                    "</f>
        <v xml:space="preserve">4170043338                    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31.18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</v>
      </c>
      <c r="AX1544">
        <v>0</v>
      </c>
      <c r="AY1544">
        <v>0</v>
      </c>
      <c r="AZ1544">
        <v>0</v>
      </c>
      <c r="BA1544">
        <v>0</v>
      </c>
      <c r="BB1544">
        <v>0</v>
      </c>
      <c r="BC1544">
        <v>0</v>
      </c>
      <c r="BD1544">
        <v>0</v>
      </c>
      <c r="BE1544">
        <v>0</v>
      </c>
      <c r="BF1544">
        <v>0</v>
      </c>
      <c r="BG1544">
        <v>0</v>
      </c>
      <c r="BH1544">
        <v>1</v>
      </c>
      <c r="BI1544">
        <v>6</v>
      </c>
      <c r="BJ1544">
        <v>13.8</v>
      </c>
      <c r="BK1544">
        <v>14</v>
      </c>
      <c r="BL1544">
        <v>109.27</v>
      </c>
      <c r="BM1544">
        <v>16.39</v>
      </c>
      <c r="BN1544">
        <v>125.66</v>
      </c>
      <c r="BO1544">
        <v>125.66</v>
      </c>
      <c r="BQ1544" t="s">
        <v>2110</v>
      </c>
      <c r="BR1544" t="s">
        <v>84</v>
      </c>
      <c r="BS1544" t="s">
        <v>189</v>
      </c>
      <c r="BV1544" t="s">
        <v>90</v>
      </c>
      <c r="BY1544">
        <v>69120</v>
      </c>
      <c r="CC1544" t="s">
        <v>462</v>
      </c>
      <c r="CD1544">
        <v>1682</v>
      </c>
      <c r="CE1544" t="s">
        <v>687</v>
      </c>
      <c r="CI1544">
        <v>1</v>
      </c>
      <c r="CJ1544" t="s">
        <v>189</v>
      </c>
      <c r="CK1544">
        <v>42</v>
      </c>
      <c r="CL1544" t="s">
        <v>90</v>
      </c>
    </row>
    <row r="1545" spans="1:90" x14ac:dyDescent="0.3">
      <c r="A1545" t="s">
        <v>72</v>
      </c>
      <c r="B1545" t="s">
        <v>73</v>
      </c>
      <c r="C1545" t="s">
        <v>74</v>
      </c>
      <c r="E1545" t="str">
        <f>"R080065811745"</f>
        <v>R080065811745</v>
      </c>
      <c r="F1545" s="3">
        <v>45819</v>
      </c>
      <c r="G1545">
        <v>202603</v>
      </c>
      <c r="H1545" t="s">
        <v>2111</v>
      </c>
      <c r="I1545" t="s">
        <v>2112</v>
      </c>
      <c r="J1545" t="s">
        <v>1637</v>
      </c>
      <c r="K1545" t="s">
        <v>78</v>
      </c>
      <c r="L1545" t="s">
        <v>284</v>
      </c>
      <c r="M1545" t="s">
        <v>285</v>
      </c>
      <c r="N1545" t="s">
        <v>1637</v>
      </c>
      <c r="O1545" t="s">
        <v>94</v>
      </c>
      <c r="P1545" t="str">
        <f>"4170042718                    "</f>
        <v xml:space="preserve">4170042718                    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16.739999999999998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57</v>
      </c>
      <c r="AR1545">
        <v>0</v>
      </c>
      <c r="AS1545">
        <v>0</v>
      </c>
      <c r="AT1545">
        <v>0</v>
      </c>
      <c r="AU1545">
        <v>0</v>
      </c>
      <c r="AV1545">
        <v>0</v>
      </c>
      <c r="AW1545">
        <v>0</v>
      </c>
      <c r="AX1545">
        <v>0</v>
      </c>
      <c r="AY1545">
        <v>0</v>
      </c>
      <c r="AZ1545">
        <v>0</v>
      </c>
      <c r="BA1545">
        <v>0</v>
      </c>
      <c r="BB1545">
        <v>0</v>
      </c>
      <c r="BC1545">
        <v>0</v>
      </c>
      <c r="BD1545">
        <v>0</v>
      </c>
      <c r="BE1545">
        <v>0</v>
      </c>
      <c r="BF1545">
        <v>0</v>
      </c>
      <c r="BG1545">
        <v>0</v>
      </c>
      <c r="BH1545">
        <v>1</v>
      </c>
      <c r="BI1545">
        <v>1</v>
      </c>
      <c r="BJ1545">
        <v>0.2</v>
      </c>
      <c r="BK1545">
        <v>1</v>
      </c>
      <c r="BL1545">
        <v>211.86</v>
      </c>
      <c r="BM1545">
        <v>31.78</v>
      </c>
      <c r="BN1545">
        <v>243.64</v>
      </c>
      <c r="BO1545">
        <v>243.64</v>
      </c>
      <c r="BQ1545" t="s">
        <v>2113</v>
      </c>
      <c r="BR1545" t="s">
        <v>1638</v>
      </c>
      <c r="BS1545" t="s">
        <v>189</v>
      </c>
      <c r="BV1545" t="s">
        <v>90</v>
      </c>
      <c r="BY1545">
        <v>1200</v>
      </c>
      <c r="BZ1545" t="s">
        <v>2114</v>
      </c>
      <c r="CC1545" t="s">
        <v>285</v>
      </c>
      <c r="CD1545">
        <v>1559</v>
      </c>
      <c r="CE1545" t="s">
        <v>215</v>
      </c>
      <c r="CI1545">
        <v>1</v>
      </c>
      <c r="CJ1545" t="s">
        <v>189</v>
      </c>
      <c r="CK1545">
        <v>43</v>
      </c>
      <c r="CL1545" t="s">
        <v>90</v>
      </c>
    </row>
    <row r="1546" spans="1:90" x14ac:dyDescent="0.3">
      <c r="A1546" t="s">
        <v>72</v>
      </c>
      <c r="B1546" t="s">
        <v>73</v>
      </c>
      <c r="C1546" t="s">
        <v>74</v>
      </c>
      <c r="E1546" t="str">
        <f>"080065900517"</f>
        <v>080065900517</v>
      </c>
      <c r="F1546" s="3">
        <v>45819</v>
      </c>
      <c r="G1546">
        <v>202603</v>
      </c>
      <c r="H1546" t="s">
        <v>75</v>
      </c>
      <c r="I1546" t="s">
        <v>76</v>
      </c>
      <c r="J1546" t="s">
        <v>77</v>
      </c>
      <c r="K1546" t="s">
        <v>78</v>
      </c>
      <c r="L1546" t="s">
        <v>375</v>
      </c>
      <c r="M1546" t="s">
        <v>376</v>
      </c>
      <c r="N1546" t="s">
        <v>1279</v>
      </c>
      <c r="O1546" t="s">
        <v>276</v>
      </c>
      <c r="P1546" t="str">
        <f>"4170043388                    "</f>
        <v xml:space="preserve">4170043388                    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>
        <v>19.989999999999998</v>
      </c>
      <c r="AR1546">
        <v>0</v>
      </c>
      <c r="AS1546">
        <v>0</v>
      </c>
      <c r="AT1546">
        <v>0</v>
      </c>
      <c r="AU1546">
        <v>0</v>
      </c>
      <c r="AV1546">
        <v>0</v>
      </c>
      <c r="AW1546">
        <v>0</v>
      </c>
      <c r="AX1546">
        <v>0</v>
      </c>
      <c r="AY1546">
        <v>0</v>
      </c>
      <c r="AZ1546">
        <v>0</v>
      </c>
      <c r="BA1546">
        <v>0</v>
      </c>
      <c r="BB1546">
        <v>0</v>
      </c>
      <c r="BC1546">
        <v>0</v>
      </c>
      <c r="BD1546">
        <v>0</v>
      </c>
      <c r="BE1546">
        <v>0</v>
      </c>
      <c r="BF1546">
        <v>0</v>
      </c>
      <c r="BG1546">
        <v>0</v>
      </c>
      <c r="BH1546">
        <v>2</v>
      </c>
      <c r="BI1546">
        <v>10</v>
      </c>
      <c r="BJ1546">
        <v>5.5</v>
      </c>
      <c r="BK1546">
        <v>10</v>
      </c>
      <c r="BL1546">
        <v>66.48</v>
      </c>
      <c r="BM1546">
        <v>9.9700000000000006</v>
      </c>
      <c r="BN1546">
        <v>76.45</v>
      </c>
      <c r="BO1546">
        <v>76.45</v>
      </c>
      <c r="BQ1546" t="s">
        <v>1280</v>
      </c>
      <c r="BR1546" t="s">
        <v>84</v>
      </c>
      <c r="BS1546" t="s">
        <v>189</v>
      </c>
      <c r="BV1546" t="s">
        <v>90</v>
      </c>
      <c r="BY1546">
        <v>13720</v>
      </c>
      <c r="CC1546" t="s">
        <v>376</v>
      </c>
      <c r="CD1546">
        <v>1422</v>
      </c>
      <c r="CE1546" t="s">
        <v>2028</v>
      </c>
      <c r="CI1546">
        <v>1</v>
      </c>
      <c r="CJ1546" t="s">
        <v>189</v>
      </c>
      <c r="CK1546">
        <v>32</v>
      </c>
      <c r="CL1546" t="s">
        <v>90</v>
      </c>
    </row>
    <row r="1547" spans="1:90" x14ac:dyDescent="0.3">
      <c r="A1547" t="s">
        <v>72</v>
      </c>
      <c r="B1547" t="s">
        <v>73</v>
      </c>
      <c r="C1547" t="s">
        <v>74</v>
      </c>
      <c r="E1547" t="str">
        <f>"080065900528"</f>
        <v>080065900528</v>
      </c>
      <c r="F1547" s="3">
        <v>45819</v>
      </c>
      <c r="G1547">
        <v>202603</v>
      </c>
      <c r="H1547" t="s">
        <v>75</v>
      </c>
      <c r="I1547" t="s">
        <v>76</v>
      </c>
      <c r="J1547" t="s">
        <v>77</v>
      </c>
      <c r="K1547" t="s">
        <v>78</v>
      </c>
      <c r="L1547" t="s">
        <v>100</v>
      </c>
      <c r="M1547" t="s">
        <v>101</v>
      </c>
      <c r="N1547" t="s">
        <v>123</v>
      </c>
      <c r="O1547" t="s">
        <v>82</v>
      </c>
      <c r="P1547" t="str">
        <f>"4170043352                    "</f>
        <v xml:space="preserve">4170043352                    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20.9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>
        <v>0</v>
      </c>
      <c r="BD1547">
        <v>0</v>
      </c>
      <c r="BE1547">
        <v>0</v>
      </c>
      <c r="BF1547">
        <v>0</v>
      </c>
      <c r="BG1547">
        <v>0</v>
      </c>
      <c r="BH1547">
        <v>1</v>
      </c>
      <c r="BI1547">
        <v>1</v>
      </c>
      <c r="BJ1547">
        <v>0.2</v>
      </c>
      <c r="BK1547">
        <v>1</v>
      </c>
      <c r="BL1547">
        <v>69.5</v>
      </c>
      <c r="BM1547">
        <v>10.43</v>
      </c>
      <c r="BN1547">
        <v>79.930000000000007</v>
      </c>
      <c r="BO1547">
        <v>79.930000000000007</v>
      </c>
      <c r="BQ1547" t="s">
        <v>124</v>
      </c>
      <c r="BR1547" t="s">
        <v>84</v>
      </c>
      <c r="BS1547" t="s">
        <v>189</v>
      </c>
      <c r="BV1547" t="s">
        <v>90</v>
      </c>
      <c r="BY1547">
        <v>1200</v>
      </c>
      <c r="CC1547" t="s">
        <v>101</v>
      </c>
      <c r="CD1547">
        <v>6001</v>
      </c>
      <c r="CE1547" t="s">
        <v>215</v>
      </c>
      <c r="CI1547">
        <v>1</v>
      </c>
      <c r="CJ1547" t="s">
        <v>189</v>
      </c>
      <c r="CK1547">
        <v>21</v>
      </c>
      <c r="CL1547" t="s">
        <v>90</v>
      </c>
    </row>
    <row r="1548" spans="1:90" x14ac:dyDescent="0.3">
      <c r="A1548" t="s">
        <v>72</v>
      </c>
      <c r="B1548" t="s">
        <v>73</v>
      </c>
      <c r="C1548" t="s">
        <v>74</v>
      </c>
      <c r="E1548" t="str">
        <f>"080065900538"</f>
        <v>080065900538</v>
      </c>
      <c r="F1548" s="3">
        <v>45819</v>
      </c>
      <c r="G1548">
        <v>202603</v>
      </c>
      <c r="H1548" t="s">
        <v>75</v>
      </c>
      <c r="I1548" t="s">
        <v>76</v>
      </c>
      <c r="J1548" t="s">
        <v>77</v>
      </c>
      <c r="K1548" t="s">
        <v>78</v>
      </c>
      <c r="L1548" t="s">
        <v>375</v>
      </c>
      <c r="M1548" t="s">
        <v>376</v>
      </c>
      <c r="N1548" t="s">
        <v>498</v>
      </c>
      <c r="O1548" t="s">
        <v>82</v>
      </c>
      <c r="P1548" t="str">
        <f>"4170043475                    "</f>
        <v xml:space="preserve">4170043475                    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16.32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  <c r="BE1548">
        <v>0</v>
      </c>
      <c r="BF1548">
        <v>0</v>
      </c>
      <c r="BG1548">
        <v>0</v>
      </c>
      <c r="BH1548">
        <v>1</v>
      </c>
      <c r="BI1548">
        <v>5</v>
      </c>
      <c r="BJ1548">
        <v>3.4</v>
      </c>
      <c r="BK1548">
        <v>5</v>
      </c>
      <c r="BL1548">
        <v>54.28</v>
      </c>
      <c r="BM1548">
        <v>8.14</v>
      </c>
      <c r="BN1548">
        <v>62.42</v>
      </c>
      <c r="BO1548">
        <v>62.42</v>
      </c>
      <c r="BQ1548" t="s">
        <v>499</v>
      </c>
      <c r="BR1548" t="s">
        <v>84</v>
      </c>
      <c r="BS1548" t="s">
        <v>189</v>
      </c>
      <c r="BV1548" t="s">
        <v>90</v>
      </c>
      <c r="BY1548">
        <v>16965</v>
      </c>
      <c r="CC1548" t="s">
        <v>376</v>
      </c>
      <c r="CD1548">
        <v>1428</v>
      </c>
      <c r="CE1548" t="s">
        <v>687</v>
      </c>
      <c r="CI1548">
        <v>1</v>
      </c>
      <c r="CJ1548" t="s">
        <v>189</v>
      </c>
      <c r="CK1548">
        <v>22</v>
      </c>
      <c r="CL1548" t="s">
        <v>90</v>
      </c>
    </row>
    <row r="1549" spans="1:90" x14ac:dyDescent="0.3">
      <c r="A1549" t="s">
        <v>72</v>
      </c>
      <c r="B1549" t="s">
        <v>73</v>
      </c>
      <c r="C1549" t="s">
        <v>74</v>
      </c>
      <c r="E1549" t="str">
        <f>"080065900546"</f>
        <v>080065900546</v>
      </c>
      <c r="F1549" s="3">
        <v>45819</v>
      </c>
      <c r="G1549">
        <v>202603</v>
      </c>
      <c r="H1549" t="s">
        <v>75</v>
      </c>
      <c r="I1549" t="s">
        <v>76</v>
      </c>
      <c r="J1549" t="s">
        <v>77</v>
      </c>
      <c r="K1549" t="s">
        <v>78</v>
      </c>
      <c r="L1549" t="s">
        <v>75</v>
      </c>
      <c r="M1549" t="s">
        <v>76</v>
      </c>
      <c r="N1549" t="s">
        <v>147</v>
      </c>
      <c r="O1549" t="s">
        <v>82</v>
      </c>
      <c r="P1549" t="str">
        <f>"4170043402                    "</f>
        <v xml:space="preserve">4170043402                    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16.32</v>
      </c>
      <c r="AR1549">
        <v>0</v>
      </c>
      <c r="AS1549">
        <v>0</v>
      </c>
      <c r="AT1549">
        <v>0</v>
      </c>
      <c r="AU1549">
        <v>0</v>
      </c>
      <c r="AV1549">
        <v>0</v>
      </c>
      <c r="AW1549">
        <v>0</v>
      </c>
      <c r="AX1549">
        <v>0</v>
      </c>
      <c r="AY1549">
        <v>0</v>
      </c>
      <c r="AZ1549">
        <v>0</v>
      </c>
      <c r="BA1549">
        <v>0</v>
      </c>
      <c r="BB1549">
        <v>0</v>
      </c>
      <c r="BC1549">
        <v>0</v>
      </c>
      <c r="BD1549">
        <v>0</v>
      </c>
      <c r="BE1549">
        <v>0</v>
      </c>
      <c r="BF1549">
        <v>0</v>
      </c>
      <c r="BG1549">
        <v>0</v>
      </c>
      <c r="BH1549">
        <v>1</v>
      </c>
      <c r="BI1549">
        <v>1</v>
      </c>
      <c r="BJ1549">
        <v>0.2</v>
      </c>
      <c r="BK1549">
        <v>1</v>
      </c>
      <c r="BL1549">
        <v>54.28</v>
      </c>
      <c r="BM1549">
        <v>8.14</v>
      </c>
      <c r="BN1549">
        <v>62.42</v>
      </c>
      <c r="BO1549">
        <v>62.42</v>
      </c>
      <c r="BQ1549" t="s">
        <v>148</v>
      </c>
      <c r="BR1549" t="s">
        <v>84</v>
      </c>
      <c r="BS1549" s="3">
        <v>45820</v>
      </c>
      <c r="BT1549" s="4">
        <v>0.30416666666666664</v>
      </c>
      <c r="BU1549" t="s">
        <v>1114</v>
      </c>
      <c r="BV1549" t="s">
        <v>86</v>
      </c>
      <c r="BY1549">
        <v>1200</v>
      </c>
      <c r="CA1549" t="s">
        <v>115</v>
      </c>
      <c r="CC1549" t="s">
        <v>76</v>
      </c>
      <c r="CD1549">
        <v>1600</v>
      </c>
      <c r="CE1549" t="s">
        <v>215</v>
      </c>
      <c r="CI1549">
        <v>1</v>
      </c>
      <c r="CJ1549">
        <v>1</v>
      </c>
      <c r="CK1549">
        <v>22</v>
      </c>
      <c r="CL1549" t="s">
        <v>90</v>
      </c>
    </row>
    <row r="1550" spans="1:90" x14ac:dyDescent="0.3">
      <c r="A1550" t="s">
        <v>72</v>
      </c>
      <c r="B1550" t="s">
        <v>73</v>
      </c>
      <c r="C1550" t="s">
        <v>74</v>
      </c>
      <c r="E1550" t="str">
        <f>"080065900581"</f>
        <v>080065900581</v>
      </c>
      <c r="F1550" s="3">
        <v>45819</v>
      </c>
      <c r="G1550">
        <v>202603</v>
      </c>
      <c r="H1550" t="s">
        <v>75</v>
      </c>
      <c r="I1550" t="s">
        <v>76</v>
      </c>
      <c r="J1550" t="s">
        <v>77</v>
      </c>
      <c r="K1550" t="s">
        <v>78</v>
      </c>
      <c r="L1550" t="s">
        <v>91</v>
      </c>
      <c r="M1550" t="s">
        <v>92</v>
      </c>
      <c r="N1550" t="s">
        <v>327</v>
      </c>
      <c r="O1550" t="s">
        <v>82</v>
      </c>
      <c r="P1550" t="str">
        <f>"4170043478                    "</f>
        <v xml:space="preserve">4170043478                    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20.9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0</v>
      </c>
      <c r="AZ1550">
        <v>0</v>
      </c>
      <c r="BA1550">
        <v>0</v>
      </c>
      <c r="BB1550">
        <v>0</v>
      </c>
      <c r="BC1550">
        <v>0</v>
      </c>
      <c r="BD1550">
        <v>0</v>
      </c>
      <c r="BE1550">
        <v>0</v>
      </c>
      <c r="BF1550">
        <v>0</v>
      </c>
      <c r="BG1550">
        <v>0</v>
      </c>
      <c r="BH1550">
        <v>1</v>
      </c>
      <c r="BI1550">
        <v>1</v>
      </c>
      <c r="BJ1550">
        <v>0.2</v>
      </c>
      <c r="BK1550">
        <v>1</v>
      </c>
      <c r="BL1550">
        <v>69.5</v>
      </c>
      <c r="BM1550">
        <v>10.43</v>
      </c>
      <c r="BN1550">
        <v>79.930000000000007</v>
      </c>
      <c r="BO1550">
        <v>79.930000000000007</v>
      </c>
      <c r="BQ1550" t="s">
        <v>328</v>
      </c>
      <c r="BR1550" t="s">
        <v>84</v>
      </c>
      <c r="BS1550" s="3">
        <v>45820</v>
      </c>
      <c r="BT1550" s="4">
        <v>0.33541666666666664</v>
      </c>
      <c r="BU1550" t="s">
        <v>1035</v>
      </c>
      <c r="BV1550" t="s">
        <v>86</v>
      </c>
      <c r="BY1550">
        <v>1200</v>
      </c>
      <c r="CA1550" t="s">
        <v>330</v>
      </c>
      <c r="CC1550" t="s">
        <v>92</v>
      </c>
      <c r="CD1550">
        <v>7530</v>
      </c>
      <c r="CE1550" t="s">
        <v>215</v>
      </c>
      <c r="CI1550">
        <v>1</v>
      </c>
      <c r="CJ1550">
        <v>1</v>
      </c>
      <c r="CK1550">
        <v>21</v>
      </c>
      <c r="CL1550" t="s">
        <v>90</v>
      </c>
    </row>
    <row r="1551" spans="1:90" x14ac:dyDescent="0.3">
      <c r="A1551" t="s">
        <v>72</v>
      </c>
      <c r="B1551" t="s">
        <v>73</v>
      </c>
      <c r="C1551" t="s">
        <v>74</v>
      </c>
      <c r="E1551" t="str">
        <f>"080065900592"</f>
        <v>080065900592</v>
      </c>
      <c r="F1551" s="3">
        <v>45819</v>
      </c>
      <c r="G1551">
        <v>202603</v>
      </c>
      <c r="H1551" t="s">
        <v>75</v>
      </c>
      <c r="I1551" t="s">
        <v>76</v>
      </c>
      <c r="J1551" t="s">
        <v>77</v>
      </c>
      <c r="K1551" t="s">
        <v>78</v>
      </c>
      <c r="L1551" t="s">
        <v>91</v>
      </c>
      <c r="M1551" t="s">
        <v>92</v>
      </c>
      <c r="N1551" t="s">
        <v>2076</v>
      </c>
      <c r="O1551" t="s">
        <v>82</v>
      </c>
      <c r="P1551" t="str">
        <f>"4170043447                    "</f>
        <v xml:space="preserve">4170043447                    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20.9</v>
      </c>
      <c r="AR1551">
        <v>0</v>
      </c>
      <c r="AS1551">
        <v>0</v>
      </c>
      <c r="AT1551">
        <v>0</v>
      </c>
      <c r="AU1551">
        <v>0</v>
      </c>
      <c r="AV1551">
        <v>0</v>
      </c>
      <c r="AW1551">
        <v>0</v>
      </c>
      <c r="AX1551">
        <v>0</v>
      </c>
      <c r="AY1551">
        <v>0</v>
      </c>
      <c r="AZ1551">
        <v>0</v>
      </c>
      <c r="BA1551">
        <v>0</v>
      </c>
      <c r="BB1551">
        <v>0</v>
      </c>
      <c r="BC1551">
        <v>0</v>
      </c>
      <c r="BD1551">
        <v>0</v>
      </c>
      <c r="BE1551">
        <v>0</v>
      </c>
      <c r="BF1551">
        <v>0</v>
      </c>
      <c r="BG1551">
        <v>0</v>
      </c>
      <c r="BH1551">
        <v>1</v>
      </c>
      <c r="BI1551">
        <v>2</v>
      </c>
      <c r="BJ1551">
        <v>1.7</v>
      </c>
      <c r="BK1551">
        <v>2</v>
      </c>
      <c r="BL1551">
        <v>69.5</v>
      </c>
      <c r="BM1551">
        <v>10.43</v>
      </c>
      <c r="BN1551">
        <v>79.930000000000007</v>
      </c>
      <c r="BO1551">
        <v>79.930000000000007</v>
      </c>
      <c r="BQ1551" t="s">
        <v>2077</v>
      </c>
      <c r="BR1551" t="s">
        <v>84</v>
      </c>
      <c r="BS1551" t="s">
        <v>189</v>
      </c>
      <c r="BV1551" t="s">
        <v>90</v>
      </c>
      <c r="BY1551">
        <v>8512</v>
      </c>
      <c r="CC1551" t="s">
        <v>92</v>
      </c>
      <c r="CD1551">
        <v>8001</v>
      </c>
      <c r="CE1551" t="s">
        <v>687</v>
      </c>
      <c r="CI1551">
        <v>1</v>
      </c>
      <c r="CJ1551" t="s">
        <v>189</v>
      </c>
      <c r="CK1551">
        <v>21</v>
      </c>
      <c r="CL1551" t="s">
        <v>90</v>
      </c>
    </row>
    <row r="1552" spans="1:90" x14ac:dyDescent="0.3">
      <c r="A1552" t="s">
        <v>72</v>
      </c>
      <c r="B1552" t="s">
        <v>73</v>
      </c>
      <c r="C1552" t="s">
        <v>74</v>
      </c>
      <c r="E1552" t="str">
        <f>"080065900626"</f>
        <v>080065900626</v>
      </c>
      <c r="F1552" s="3">
        <v>45819</v>
      </c>
      <c r="G1552">
        <v>202603</v>
      </c>
      <c r="H1552" t="s">
        <v>75</v>
      </c>
      <c r="I1552" t="s">
        <v>76</v>
      </c>
      <c r="J1552" t="s">
        <v>77</v>
      </c>
      <c r="K1552" t="s">
        <v>78</v>
      </c>
      <c r="L1552" t="s">
        <v>91</v>
      </c>
      <c r="M1552" t="s">
        <v>92</v>
      </c>
      <c r="N1552" t="s">
        <v>1667</v>
      </c>
      <c r="O1552" t="s">
        <v>82</v>
      </c>
      <c r="P1552" t="str">
        <f>"4170043474                    "</f>
        <v xml:space="preserve">4170043474                    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20.9</v>
      </c>
      <c r="AR1552">
        <v>0</v>
      </c>
      <c r="AS1552">
        <v>0</v>
      </c>
      <c r="AT1552">
        <v>0</v>
      </c>
      <c r="AU1552">
        <v>0</v>
      </c>
      <c r="AV1552">
        <v>0</v>
      </c>
      <c r="AW1552">
        <v>0</v>
      </c>
      <c r="AX1552">
        <v>0</v>
      </c>
      <c r="AY1552">
        <v>0</v>
      </c>
      <c r="AZ1552">
        <v>0</v>
      </c>
      <c r="BA1552">
        <v>0</v>
      </c>
      <c r="BB1552">
        <v>0</v>
      </c>
      <c r="BC1552">
        <v>0</v>
      </c>
      <c r="BD1552">
        <v>0</v>
      </c>
      <c r="BE1552">
        <v>0</v>
      </c>
      <c r="BF1552">
        <v>0</v>
      </c>
      <c r="BG1552">
        <v>0</v>
      </c>
      <c r="BH1552">
        <v>1</v>
      </c>
      <c r="BI1552">
        <v>1</v>
      </c>
      <c r="BJ1552">
        <v>1.7</v>
      </c>
      <c r="BK1552">
        <v>2</v>
      </c>
      <c r="BL1552">
        <v>69.5</v>
      </c>
      <c r="BM1552">
        <v>10.43</v>
      </c>
      <c r="BN1552">
        <v>79.930000000000007</v>
      </c>
      <c r="BO1552">
        <v>79.930000000000007</v>
      </c>
      <c r="BQ1552" t="s">
        <v>1668</v>
      </c>
      <c r="BR1552" t="s">
        <v>84</v>
      </c>
      <c r="BS1552" s="3">
        <v>45820</v>
      </c>
      <c r="BT1552" s="4">
        <v>0.33888888888888891</v>
      </c>
      <c r="BU1552" t="s">
        <v>2115</v>
      </c>
      <c r="BV1552" t="s">
        <v>86</v>
      </c>
      <c r="BY1552">
        <v>8512</v>
      </c>
      <c r="CA1552" t="s">
        <v>330</v>
      </c>
      <c r="CC1552" t="s">
        <v>92</v>
      </c>
      <c r="CD1552">
        <v>7530</v>
      </c>
      <c r="CE1552" t="s">
        <v>687</v>
      </c>
      <c r="CI1552">
        <v>1</v>
      </c>
      <c r="CJ1552">
        <v>1</v>
      </c>
      <c r="CK1552">
        <v>21</v>
      </c>
      <c r="CL1552" t="s">
        <v>90</v>
      </c>
    </row>
    <row r="1553" spans="1:90" x14ac:dyDescent="0.3">
      <c r="A1553" t="s">
        <v>72</v>
      </c>
      <c r="B1553" t="s">
        <v>73</v>
      </c>
      <c r="C1553" t="s">
        <v>74</v>
      </c>
      <c r="E1553" t="str">
        <f>"080065900625"</f>
        <v>080065900625</v>
      </c>
      <c r="F1553" s="3">
        <v>45819</v>
      </c>
      <c r="G1553">
        <v>202603</v>
      </c>
      <c r="H1553" t="s">
        <v>75</v>
      </c>
      <c r="I1553" t="s">
        <v>76</v>
      </c>
      <c r="J1553" t="s">
        <v>77</v>
      </c>
      <c r="K1553" t="s">
        <v>78</v>
      </c>
      <c r="L1553" t="s">
        <v>350</v>
      </c>
      <c r="M1553" t="s">
        <v>351</v>
      </c>
      <c r="N1553" t="s">
        <v>2103</v>
      </c>
      <c r="O1553" t="s">
        <v>82</v>
      </c>
      <c r="P1553" t="str">
        <f>"4170043468                    "</f>
        <v xml:space="preserve">4170043468                    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20.9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0</v>
      </c>
      <c r="AZ1553">
        <v>0</v>
      </c>
      <c r="BA1553">
        <v>0</v>
      </c>
      <c r="BB1553">
        <v>0</v>
      </c>
      <c r="BC1553">
        <v>0</v>
      </c>
      <c r="BD1553">
        <v>0</v>
      </c>
      <c r="BE1553">
        <v>0</v>
      </c>
      <c r="BF1553">
        <v>0</v>
      </c>
      <c r="BG1553">
        <v>0</v>
      </c>
      <c r="BH1553">
        <v>1</v>
      </c>
      <c r="BI1553">
        <v>1</v>
      </c>
      <c r="BJ1553">
        <v>0.2</v>
      </c>
      <c r="BK1553">
        <v>1</v>
      </c>
      <c r="BL1553">
        <v>69.5</v>
      </c>
      <c r="BM1553">
        <v>10.43</v>
      </c>
      <c r="BN1553">
        <v>79.930000000000007</v>
      </c>
      <c r="BO1553">
        <v>79.930000000000007</v>
      </c>
      <c r="BQ1553" t="s">
        <v>2104</v>
      </c>
      <c r="BR1553" t="s">
        <v>84</v>
      </c>
      <c r="BS1553" t="s">
        <v>189</v>
      </c>
      <c r="BV1553" t="s">
        <v>90</v>
      </c>
      <c r="BY1553">
        <v>1200</v>
      </c>
      <c r="CC1553" t="s">
        <v>351</v>
      </c>
      <c r="CD1553">
        <v>157</v>
      </c>
      <c r="CE1553" t="s">
        <v>215</v>
      </c>
      <c r="CI1553">
        <v>1</v>
      </c>
      <c r="CJ1553" t="s">
        <v>189</v>
      </c>
      <c r="CK1553">
        <v>21</v>
      </c>
      <c r="CL1553" t="s">
        <v>90</v>
      </c>
    </row>
    <row r="1554" spans="1:90" x14ac:dyDescent="0.3">
      <c r="A1554" t="s">
        <v>72</v>
      </c>
      <c r="B1554" t="s">
        <v>73</v>
      </c>
      <c r="C1554" t="s">
        <v>74</v>
      </c>
      <c r="E1554" t="str">
        <f>"080065900697"</f>
        <v>080065900697</v>
      </c>
      <c r="F1554" s="3">
        <v>45819</v>
      </c>
      <c r="G1554">
        <v>202603</v>
      </c>
      <c r="H1554" t="s">
        <v>75</v>
      </c>
      <c r="I1554" t="s">
        <v>76</v>
      </c>
      <c r="J1554" t="s">
        <v>77</v>
      </c>
      <c r="K1554" t="s">
        <v>78</v>
      </c>
      <c r="L1554" t="s">
        <v>100</v>
      </c>
      <c r="M1554" t="s">
        <v>101</v>
      </c>
      <c r="N1554" t="s">
        <v>123</v>
      </c>
      <c r="O1554" t="s">
        <v>82</v>
      </c>
      <c r="P1554" t="str">
        <f>"4170043377                    "</f>
        <v xml:space="preserve">4170043377                    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93.98</v>
      </c>
      <c r="AR1554">
        <v>0</v>
      </c>
      <c r="AS1554">
        <v>0</v>
      </c>
      <c r="AT1554">
        <v>0</v>
      </c>
      <c r="AU1554">
        <v>0</v>
      </c>
      <c r="AV1554">
        <v>0</v>
      </c>
      <c r="AW1554">
        <v>0</v>
      </c>
      <c r="AX1554">
        <v>0</v>
      </c>
      <c r="AY1554">
        <v>0</v>
      </c>
      <c r="AZ1554">
        <v>0</v>
      </c>
      <c r="BA1554">
        <v>0</v>
      </c>
      <c r="BB1554">
        <v>0</v>
      </c>
      <c r="BC1554">
        <v>0</v>
      </c>
      <c r="BD1554">
        <v>0</v>
      </c>
      <c r="BE1554">
        <v>0</v>
      </c>
      <c r="BF1554">
        <v>0</v>
      </c>
      <c r="BG1554">
        <v>0</v>
      </c>
      <c r="BH1554">
        <v>1</v>
      </c>
      <c r="BI1554">
        <v>5</v>
      </c>
      <c r="BJ1554">
        <v>8.9</v>
      </c>
      <c r="BK1554">
        <v>9</v>
      </c>
      <c r="BL1554">
        <v>312.54000000000002</v>
      </c>
      <c r="BM1554">
        <v>46.88</v>
      </c>
      <c r="BN1554">
        <v>359.42</v>
      </c>
      <c r="BO1554">
        <v>359.42</v>
      </c>
      <c r="BQ1554" t="s">
        <v>124</v>
      </c>
      <c r="BR1554" t="s">
        <v>84</v>
      </c>
      <c r="BS1554" t="s">
        <v>189</v>
      </c>
      <c r="BV1554" t="s">
        <v>90</v>
      </c>
      <c r="BY1554">
        <v>44640</v>
      </c>
      <c r="CC1554" t="s">
        <v>101</v>
      </c>
      <c r="CD1554">
        <v>6001</v>
      </c>
      <c r="CE1554" t="s">
        <v>687</v>
      </c>
      <c r="CI1554">
        <v>1</v>
      </c>
      <c r="CJ1554" t="s">
        <v>189</v>
      </c>
      <c r="CK1554">
        <v>21</v>
      </c>
      <c r="CL1554" t="s">
        <v>90</v>
      </c>
    </row>
    <row r="1555" spans="1:90" x14ac:dyDescent="0.3">
      <c r="A1555" t="s">
        <v>72</v>
      </c>
      <c r="B1555" t="s">
        <v>73</v>
      </c>
      <c r="C1555" t="s">
        <v>74</v>
      </c>
      <c r="E1555" t="str">
        <f>"080065900702"</f>
        <v>080065900702</v>
      </c>
      <c r="F1555" s="3">
        <v>45819</v>
      </c>
      <c r="G1555">
        <v>202603</v>
      </c>
      <c r="H1555" t="s">
        <v>75</v>
      </c>
      <c r="I1555" t="s">
        <v>76</v>
      </c>
      <c r="J1555" t="s">
        <v>77</v>
      </c>
      <c r="K1555" t="s">
        <v>78</v>
      </c>
      <c r="L1555" t="s">
        <v>136</v>
      </c>
      <c r="M1555" t="s">
        <v>137</v>
      </c>
      <c r="N1555" t="s">
        <v>806</v>
      </c>
      <c r="O1555" t="s">
        <v>82</v>
      </c>
      <c r="P1555" t="str">
        <f>"4170043455                    "</f>
        <v xml:space="preserve">4170043455                    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20.9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v>0</v>
      </c>
      <c r="BB1555">
        <v>0</v>
      </c>
      <c r="BC1555">
        <v>0</v>
      </c>
      <c r="BD1555">
        <v>0</v>
      </c>
      <c r="BE1555">
        <v>0</v>
      </c>
      <c r="BF1555">
        <v>0</v>
      </c>
      <c r="BG1555">
        <v>0</v>
      </c>
      <c r="BH1555">
        <v>1</v>
      </c>
      <c r="BI1555">
        <v>1</v>
      </c>
      <c r="BJ1555">
        <v>0.2</v>
      </c>
      <c r="BK1555">
        <v>1</v>
      </c>
      <c r="BL1555">
        <v>69.5</v>
      </c>
      <c r="BM1555">
        <v>10.43</v>
      </c>
      <c r="BN1555">
        <v>79.930000000000007</v>
      </c>
      <c r="BO1555">
        <v>79.930000000000007</v>
      </c>
      <c r="BQ1555" t="s">
        <v>807</v>
      </c>
      <c r="BR1555" t="s">
        <v>84</v>
      </c>
      <c r="BS1555" t="s">
        <v>189</v>
      </c>
      <c r="BV1555" t="s">
        <v>90</v>
      </c>
      <c r="BY1555">
        <v>1200</v>
      </c>
      <c r="CC1555" t="s">
        <v>137</v>
      </c>
      <c r="CD1555">
        <v>5200</v>
      </c>
      <c r="CE1555" t="s">
        <v>215</v>
      </c>
      <c r="CI1555">
        <v>1</v>
      </c>
      <c r="CJ1555" t="s">
        <v>189</v>
      </c>
      <c r="CK1555">
        <v>21</v>
      </c>
      <c r="CL1555" t="s">
        <v>90</v>
      </c>
    </row>
    <row r="1556" spans="1:90" x14ac:dyDescent="0.3">
      <c r="A1556" t="s">
        <v>72</v>
      </c>
      <c r="B1556" t="s">
        <v>73</v>
      </c>
      <c r="C1556" t="s">
        <v>74</v>
      </c>
      <c r="E1556" t="str">
        <f>"080065900724"</f>
        <v>080065900724</v>
      </c>
      <c r="F1556" s="3">
        <v>45819</v>
      </c>
      <c r="G1556">
        <v>202603</v>
      </c>
      <c r="H1556" t="s">
        <v>75</v>
      </c>
      <c r="I1556" t="s">
        <v>76</v>
      </c>
      <c r="J1556" t="s">
        <v>77</v>
      </c>
      <c r="K1556" t="s">
        <v>78</v>
      </c>
      <c r="L1556" t="s">
        <v>100</v>
      </c>
      <c r="M1556" t="s">
        <v>101</v>
      </c>
      <c r="N1556" t="s">
        <v>123</v>
      </c>
      <c r="O1556" t="s">
        <v>82</v>
      </c>
      <c r="P1556" t="str">
        <f>"4170043419                    "</f>
        <v xml:space="preserve">4170043419                    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20.9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0</v>
      </c>
      <c r="AZ1556">
        <v>0</v>
      </c>
      <c r="BA1556">
        <v>0</v>
      </c>
      <c r="BB1556">
        <v>0</v>
      </c>
      <c r="BC1556">
        <v>0</v>
      </c>
      <c r="BD1556">
        <v>0</v>
      </c>
      <c r="BE1556">
        <v>0</v>
      </c>
      <c r="BF1556">
        <v>0</v>
      </c>
      <c r="BG1556">
        <v>0</v>
      </c>
      <c r="BH1556">
        <v>1</v>
      </c>
      <c r="BI1556">
        <v>1</v>
      </c>
      <c r="BJ1556">
        <v>1.9</v>
      </c>
      <c r="BK1556">
        <v>2</v>
      </c>
      <c r="BL1556">
        <v>69.5</v>
      </c>
      <c r="BM1556">
        <v>10.43</v>
      </c>
      <c r="BN1556">
        <v>79.930000000000007</v>
      </c>
      <c r="BO1556">
        <v>79.930000000000007</v>
      </c>
      <c r="BQ1556" t="s">
        <v>124</v>
      </c>
      <c r="BR1556" t="s">
        <v>84</v>
      </c>
      <c r="BS1556" t="s">
        <v>189</v>
      </c>
      <c r="BV1556" t="s">
        <v>90</v>
      </c>
      <c r="BY1556">
        <v>9600</v>
      </c>
      <c r="CC1556" t="s">
        <v>101</v>
      </c>
      <c r="CD1556">
        <v>6001</v>
      </c>
      <c r="CE1556" t="s">
        <v>687</v>
      </c>
      <c r="CI1556">
        <v>1</v>
      </c>
      <c r="CJ1556" t="s">
        <v>189</v>
      </c>
      <c r="CK1556">
        <v>21</v>
      </c>
      <c r="CL1556" t="s">
        <v>90</v>
      </c>
    </row>
    <row r="1557" spans="1:90" x14ac:dyDescent="0.3">
      <c r="A1557" t="s">
        <v>72</v>
      </c>
      <c r="B1557" t="s">
        <v>73</v>
      </c>
      <c r="C1557" t="s">
        <v>74</v>
      </c>
      <c r="E1557" t="str">
        <f>"080065900732"</f>
        <v>080065900732</v>
      </c>
      <c r="F1557" s="3">
        <v>45819</v>
      </c>
      <c r="G1557">
        <v>202603</v>
      </c>
      <c r="H1557" t="s">
        <v>75</v>
      </c>
      <c r="I1557" t="s">
        <v>76</v>
      </c>
      <c r="J1557" t="s">
        <v>77</v>
      </c>
      <c r="K1557" t="s">
        <v>78</v>
      </c>
      <c r="L1557" t="s">
        <v>75</v>
      </c>
      <c r="M1557" t="s">
        <v>76</v>
      </c>
      <c r="N1557" t="s">
        <v>147</v>
      </c>
      <c r="O1557" t="s">
        <v>82</v>
      </c>
      <c r="P1557" t="str">
        <f>"4170043373                    "</f>
        <v xml:space="preserve">4170043373                    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16.32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  <c r="BE1557">
        <v>0</v>
      </c>
      <c r="BF1557">
        <v>0</v>
      </c>
      <c r="BG1557">
        <v>0</v>
      </c>
      <c r="BH1557">
        <v>1</v>
      </c>
      <c r="BI1557">
        <v>1</v>
      </c>
      <c r="BJ1557">
        <v>0.2</v>
      </c>
      <c r="BK1557">
        <v>1</v>
      </c>
      <c r="BL1557">
        <v>54.28</v>
      </c>
      <c r="BM1557">
        <v>8.14</v>
      </c>
      <c r="BN1557">
        <v>62.42</v>
      </c>
      <c r="BO1557">
        <v>62.42</v>
      </c>
      <c r="BQ1557" t="s">
        <v>148</v>
      </c>
      <c r="BR1557" t="s">
        <v>84</v>
      </c>
      <c r="BS1557" s="3">
        <v>45820</v>
      </c>
      <c r="BT1557" s="4">
        <v>0.30416666666666664</v>
      </c>
      <c r="BU1557" t="s">
        <v>1114</v>
      </c>
      <c r="BV1557" t="s">
        <v>86</v>
      </c>
      <c r="BY1557">
        <v>1200</v>
      </c>
      <c r="CA1557" t="s">
        <v>115</v>
      </c>
      <c r="CC1557" t="s">
        <v>76</v>
      </c>
      <c r="CD1557">
        <v>1600</v>
      </c>
      <c r="CE1557" t="s">
        <v>215</v>
      </c>
      <c r="CI1557">
        <v>1</v>
      </c>
      <c r="CJ1557">
        <v>1</v>
      </c>
      <c r="CK1557">
        <v>22</v>
      </c>
      <c r="CL1557" t="s">
        <v>90</v>
      </c>
    </row>
    <row r="1558" spans="1:90" x14ac:dyDescent="0.3">
      <c r="A1558" t="s">
        <v>72</v>
      </c>
      <c r="B1558" t="s">
        <v>73</v>
      </c>
      <c r="C1558" t="s">
        <v>74</v>
      </c>
      <c r="E1558" t="str">
        <f>"080065900757"</f>
        <v>080065900757</v>
      </c>
      <c r="F1558" s="3">
        <v>45819</v>
      </c>
      <c r="G1558">
        <v>202603</v>
      </c>
      <c r="H1558" t="s">
        <v>75</v>
      </c>
      <c r="I1558" t="s">
        <v>76</v>
      </c>
      <c r="J1558" t="s">
        <v>77</v>
      </c>
      <c r="K1558" t="s">
        <v>78</v>
      </c>
      <c r="L1558" t="s">
        <v>266</v>
      </c>
      <c r="M1558" t="s">
        <v>267</v>
      </c>
      <c r="N1558" t="s">
        <v>268</v>
      </c>
      <c r="O1558" t="s">
        <v>82</v>
      </c>
      <c r="P1558" t="str">
        <f>"4170043420                    "</f>
        <v xml:space="preserve">4170043420                    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20.9</v>
      </c>
      <c r="AR1558">
        <v>0</v>
      </c>
      <c r="AS1558">
        <v>0</v>
      </c>
      <c r="AT1558">
        <v>0</v>
      </c>
      <c r="AU1558">
        <v>0</v>
      </c>
      <c r="AV1558">
        <v>0</v>
      </c>
      <c r="AW1558">
        <v>0</v>
      </c>
      <c r="AX1558">
        <v>0</v>
      </c>
      <c r="AY1558">
        <v>0</v>
      </c>
      <c r="AZ1558">
        <v>0</v>
      </c>
      <c r="BA1558">
        <v>0</v>
      </c>
      <c r="BB1558">
        <v>0</v>
      </c>
      <c r="BC1558">
        <v>0</v>
      </c>
      <c r="BD1558">
        <v>0</v>
      </c>
      <c r="BE1558">
        <v>0</v>
      </c>
      <c r="BF1558">
        <v>0</v>
      </c>
      <c r="BG1558">
        <v>0</v>
      </c>
      <c r="BH1558">
        <v>1</v>
      </c>
      <c r="BI1558">
        <v>1</v>
      </c>
      <c r="BJ1558">
        <v>0.2</v>
      </c>
      <c r="BK1558">
        <v>1</v>
      </c>
      <c r="BL1558">
        <v>69.5</v>
      </c>
      <c r="BM1558">
        <v>10.43</v>
      </c>
      <c r="BN1558">
        <v>79.930000000000007</v>
      </c>
      <c r="BO1558">
        <v>79.930000000000007</v>
      </c>
      <c r="BQ1558" t="s">
        <v>269</v>
      </c>
      <c r="BR1558" t="s">
        <v>84</v>
      </c>
      <c r="BS1558" t="s">
        <v>189</v>
      </c>
      <c r="BV1558" t="s">
        <v>90</v>
      </c>
      <c r="BY1558">
        <v>1200</v>
      </c>
      <c r="CC1558" t="s">
        <v>267</v>
      </c>
      <c r="CD1558">
        <v>6229</v>
      </c>
      <c r="CE1558" t="s">
        <v>215</v>
      </c>
      <c r="CI1558">
        <v>1</v>
      </c>
      <c r="CJ1558" t="s">
        <v>189</v>
      </c>
      <c r="CK1558">
        <v>21</v>
      </c>
      <c r="CL1558" t="s">
        <v>90</v>
      </c>
    </row>
    <row r="1559" spans="1:90" x14ac:dyDescent="0.3">
      <c r="A1559" t="s">
        <v>72</v>
      </c>
      <c r="B1559" t="s">
        <v>73</v>
      </c>
      <c r="C1559" t="s">
        <v>74</v>
      </c>
      <c r="E1559" t="str">
        <f>"080065900760"</f>
        <v>080065900760</v>
      </c>
      <c r="F1559" s="3">
        <v>45819</v>
      </c>
      <c r="G1559">
        <v>202603</v>
      </c>
      <c r="H1559" t="s">
        <v>75</v>
      </c>
      <c r="I1559" t="s">
        <v>76</v>
      </c>
      <c r="J1559" t="s">
        <v>77</v>
      </c>
      <c r="K1559" t="s">
        <v>78</v>
      </c>
      <c r="L1559" t="s">
        <v>136</v>
      </c>
      <c r="M1559" t="s">
        <v>137</v>
      </c>
      <c r="N1559" t="s">
        <v>1345</v>
      </c>
      <c r="O1559" t="s">
        <v>82</v>
      </c>
      <c r="P1559" t="str">
        <f>"4170043415                    "</f>
        <v xml:space="preserve">4170043415                    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88.76</v>
      </c>
      <c r="AR1559">
        <v>0</v>
      </c>
      <c r="AS1559">
        <v>0</v>
      </c>
      <c r="AT1559">
        <v>0</v>
      </c>
      <c r="AU1559">
        <v>0</v>
      </c>
      <c r="AV1559">
        <v>0</v>
      </c>
      <c r="AW1559">
        <v>0</v>
      </c>
      <c r="AX1559">
        <v>0</v>
      </c>
      <c r="AY1559">
        <v>0</v>
      </c>
      <c r="AZ1559">
        <v>0</v>
      </c>
      <c r="BA1559">
        <v>0</v>
      </c>
      <c r="BB1559">
        <v>0</v>
      </c>
      <c r="BC1559">
        <v>0</v>
      </c>
      <c r="BD1559">
        <v>0</v>
      </c>
      <c r="BE1559">
        <v>0</v>
      </c>
      <c r="BF1559">
        <v>0</v>
      </c>
      <c r="BG1559">
        <v>0</v>
      </c>
      <c r="BH1559">
        <v>1</v>
      </c>
      <c r="BI1559">
        <v>4</v>
      </c>
      <c r="BJ1559">
        <v>8.1</v>
      </c>
      <c r="BK1559">
        <v>8.5</v>
      </c>
      <c r="BL1559">
        <v>295.18</v>
      </c>
      <c r="BM1559">
        <v>44.28</v>
      </c>
      <c r="BN1559">
        <v>339.46</v>
      </c>
      <c r="BO1559">
        <v>339.46</v>
      </c>
      <c r="BQ1559" t="s">
        <v>1346</v>
      </c>
      <c r="BR1559" t="s">
        <v>84</v>
      </c>
      <c r="BS1559" t="s">
        <v>189</v>
      </c>
      <c r="BV1559" t="s">
        <v>90</v>
      </c>
      <c r="BY1559">
        <v>40480</v>
      </c>
      <c r="CC1559" t="s">
        <v>137</v>
      </c>
      <c r="CD1559">
        <v>5200</v>
      </c>
      <c r="CE1559" t="s">
        <v>166</v>
      </c>
      <c r="CI1559">
        <v>1</v>
      </c>
      <c r="CJ1559" t="s">
        <v>189</v>
      </c>
      <c r="CK1559">
        <v>21</v>
      </c>
      <c r="CL1559" t="s">
        <v>90</v>
      </c>
    </row>
    <row r="1560" spans="1:90" x14ac:dyDescent="0.3">
      <c r="A1560" t="s">
        <v>72</v>
      </c>
      <c r="B1560" t="s">
        <v>73</v>
      </c>
      <c r="C1560" t="s">
        <v>74</v>
      </c>
      <c r="E1560" t="str">
        <f>"080065900767"</f>
        <v>080065900767</v>
      </c>
      <c r="F1560" s="3">
        <v>45819</v>
      </c>
      <c r="G1560">
        <v>202603</v>
      </c>
      <c r="H1560" t="s">
        <v>75</v>
      </c>
      <c r="I1560" t="s">
        <v>76</v>
      </c>
      <c r="J1560" t="s">
        <v>77</v>
      </c>
      <c r="K1560" t="s">
        <v>78</v>
      </c>
      <c r="L1560" t="s">
        <v>266</v>
      </c>
      <c r="M1560" t="s">
        <v>267</v>
      </c>
      <c r="N1560" t="s">
        <v>1739</v>
      </c>
      <c r="O1560" t="s">
        <v>82</v>
      </c>
      <c r="P1560" t="str">
        <f>"4170043398                    "</f>
        <v xml:space="preserve">4170043398                    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20.9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0</v>
      </c>
      <c r="AZ1560">
        <v>0</v>
      </c>
      <c r="BA1560">
        <v>0</v>
      </c>
      <c r="BB1560">
        <v>0</v>
      </c>
      <c r="BC1560">
        <v>0</v>
      </c>
      <c r="BD1560">
        <v>0</v>
      </c>
      <c r="BE1560">
        <v>0</v>
      </c>
      <c r="BF1560">
        <v>0</v>
      </c>
      <c r="BG1560">
        <v>0</v>
      </c>
      <c r="BH1560">
        <v>1</v>
      </c>
      <c r="BI1560">
        <v>1</v>
      </c>
      <c r="BJ1560">
        <v>0.2</v>
      </c>
      <c r="BK1560">
        <v>1</v>
      </c>
      <c r="BL1560">
        <v>69.5</v>
      </c>
      <c r="BM1560">
        <v>10.43</v>
      </c>
      <c r="BN1560">
        <v>79.930000000000007</v>
      </c>
      <c r="BO1560">
        <v>79.930000000000007</v>
      </c>
      <c r="BQ1560" t="s">
        <v>1740</v>
      </c>
      <c r="BR1560" t="s">
        <v>84</v>
      </c>
      <c r="BS1560" t="s">
        <v>189</v>
      </c>
      <c r="BV1560" t="s">
        <v>90</v>
      </c>
      <c r="BY1560">
        <v>1200</v>
      </c>
      <c r="CC1560" t="s">
        <v>267</v>
      </c>
      <c r="CD1560">
        <v>6229</v>
      </c>
      <c r="CE1560" t="s">
        <v>215</v>
      </c>
      <c r="CI1560">
        <v>1</v>
      </c>
      <c r="CJ1560" t="s">
        <v>189</v>
      </c>
      <c r="CK1560">
        <v>21</v>
      </c>
      <c r="CL1560" t="s">
        <v>90</v>
      </c>
    </row>
    <row r="1561" spans="1:90" x14ac:dyDescent="0.3">
      <c r="A1561" t="s">
        <v>72</v>
      </c>
      <c r="B1561" t="s">
        <v>73</v>
      </c>
      <c r="C1561" t="s">
        <v>74</v>
      </c>
      <c r="E1561" t="str">
        <f>"080065900784"</f>
        <v>080065900784</v>
      </c>
      <c r="F1561" s="3">
        <v>45819</v>
      </c>
      <c r="G1561">
        <v>202603</v>
      </c>
      <c r="H1561" t="s">
        <v>75</v>
      </c>
      <c r="I1561" t="s">
        <v>76</v>
      </c>
      <c r="J1561" t="s">
        <v>77</v>
      </c>
      <c r="K1561" t="s">
        <v>78</v>
      </c>
      <c r="L1561" t="s">
        <v>239</v>
      </c>
      <c r="M1561" t="s">
        <v>240</v>
      </c>
      <c r="N1561" t="s">
        <v>241</v>
      </c>
      <c r="O1561" t="s">
        <v>82</v>
      </c>
      <c r="P1561" t="str">
        <f>"4170043487                    "</f>
        <v xml:space="preserve">4170043487                    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40.49</v>
      </c>
      <c r="AR1561">
        <v>0</v>
      </c>
      <c r="AS1561">
        <v>0</v>
      </c>
      <c r="AT1561">
        <v>0</v>
      </c>
      <c r="AU1561">
        <v>0</v>
      </c>
      <c r="AV1561">
        <v>0</v>
      </c>
      <c r="AW1561">
        <v>0</v>
      </c>
      <c r="AX1561">
        <v>0</v>
      </c>
      <c r="AY1561">
        <v>0</v>
      </c>
      <c r="AZ1561">
        <v>0</v>
      </c>
      <c r="BA1561">
        <v>0</v>
      </c>
      <c r="BB1561">
        <v>0</v>
      </c>
      <c r="BC1561">
        <v>0</v>
      </c>
      <c r="BD1561">
        <v>0</v>
      </c>
      <c r="BE1561">
        <v>0</v>
      </c>
      <c r="BF1561">
        <v>0</v>
      </c>
      <c r="BG1561">
        <v>0</v>
      </c>
      <c r="BH1561">
        <v>1</v>
      </c>
      <c r="BI1561">
        <v>1</v>
      </c>
      <c r="BJ1561">
        <v>0.2</v>
      </c>
      <c r="BK1561">
        <v>1</v>
      </c>
      <c r="BL1561">
        <v>134.65</v>
      </c>
      <c r="BM1561">
        <v>20.2</v>
      </c>
      <c r="BN1561">
        <v>154.85</v>
      </c>
      <c r="BO1561">
        <v>154.85</v>
      </c>
      <c r="BQ1561" t="s">
        <v>242</v>
      </c>
      <c r="BR1561" t="s">
        <v>84</v>
      </c>
      <c r="BS1561" t="s">
        <v>189</v>
      </c>
      <c r="BV1561" t="s">
        <v>90</v>
      </c>
      <c r="BY1561">
        <v>1200</v>
      </c>
      <c r="CC1561" t="s">
        <v>240</v>
      </c>
      <c r="CD1561">
        <v>2531</v>
      </c>
      <c r="CE1561" t="s">
        <v>1029</v>
      </c>
      <c r="CI1561">
        <v>1</v>
      </c>
      <c r="CJ1561" t="s">
        <v>189</v>
      </c>
      <c r="CK1561">
        <v>23</v>
      </c>
      <c r="CL1561" t="s">
        <v>90</v>
      </c>
    </row>
    <row r="1562" spans="1:90" x14ac:dyDescent="0.3">
      <c r="A1562" t="s">
        <v>72</v>
      </c>
      <c r="B1562" t="s">
        <v>73</v>
      </c>
      <c r="C1562" t="s">
        <v>74</v>
      </c>
      <c r="E1562" t="str">
        <f>"080065900799"</f>
        <v>080065900799</v>
      </c>
      <c r="F1562" s="3">
        <v>45819</v>
      </c>
      <c r="G1562">
        <v>202603</v>
      </c>
      <c r="H1562" t="s">
        <v>75</v>
      </c>
      <c r="I1562" t="s">
        <v>76</v>
      </c>
      <c r="J1562" t="s">
        <v>77</v>
      </c>
      <c r="K1562" t="s">
        <v>78</v>
      </c>
      <c r="L1562" t="s">
        <v>100</v>
      </c>
      <c r="M1562" t="s">
        <v>101</v>
      </c>
      <c r="N1562" t="s">
        <v>123</v>
      </c>
      <c r="O1562" t="s">
        <v>82</v>
      </c>
      <c r="P1562" t="str">
        <f>"4170043445                    "</f>
        <v xml:space="preserve">4170043445                    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20.9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v>0</v>
      </c>
      <c r="BB1562">
        <v>0</v>
      </c>
      <c r="BC1562">
        <v>0</v>
      </c>
      <c r="BD1562">
        <v>0</v>
      </c>
      <c r="BE1562">
        <v>0</v>
      </c>
      <c r="BF1562">
        <v>0</v>
      </c>
      <c r="BG1562">
        <v>0</v>
      </c>
      <c r="BH1562">
        <v>1</v>
      </c>
      <c r="BI1562">
        <v>1</v>
      </c>
      <c r="BJ1562">
        <v>0.2</v>
      </c>
      <c r="BK1562">
        <v>1</v>
      </c>
      <c r="BL1562">
        <v>69.5</v>
      </c>
      <c r="BM1562">
        <v>10.43</v>
      </c>
      <c r="BN1562">
        <v>79.930000000000007</v>
      </c>
      <c r="BO1562">
        <v>79.930000000000007</v>
      </c>
      <c r="BQ1562" t="s">
        <v>124</v>
      </c>
      <c r="BR1562" t="s">
        <v>84</v>
      </c>
      <c r="BS1562" t="s">
        <v>189</v>
      </c>
      <c r="BV1562" t="s">
        <v>90</v>
      </c>
      <c r="BY1562">
        <v>1200</v>
      </c>
      <c r="CC1562" t="s">
        <v>101</v>
      </c>
      <c r="CD1562">
        <v>6001</v>
      </c>
      <c r="CE1562" t="s">
        <v>1029</v>
      </c>
      <c r="CI1562">
        <v>1</v>
      </c>
      <c r="CJ1562" t="s">
        <v>189</v>
      </c>
      <c r="CK1562">
        <v>21</v>
      </c>
      <c r="CL1562" t="s">
        <v>90</v>
      </c>
    </row>
    <row r="1563" spans="1:90" x14ac:dyDescent="0.3">
      <c r="A1563" t="s">
        <v>72</v>
      </c>
      <c r="B1563" t="s">
        <v>73</v>
      </c>
      <c r="C1563" t="s">
        <v>74</v>
      </c>
      <c r="E1563" t="str">
        <f>"080065900815"</f>
        <v>080065900815</v>
      </c>
      <c r="F1563" s="3">
        <v>45819</v>
      </c>
      <c r="G1563">
        <v>202603</v>
      </c>
      <c r="H1563" t="s">
        <v>75</v>
      </c>
      <c r="I1563" t="s">
        <v>76</v>
      </c>
      <c r="J1563" t="s">
        <v>77</v>
      </c>
      <c r="K1563" t="s">
        <v>78</v>
      </c>
      <c r="L1563" t="s">
        <v>100</v>
      </c>
      <c r="M1563" t="s">
        <v>101</v>
      </c>
      <c r="N1563" t="s">
        <v>1875</v>
      </c>
      <c r="O1563" t="s">
        <v>82</v>
      </c>
      <c r="P1563" t="str">
        <f>"4170043396                    "</f>
        <v xml:space="preserve">4170043396                    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20.9</v>
      </c>
      <c r="AR1563">
        <v>0</v>
      </c>
      <c r="AS1563">
        <v>0</v>
      </c>
      <c r="AT1563">
        <v>0</v>
      </c>
      <c r="AU1563">
        <v>0</v>
      </c>
      <c r="AV1563">
        <v>0</v>
      </c>
      <c r="AW1563">
        <v>0</v>
      </c>
      <c r="AX1563">
        <v>0</v>
      </c>
      <c r="AY1563">
        <v>0</v>
      </c>
      <c r="AZ1563">
        <v>0</v>
      </c>
      <c r="BA1563">
        <v>0</v>
      </c>
      <c r="BB1563">
        <v>0</v>
      </c>
      <c r="BC1563">
        <v>0</v>
      </c>
      <c r="BD1563">
        <v>0</v>
      </c>
      <c r="BE1563">
        <v>0</v>
      </c>
      <c r="BF1563">
        <v>0</v>
      </c>
      <c r="BG1563">
        <v>0</v>
      </c>
      <c r="BH1563">
        <v>1</v>
      </c>
      <c r="BI1563">
        <v>1</v>
      </c>
      <c r="BJ1563">
        <v>0.2</v>
      </c>
      <c r="BK1563">
        <v>1</v>
      </c>
      <c r="BL1563">
        <v>69.5</v>
      </c>
      <c r="BM1563">
        <v>10.43</v>
      </c>
      <c r="BN1563">
        <v>79.930000000000007</v>
      </c>
      <c r="BO1563">
        <v>79.930000000000007</v>
      </c>
      <c r="BQ1563" t="s">
        <v>2116</v>
      </c>
      <c r="BR1563" t="s">
        <v>84</v>
      </c>
      <c r="BS1563" t="s">
        <v>189</v>
      </c>
      <c r="BV1563" t="s">
        <v>90</v>
      </c>
      <c r="BY1563">
        <v>1200</v>
      </c>
      <c r="CC1563" t="s">
        <v>101</v>
      </c>
      <c r="CD1563">
        <v>6001</v>
      </c>
      <c r="CE1563" t="s">
        <v>1029</v>
      </c>
      <c r="CI1563">
        <v>1</v>
      </c>
      <c r="CJ1563" t="s">
        <v>189</v>
      </c>
      <c r="CK1563">
        <v>21</v>
      </c>
      <c r="CL1563" t="s">
        <v>90</v>
      </c>
    </row>
    <row r="1564" spans="1:90" x14ac:dyDescent="0.3">
      <c r="A1564" t="s">
        <v>72</v>
      </c>
      <c r="B1564" t="s">
        <v>73</v>
      </c>
      <c r="C1564" t="s">
        <v>74</v>
      </c>
      <c r="E1564" t="str">
        <f>"080065900848"</f>
        <v>080065900848</v>
      </c>
      <c r="F1564" s="3">
        <v>45819</v>
      </c>
      <c r="G1564">
        <v>202603</v>
      </c>
      <c r="H1564" t="s">
        <v>75</v>
      </c>
      <c r="I1564" t="s">
        <v>76</v>
      </c>
      <c r="J1564" t="s">
        <v>77</v>
      </c>
      <c r="K1564" t="s">
        <v>78</v>
      </c>
      <c r="L1564" t="s">
        <v>159</v>
      </c>
      <c r="M1564" t="s">
        <v>160</v>
      </c>
      <c r="N1564" t="s">
        <v>571</v>
      </c>
      <c r="O1564" t="s">
        <v>82</v>
      </c>
      <c r="P1564" t="str">
        <f>"4170043479                    "</f>
        <v xml:space="preserve">4170043479                    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16.32</v>
      </c>
      <c r="AR1564">
        <v>0</v>
      </c>
      <c r="AS1564">
        <v>0</v>
      </c>
      <c r="AT1564">
        <v>0</v>
      </c>
      <c r="AU1564">
        <v>0</v>
      </c>
      <c r="AV1564">
        <v>0</v>
      </c>
      <c r="AW1564">
        <v>0</v>
      </c>
      <c r="AX1564">
        <v>0</v>
      </c>
      <c r="AY1564">
        <v>0</v>
      </c>
      <c r="AZ1564">
        <v>0</v>
      </c>
      <c r="BA1564">
        <v>0</v>
      </c>
      <c r="BB1564">
        <v>0</v>
      </c>
      <c r="BC1564">
        <v>0</v>
      </c>
      <c r="BD1564">
        <v>0</v>
      </c>
      <c r="BE1564">
        <v>0</v>
      </c>
      <c r="BF1564">
        <v>0</v>
      </c>
      <c r="BG1564">
        <v>0</v>
      </c>
      <c r="BH1564">
        <v>1</v>
      </c>
      <c r="BI1564">
        <v>1</v>
      </c>
      <c r="BJ1564">
        <v>0.2</v>
      </c>
      <c r="BK1564">
        <v>1</v>
      </c>
      <c r="BL1564">
        <v>54.28</v>
      </c>
      <c r="BM1564">
        <v>8.14</v>
      </c>
      <c r="BN1564">
        <v>62.42</v>
      </c>
      <c r="BO1564">
        <v>62.42</v>
      </c>
      <c r="BQ1564" t="s">
        <v>572</v>
      </c>
      <c r="BR1564" t="s">
        <v>84</v>
      </c>
      <c r="BS1564" t="s">
        <v>189</v>
      </c>
      <c r="BV1564" t="s">
        <v>90</v>
      </c>
      <c r="BY1564">
        <v>1200</v>
      </c>
      <c r="CC1564" t="s">
        <v>160</v>
      </c>
      <c r="CD1564">
        <v>2013</v>
      </c>
      <c r="CE1564" t="s">
        <v>215</v>
      </c>
      <c r="CI1564">
        <v>1</v>
      </c>
      <c r="CJ1564" t="s">
        <v>189</v>
      </c>
      <c r="CK1564">
        <v>22</v>
      </c>
      <c r="CL1564" t="s">
        <v>90</v>
      </c>
    </row>
    <row r="1565" spans="1:90" x14ac:dyDescent="0.3">
      <c r="A1565" t="s">
        <v>72</v>
      </c>
      <c r="B1565" t="s">
        <v>73</v>
      </c>
      <c r="C1565" t="s">
        <v>74</v>
      </c>
      <c r="E1565" t="str">
        <f>"080065900862"</f>
        <v>080065900862</v>
      </c>
      <c r="F1565" s="3">
        <v>45819</v>
      </c>
      <c r="G1565">
        <v>202603</v>
      </c>
      <c r="H1565" t="s">
        <v>75</v>
      </c>
      <c r="I1565" t="s">
        <v>76</v>
      </c>
      <c r="J1565" t="s">
        <v>77</v>
      </c>
      <c r="K1565" t="s">
        <v>78</v>
      </c>
      <c r="L1565" t="s">
        <v>136</v>
      </c>
      <c r="M1565" t="s">
        <v>137</v>
      </c>
      <c r="N1565" t="s">
        <v>317</v>
      </c>
      <c r="O1565" t="s">
        <v>82</v>
      </c>
      <c r="P1565" t="str">
        <f>"4170043406                    "</f>
        <v xml:space="preserve">4170043406                    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20.9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0</v>
      </c>
      <c r="BC1565">
        <v>0</v>
      </c>
      <c r="BD1565">
        <v>0</v>
      </c>
      <c r="BE1565">
        <v>0</v>
      </c>
      <c r="BF1565">
        <v>0</v>
      </c>
      <c r="BG1565">
        <v>0</v>
      </c>
      <c r="BH1565">
        <v>1</v>
      </c>
      <c r="BI1565">
        <v>1</v>
      </c>
      <c r="BJ1565">
        <v>0.2</v>
      </c>
      <c r="BK1565">
        <v>1</v>
      </c>
      <c r="BL1565">
        <v>69.5</v>
      </c>
      <c r="BM1565">
        <v>10.43</v>
      </c>
      <c r="BN1565">
        <v>79.930000000000007</v>
      </c>
      <c r="BO1565">
        <v>79.930000000000007</v>
      </c>
      <c r="BQ1565" t="s">
        <v>318</v>
      </c>
      <c r="BR1565" t="s">
        <v>84</v>
      </c>
      <c r="BS1565" t="s">
        <v>189</v>
      </c>
      <c r="BV1565" t="s">
        <v>90</v>
      </c>
      <c r="BY1565">
        <v>1200</v>
      </c>
      <c r="CC1565" t="s">
        <v>137</v>
      </c>
      <c r="CD1565">
        <v>5201</v>
      </c>
      <c r="CE1565" t="s">
        <v>215</v>
      </c>
      <c r="CI1565">
        <v>1</v>
      </c>
      <c r="CJ1565" t="s">
        <v>189</v>
      </c>
      <c r="CK1565">
        <v>21</v>
      </c>
      <c r="CL1565" t="s">
        <v>90</v>
      </c>
    </row>
    <row r="1566" spans="1:90" x14ac:dyDescent="0.3">
      <c r="A1566" t="s">
        <v>72</v>
      </c>
      <c r="B1566" t="s">
        <v>73</v>
      </c>
      <c r="C1566" t="s">
        <v>74</v>
      </c>
      <c r="E1566" t="str">
        <f>"080065900879"</f>
        <v>080065900879</v>
      </c>
      <c r="F1566" s="3">
        <v>45819</v>
      </c>
      <c r="G1566">
        <v>202603</v>
      </c>
      <c r="H1566" t="s">
        <v>75</v>
      </c>
      <c r="I1566" t="s">
        <v>76</v>
      </c>
      <c r="J1566" t="s">
        <v>77</v>
      </c>
      <c r="K1566" t="s">
        <v>78</v>
      </c>
      <c r="L1566" t="s">
        <v>91</v>
      </c>
      <c r="M1566" t="s">
        <v>92</v>
      </c>
      <c r="N1566" t="s">
        <v>540</v>
      </c>
      <c r="O1566" t="s">
        <v>82</v>
      </c>
      <c r="P1566" t="str">
        <f>"4170043482                    "</f>
        <v xml:space="preserve">4170043482                    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20.9</v>
      </c>
      <c r="AR1566">
        <v>0</v>
      </c>
      <c r="AS1566">
        <v>0</v>
      </c>
      <c r="AT1566">
        <v>0</v>
      </c>
      <c r="AU1566">
        <v>0</v>
      </c>
      <c r="AV1566">
        <v>0</v>
      </c>
      <c r="AW1566">
        <v>0</v>
      </c>
      <c r="AX1566">
        <v>0</v>
      </c>
      <c r="AY1566">
        <v>0</v>
      </c>
      <c r="AZ1566">
        <v>0</v>
      </c>
      <c r="BA1566">
        <v>0</v>
      </c>
      <c r="BB1566">
        <v>0</v>
      </c>
      <c r="BC1566">
        <v>0</v>
      </c>
      <c r="BD1566">
        <v>0</v>
      </c>
      <c r="BE1566">
        <v>0</v>
      </c>
      <c r="BF1566">
        <v>0</v>
      </c>
      <c r="BG1566">
        <v>0</v>
      </c>
      <c r="BH1566">
        <v>1</v>
      </c>
      <c r="BI1566">
        <v>1</v>
      </c>
      <c r="BJ1566">
        <v>0.2</v>
      </c>
      <c r="BK1566">
        <v>1</v>
      </c>
      <c r="BL1566">
        <v>69.5</v>
      </c>
      <c r="BM1566">
        <v>10.43</v>
      </c>
      <c r="BN1566">
        <v>79.930000000000007</v>
      </c>
      <c r="BO1566">
        <v>79.930000000000007</v>
      </c>
      <c r="BQ1566" t="s">
        <v>541</v>
      </c>
      <c r="BR1566" t="s">
        <v>84</v>
      </c>
      <c r="BS1566" t="s">
        <v>189</v>
      </c>
      <c r="BV1566" t="s">
        <v>90</v>
      </c>
      <c r="BY1566">
        <v>1200</v>
      </c>
      <c r="CC1566" t="s">
        <v>92</v>
      </c>
      <c r="CD1566">
        <v>7441</v>
      </c>
      <c r="CE1566" t="s">
        <v>215</v>
      </c>
      <c r="CI1566">
        <v>1</v>
      </c>
      <c r="CJ1566" t="s">
        <v>189</v>
      </c>
      <c r="CK1566">
        <v>21</v>
      </c>
      <c r="CL1566" t="s">
        <v>90</v>
      </c>
    </row>
    <row r="1567" spans="1:90" x14ac:dyDescent="0.3">
      <c r="A1567" t="s">
        <v>72</v>
      </c>
      <c r="B1567" t="s">
        <v>73</v>
      </c>
      <c r="C1567" t="s">
        <v>74</v>
      </c>
      <c r="E1567" t="str">
        <f>"080065900894"</f>
        <v>080065900894</v>
      </c>
      <c r="F1567" s="3">
        <v>45819</v>
      </c>
      <c r="G1567">
        <v>202603</v>
      </c>
      <c r="H1567" t="s">
        <v>75</v>
      </c>
      <c r="I1567" t="s">
        <v>76</v>
      </c>
      <c r="J1567" t="s">
        <v>77</v>
      </c>
      <c r="K1567" t="s">
        <v>78</v>
      </c>
      <c r="L1567" t="s">
        <v>91</v>
      </c>
      <c r="M1567" t="s">
        <v>92</v>
      </c>
      <c r="N1567" t="s">
        <v>93</v>
      </c>
      <c r="O1567" t="s">
        <v>82</v>
      </c>
      <c r="P1567" t="str">
        <f>"4170043410                    "</f>
        <v xml:space="preserve">4170043410                    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20.9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  <c r="BE1567">
        <v>0</v>
      </c>
      <c r="BF1567">
        <v>0</v>
      </c>
      <c r="BG1567">
        <v>0</v>
      </c>
      <c r="BH1567">
        <v>1</v>
      </c>
      <c r="BI1567">
        <v>1</v>
      </c>
      <c r="BJ1567">
        <v>0.2</v>
      </c>
      <c r="BK1567">
        <v>1</v>
      </c>
      <c r="BL1567">
        <v>69.5</v>
      </c>
      <c r="BM1567">
        <v>10.43</v>
      </c>
      <c r="BN1567">
        <v>79.930000000000007</v>
      </c>
      <c r="BO1567">
        <v>79.930000000000007</v>
      </c>
      <c r="BQ1567" t="s">
        <v>95</v>
      </c>
      <c r="BR1567" t="s">
        <v>84</v>
      </c>
      <c r="BS1567" t="s">
        <v>189</v>
      </c>
      <c r="BV1567" t="s">
        <v>90</v>
      </c>
      <c r="BY1567">
        <v>1200</v>
      </c>
      <c r="CC1567" t="s">
        <v>92</v>
      </c>
      <c r="CD1567">
        <v>7441</v>
      </c>
      <c r="CE1567" t="s">
        <v>215</v>
      </c>
      <c r="CI1567">
        <v>1</v>
      </c>
      <c r="CJ1567" t="s">
        <v>189</v>
      </c>
      <c r="CK1567">
        <v>21</v>
      </c>
      <c r="CL1567" t="s">
        <v>90</v>
      </c>
    </row>
    <row r="1568" spans="1:90" x14ac:dyDescent="0.3">
      <c r="A1568" t="s">
        <v>72</v>
      </c>
      <c r="B1568" t="s">
        <v>73</v>
      </c>
      <c r="C1568" t="s">
        <v>74</v>
      </c>
      <c r="E1568" t="str">
        <f>"080065900912"</f>
        <v>080065900912</v>
      </c>
      <c r="F1568" s="3">
        <v>45819</v>
      </c>
      <c r="G1568">
        <v>202603</v>
      </c>
      <c r="H1568" t="s">
        <v>75</v>
      </c>
      <c r="I1568" t="s">
        <v>76</v>
      </c>
      <c r="J1568" t="s">
        <v>77</v>
      </c>
      <c r="K1568" t="s">
        <v>78</v>
      </c>
      <c r="L1568" t="s">
        <v>710</v>
      </c>
      <c r="M1568" t="s">
        <v>711</v>
      </c>
      <c r="N1568" t="s">
        <v>712</v>
      </c>
      <c r="O1568" t="s">
        <v>82</v>
      </c>
      <c r="P1568" t="str">
        <f>"4170043449                    "</f>
        <v xml:space="preserve">4170043449                    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20.9</v>
      </c>
      <c r="AR1568">
        <v>0</v>
      </c>
      <c r="AS1568">
        <v>0</v>
      </c>
      <c r="AT1568">
        <v>0</v>
      </c>
      <c r="AU1568">
        <v>0</v>
      </c>
      <c r="AV1568">
        <v>0</v>
      </c>
      <c r="AW1568">
        <v>0</v>
      </c>
      <c r="AX1568">
        <v>0</v>
      </c>
      <c r="AY1568">
        <v>0</v>
      </c>
      <c r="AZ1568">
        <v>0</v>
      </c>
      <c r="BA1568">
        <v>0</v>
      </c>
      <c r="BB1568">
        <v>0</v>
      </c>
      <c r="BC1568">
        <v>0</v>
      </c>
      <c r="BD1568">
        <v>0</v>
      </c>
      <c r="BE1568">
        <v>0</v>
      </c>
      <c r="BF1568">
        <v>0</v>
      </c>
      <c r="BG1568">
        <v>0</v>
      </c>
      <c r="BH1568">
        <v>1</v>
      </c>
      <c r="BI1568">
        <v>1</v>
      </c>
      <c r="BJ1568">
        <v>0.2</v>
      </c>
      <c r="BK1568">
        <v>1</v>
      </c>
      <c r="BL1568">
        <v>69.5</v>
      </c>
      <c r="BM1568">
        <v>10.43</v>
      </c>
      <c r="BN1568">
        <v>79.930000000000007</v>
      </c>
      <c r="BO1568">
        <v>79.930000000000007</v>
      </c>
      <c r="BQ1568" t="s">
        <v>713</v>
      </c>
      <c r="BR1568" t="s">
        <v>84</v>
      </c>
      <c r="BS1568" t="s">
        <v>189</v>
      </c>
      <c r="BV1568" t="s">
        <v>90</v>
      </c>
      <c r="BY1568">
        <v>1200</v>
      </c>
      <c r="CC1568" t="s">
        <v>711</v>
      </c>
      <c r="CD1568">
        <v>7600</v>
      </c>
      <c r="CE1568" t="s">
        <v>215</v>
      </c>
      <c r="CI1568">
        <v>1</v>
      </c>
      <c r="CJ1568" t="s">
        <v>189</v>
      </c>
      <c r="CK1568">
        <v>21</v>
      </c>
      <c r="CL1568" t="s">
        <v>90</v>
      </c>
    </row>
    <row r="1569" spans="1:90" x14ac:dyDescent="0.3">
      <c r="A1569" t="s">
        <v>72</v>
      </c>
      <c r="B1569" t="s">
        <v>73</v>
      </c>
      <c r="C1569" t="s">
        <v>74</v>
      </c>
      <c r="E1569" t="str">
        <f>"080065900943"</f>
        <v>080065900943</v>
      </c>
      <c r="F1569" s="3">
        <v>45819</v>
      </c>
      <c r="G1569">
        <v>202603</v>
      </c>
      <c r="H1569" t="s">
        <v>75</v>
      </c>
      <c r="I1569" t="s">
        <v>76</v>
      </c>
      <c r="J1569" t="s">
        <v>77</v>
      </c>
      <c r="K1569" t="s">
        <v>78</v>
      </c>
      <c r="L1569" t="s">
        <v>100</v>
      </c>
      <c r="M1569" t="s">
        <v>101</v>
      </c>
      <c r="N1569" t="s">
        <v>952</v>
      </c>
      <c r="O1569" t="s">
        <v>82</v>
      </c>
      <c r="P1569" t="str">
        <f>"4170043458                    "</f>
        <v xml:space="preserve">4170043458                    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20.9</v>
      </c>
      <c r="AR1569">
        <v>0</v>
      </c>
      <c r="AS1569">
        <v>0</v>
      </c>
      <c r="AT1569">
        <v>0</v>
      </c>
      <c r="AU1569">
        <v>0</v>
      </c>
      <c r="AV1569">
        <v>0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0</v>
      </c>
      <c r="BC1569">
        <v>0</v>
      </c>
      <c r="BD1569">
        <v>0</v>
      </c>
      <c r="BE1569">
        <v>0</v>
      </c>
      <c r="BF1569">
        <v>0</v>
      </c>
      <c r="BG1569">
        <v>0</v>
      </c>
      <c r="BH1569">
        <v>1</v>
      </c>
      <c r="BI1569">
        <v>1</v>
      </c>
      <c r="BJ1569">
        <v>0.2</v>
      </c>
      <c r="BK1569">
        <v>1</v>
      </c>
      <c r="BL1569">
        <v>69.5</v>
      </c>
      <c r="BM1569">
        <v>10.43</v>
      </c>
      <c r="BN1569">
        <v>79.930000000000007</v>
      </c>
      <c r="BO1569">
        <v>79.930000000000007</v>
      </c>
      <c r="BQ1569" t="s">
        <v>953</v>
      </c>
      <c r="BR1569" t="s">
        <v>84</v>
      </c>
      <c r="BS1569" t="s">
        <v>189</v>
      </c>
      <c r="BV1569" t="s">
        <v>90</v>
      </c>
      <c r="BY1569">
        <v>1200</v>
      </c>
      <c r="CC1569" t="s">
        <v>101</v>
      </c>
      <c r="CD1569">
        <v>6001</v>
      </c>
      <c r="CE1569" t="s">
        <v>215</v>
      </c>
      <c r="CI1569">
        <v>1</v>
      </c>
      <c r="CJ1569" t="s">
        <v>189</v>
      </c>
      <c r="CK1569">
        <v>21</v>
      </c>
      <c r="CL1569" t="s">
        <v>90</v>
      </c>
    </row>
    <row r="1570" spans="1:90" x14ac:dyDescent="0.3">
      <c r="A1570" t="s">
        <v>72</v>
      </c>
      <c r="B1570" t="s">
        <v>73</v>
      </c>
      <c r="C1570" t="s">
        <v>74</v>
      </c>
      <c r="E1570" t="str">
        <f>"080065900955"</f>
        <v>080065900955</v>
      </c>
      <c r="F1570" s="3">
        <v>45819</v>
      </c>
      <c r="G1570">
        <v>202603</v>
      </c>
      <c r="H1570" t="s">
        <v>75</v>
      </c>
      <c r="I1570" t="s">
        <v>76</v>
      </c>
      <c r="J1570" t="s">
        <v>77</v>
      </c>
      <c r="K1570" t="s">
        <v>78</v>
      </c>
      <c r="L1570" t="s">
        <v>369</v>
      </c>
      <c r="M1570" t="s">
        <v>370</v>
      </c>
      <c r="N1570" t="s">
        <v>371</v>
      </c>
      <c r="O1570" t="s">
        <v>82</v>
      </c>
      <c r="P1570" t="str">
        <f>"4170043457                    "</f>
        <v xml:space="preserve">4170043457                    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131.91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  <c r="BE1570">
        <v>0</v>
      </c>
      <c r="BF1570">
        <v>0</v>
      </c>
      <c r="BG1570">
        <v>0</v>
      </c>
      <c r="BH1570">
        <v>1</v>
      </c>
      <c r="BI1570">
        <v>7</v>
      </c>
      <c r="BJ1570">
        <v>3.8</v>
      </c>
      <c r="BK1570">
        <v>7</v>
      </c>
      <c r="BL1570">
        <v>438.67</v>
      </c>
      <c r="BM1570">
        <v>65.8</v>
      </c>
      <c r="BN1570">
        <v>504.47</v>
      </c>
      <c r="BO1570">
        <v>504.47</v>
      </c>
      <c r="BQ1570" t="s">
        <v>372</v>
      </c>
      <c r="BR1570" t="s">
        <v>84</v>
      </c>
      <c r="BS1570" t="s">
        <v>189</v>
      </c>
      <c r="BV1570" t="s">
        <v>90</v>
      </c>
      <c r="BY1570">
        <v>19227</v>
      </c>
      <c r="CC1570" t="s">
        <v>370</v>
      </c>
      <c r="CD1570">
        <v>7130</v>
      </c>
      <c r="CE1570" t="s">
        <v>687</v>
      </c>
      <c r="CI1570">
        <v>1</v>
      </c>
      <c r="CJ1570" t="s">
        <v>189</v>
      </c>
      <c r="CK1570">
        <v>23</v>
      </c>
      <c r="CL1570" t="s">
        <v>90</v>
      </c>
    </row>
    <row r="1571" spans="1:90" x14ac:dyDescent="0.3">
      <c r="A1571" t="s">
        <v>72</v>
      </c>
      <c r="B1571" t="s">
        <v>73</v>
      </c>
      <c r="C1571" t="s">
        <v>74</v>
      </c>
      <c r="E1571" t="str">
        <f>"080065900962"</f>
        <v>080065900962</v>
      </c>
      <c r="F1571" s="3">
        <v>45819</v>
      </c>
      <c r="G1571">
        <v>202603</v>
      </c>
      <c r="H1571" t="s">
        <v>75</v>
      </c>
      <c r="I1571" t="s">
        <v>76</v>
      </c>
      <c r="J1571" t="s">
        <v>77</v>
      </c>
      <c r="K1571" t="s">
        <v>78</v>
      </c>
      <c r="L1571" t="s">
        <v>302</v>
      </c>
      <c r="M1571" t="s">
        <v>303</v>
      </c>
      <c r="N1571" t="s">
        <v>1501</v>
      </c>
      <c r="O1571" t="s">
        <v>82</v>
      </c>
      <c r="P1571" t="str">
        <f>"4170043461                    "</f>
        <v xml:space="preserve">4170043461                    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40.49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0</v>
      </c>
      <c r="AX1571">
        <v>0</v>
      </c>
      <c r="AY1571">
        <v>0</v>
      </c>
      <c r="AZ1571">
        <v>0</v>
      </c>
      <c r="BA1571">
        <v>0</v>
      </c>
      <c r="BB1571">
        <v>0</v>
      </c>
      <c r="BC1571">
        <v>0</v>
      </c>
      <c r="BD1571">
        <v>0</v>
      </c>
      <c r="BE1571">
        <v>0</v>
      </c>
      <c r="BF1571">
        <v>0</v>
      </c>
      <c r="BG1571">
        <v>0</v>
      </c>
      <c r="BH1571">
        <v>1</v>
      </c>
      <c r="BI1571">
        <v>1</v>
      </c>
      <c r="BJ1571">
        <v>0.2</v>
      </c>
      <c r="BK1571">
        <v>1</v>
      </c>
      <c r="BL1571">
        <v>134.65</v>
      </c>
      <c r="BM1571">
        <v>20.2</v>
      </c>
      <c r="BN1571">
        <v>154.85</v>
      </c>
      <c r="BO1571">
        <v>154.85</v>
      </c>
      <c r="BQ1571" t="s">
        <v>1502</v>
      </c>
      <c r="BR1571" t="s">
        <v>84</v>
      </c>
      <c r="BS1571" t="s">
        <v>189</v>
      </c>
      <c r="BV1571" t="s">
        <v>90</v>
      </c>
      <c r="BY1571">
        <v>1200</v>
      </c>
      <c r="CC1571" t="s">
        <v>303</v>
      </c>
      <c r="CD1571">
        <v>299</v>
      </c>
      <c r="CE1571" t="s">
        <v>215</v>
      </c>
      <c r="CI1571">
        <v>1</v>
      </c>
      <c r="CJ1571" t="s">
        <v>189</v>
      </c>
      <c r="CK1571">
        <v>23</v>
      </c>
      <c r="CL1571" t="s">
        <v>90</v>
      </c>
    </row>
    <row r="1572" spans="1:90" x14ac:dyDescent="0.3">
      <c r="A1572" t="s">
        <v>72</v>
      </c>
      <c r="B1572" t="s">
        <v>73</v>
      </c>
      <c r="C1572" t="s">
        <v>74</v>
      </c>
      <c r="E1572" t="str">
        <f>"080065900977"</f>
        <v>080065900977</v>
      </c>
      <c r="F1572" s="3">
        <v>45819</v>
      </c>
      <c r="G1572">
        <v>202603</v>
      </c>
      <c r="H1572" t="s">
        <v>75</v>
      </c>
      <c r="I1572" t="s">
        <v>76</v>
      </c>
      <c r="J1572" t="s">
        <v>77</v>
      </c>
      <c r="K1572" t="s">
        <v>78</v>
      </c>
      <c r="L1572" t="s">
        <v>350</v>
      </c>
      <c r="M1572" t="s">
        <v>351</v>
      </c>
      <c r="N1572" t="s">
        <v>512</v>
      </c>
      <c r="O1572" t="s">
        <v>82</v>
      </c>
      <c r="P1572" t="str">
        <f>"4170043467                    "</f>
        <v xml:space="preserve">4170043467                    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20.9</v>
      </c>
      <c r="AR1572">
        <v>0</v>
      </c>
      <c r="AS1572">
        <v>0</v>
      </c>
      <c r="AT1572">
        <v>0</v>
      </c>
      <c r="AU1572">
        <v>0</v>
      </c>
      <c r="AV1572">
        <v>0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0</v>
      </c>
      <c r="BC1572">
        <v>0</v>
      </c>
      <c r="BD1572">
        <v>0</v>
      </c>
      <c r="BE1572">
        <v>0</v>
      </c>
      <c r="BF1572">
        <v>0</v>
      </c>
      <c r="BG1572">
        <v>0</v>
      </c>
      <c r="BH1572">
        <v>1</v>
      </c>
      <c r="BI1572">
        <v>1</v>
      </c>
      <c r="BJ1572">
        <v>0.2</v>
      </c>
      <c r="BK1572">
        <v>1</v>
      </c>
      <c r="BL1572">
        <v>69.5</v>
      </c>
      <c r="BM1572">
        <v>10.43</v>
      </c>
      <c r="BN1572">
        <v>79.930000000000007</v>
      </c>
      <c r="BO1572">
        <v>79.930000000000007</v>
      </c>
      <c r="BQ1572" t="s">
        <v>513</v>
      </c>
      <c r="BR1572" t="s">
        <v>84</v>
      </c>
      <c r="BS1572" t="s">
        <v>189</v>
      </c>
      <c r="BV1572" t="s">
        <v>90</v>
      </c>
      <c r="BY1572">
        <v>1200</v>
      </c>
      <c r="CC1572" t="s">
        <v>351</v>
      </c>
      <c r="CD1572">
        <v>157</v>
      </c>
      <c r="CE1572" t="s">
        <v>215</v>
      </c>
      <c r="CI1572">
        <v>1</v>
      </c>
      <c r="CJ1572" t="s">
        <v>189</v>
      </c>
      <c r="CK1572">
        <v>21</v>
      </c>
      <c r="CL1572" t="s">
        <v>90</v>
      </c>
    </row>
    <row r="1573" spans="1:90" x14ac:dyDescent="0.3">
      <c r="A1573" t="s">
        <v>72</v>
      </c>
      <c r="B1573" t="s">
        <v>73</v>
      </c>
      <c r="C1573" t="s">
        <v>74</v>
      </c>
      <c r="E1573" t="str">
        <f>"080065900980"</f>
        <v>080065900980</v>
      </c>
      <c r="F1573" s="3">
        <v>45819</v>
      </c>
      <c r="G1573">
        <v>202603</v>
      </c>
      <c r="H1573" t="s">
        <v>75</v>
      </c>
      <c r="I1573" t="s">
        <v>76</v>
      </c>
      <c r="J1573" t="s">
        <v>77</v>
      </c>
      <c r="K1573" t="s">
        <v>78</v>
      </c>
      <c r="L1573" t="s">
        <v>331</v>
      </c>
      <c r="M1573" t="s">
        <v>332</v>
      </c>
      <c r="N1573" t="s">
        <v>484</v>
      </c>
      <c r="O1573" t="s">
        <v>82</v>
      </c>
      <c r="P1573" t="str">
        <f>"4170043459                    "</f>
        <v xml:space="preserve">4170043459                    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31.34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0</v>
      </c>
      <c r="AX1573">
        <v>0</v>
      </c>
      <c r="AY1573">
        <v>0</v>
      </c>
      <c r="AZ1573">
        <v>0</v>
      </c>
      <c r="BA1573">
        <v>0</v>
      </c>
      <c r="BB1573">
        <v>0</v>
      </c>
      <c r="BC1573">
        <v>0</v>
      </c>
      <c r="BD1573">
        <v>0</v>
      </c>
      <c r="BE1573">
        <v>0</v>
      </c>
      <c r="BF1573">
        <v>0</v>
      </c>
      <c r="BG1573">
        <v>0</v>
      </c>
      <c r="BH1573">
        <v>1</v>
      </c>
      <c r="BI1573">
        <v>3</v>
      </c>
      <c r="BJ1573">
        <v>1.7</v>
      </c>
      <c r="BK1573">
        <v>3</v>
      </c>
      <c r="BL1573">
        <v>104.22</v>
      </c>
      <c r="BM1573">
        <v>15.63</v>
      </c>
      <c r="BN1573">
        <v>119.85</v>
      </c>
      <c r="BO1573">
        <v>119.85</v>
      </c>
      <c r="BQ1573" t="s">
        <v>485</v>
      </c>
      <c r="BR1573" t="s">
        <v>84</v>
      </c>
      <c r="BS1573" t="s">
        <v>189</v>
      </c>
      <c r="BV1573" t="s">
        <v>90</v>
      </c>
      <c r="BY1573">
        <v>8550</v>
      </c>
      <c r="CC1573" t="s">
        <v>332</v>
      </c>
      <c r="CD1573">
        <v>4052</v>
      </c>
      <c r="CE1573" t="s">
        <v>292</v>
      </c>
      <c r="CI1573">
        <v>1</v>
      </c>
      <c r="CJ1573" t="s">
        <v>189</v>
      </c>
      <c r="CK1573">
        <v>21</v>
      </c>
      <c r="CL1573" t="s">
        <v>90</v>
      </c>
    </row>
    <row r="1574" spans="1:90" x14ac:dyDescent="0.3">
      <c r="A1574" t="s">
        <v>72</v>
      </c>
      <c r="B1574" t="s">
        <v>73</v>
      </c>
      <c r="C1574" t="s">
        <v>74</v>
      </c>
      <c r="E1574" t="str">
        <f>"080065901005"</f>
        <v>080065901005</v>
      </c>
      <c r="F1574" s="3">
        <v>45819</v>
      </c>
      <c r="G1574">
        <v>202603</v>
      </c>
      <c r="H1574" t="s">
        <v>75</v>
      </c>
      <c r="I1574" t="s">
        <v>76</v>
      </c>
      <c r="J1574" t="s">
        <v>77</v>
      </c>
      <c r="K1574" t="s">
        <v>78</v>
      </c>
      <c r="L1574" t="s">
        <v>159</v>
      </c>
      <c r="M1574" t="s">
        <v>160</v>
      </c>
      <c r="N1574" t="s">
        <v>750</v>
      </c>
      <c r="O1574" t="s">
        <v>82</v>
      </c>
      <c r="P1574" t="str">
        <f>"4170043473                    "</f>
        <v xml:space="preserve">4170043473                    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16.32</v>
      </c>
      <c r="AR1574">
        <v>0</v>
      </c>
      <c r="AS1574">
        <v>0</v>
      </c>
      <c r="AT1574">
        <v>0</v>
      </c>
      <c r="AU1574">
        <v>0</v>
      </c>
      <c r="AV1574">
        <v>0</v>
      </c>
      <c r="AW1574">
        <v>0</v>
      </c>
      <c r="AX1574">
        <v>0</v>
      </c>
      <c r="AY1574">
        <v>0</v>
      </c>
      <c r="AZ1574">
        <v>0</v>
      </c>
      <c r="BA1574">
        <v>0</v>
      </c>
      <c r="BB1574">
        <v>0</v>
      </c>
      <c r="BC1574">
        <v>0</v>
      </c>
      <c r="BD1574">
        <v>0</v>
      </c>
      <c r="BE1574">
        <v>0</v>
      </c>
      <c r="BF1574">
        <v>0</v>
      </c>
      <c r="BG1574">
        <v>0</v>
      </c>
      <c r="BH1574">
        <v>1</v>
      </c>
      <c r="BI1574">
        <v>1</v>
      </c>
      <c r="BJ1574">
        <v>0.2</v>
      </c>
      <c r="BK1574">
        <v>1</v>
      </c>
      <c r="BL1574">
        <v>54.28</v>
      </c>
      <c r="BM1574">
        <v>8.14</v>
      </c>
      <c r="BN1574">
        <v>62.42</v>
      </c>
      <c r="BO1574">
        <v>62.42</v>
      </c>
      <c r="BQ1574" t="s">
        <v>751</v>
      </c>
      <c r="BR1574" t="s">
        <v>84</v>
      </c>
      <c r="BS1574" t="s">
        <v>189</v>
      </c>
      <c r="BV1574" t="s">
        <v>90</v>
      </c>
      <c r="BY1574">
        <v>1200</v>
      </c>
      <c r="CC1574" t="s">
        <v>160</v>
      </c>
      <c r="CD1574">
        <v>2094</v>
      </c>
      <c r="CE1574" t="s">
        <v>215</v>
      </c>
      <c r="CI1574">
        <v>1</v>
      </c>
      <c r="CJ1574" t="s">
        <v>189</v>
      </c>
      <c r="CK1574">
        <v>22</v>
      </c>
      <c r="CL1574" t="s">
        <v>90</v>
      </c>
    </row>
    <row r="1575" spans="1:90" x14ac:dyDescent="0.3">
      <c r="A1575" t="s">
        <v>72</v>
      </c>
      <c r="B1575" t="s">
        <v>73</v>
      </c>
      <c r="C1575" t="s">
        <v>74</v>
      </c>
      <c r="E1575" t="str">
        <f>"080065901019"</f>
        <v>080065901019</v>
      </c>
      <c r="F1575" s="3">
        <v>45819</v>
      </c>
      <c r="G1575">
        <v>202603</v>
      </c>
      <c r="H1575" t="s">
        <v>75</v>
      </c>
      <c r="I1575" t="s">
        <v>76</v>
      </c>
      <c r="J1575" t="s">
        <v>77</v>
      </c>
      <c r="K1575" t="s">
        <v>78</v>
      </c>
      <c r="L1575" t="s">
        <v>350</v>
      </c>
      <c r="M1575" t="s">
        <v>351</v>
      </c>
      <c r="N1575" t="s">
        <v>512</v>
      </c>
      <c r="O1575" t="s">
        <v>82</v>
      </c>
      <c r="P1575" t="str">
        <f>"4170043470                    "</f>
        <v xml:space="preserve">4170043470                    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36.56</v>
      </c>
      <c r="AR1575">
        <v>0</v>
      </c>
      <c r="AS1575">
        <v>0</v>
      </c>
      <c r="AT1575">
        <v>0</v>
      </c>
      <c r="AU1575">
        <v>0</v>
      </c>
      <c r="AV1575">
        <v>0</v>
      </c>
      <c r="AW1575">
        <v>0</v>
      </c>
      <c r="AX1575">
        <v>0</v>
      </c>
      <c r="AY1575">
        <v>0</v>
      </c>
      <c r="AZ1575">
        <v>0</v>
      </c>
      <c r="BA1575">
        <v>0</v>
      </c>
      <c r="BB1575">
        <v>0</v>
      </c>
      <c r="BC1575">
        <v>0</v>
      </c>
      <c r="BD1575">
        <v>0</v>
      </c>
      <c r="BE1575">
        <v>0</v>
      </c>
      <c r="BF1575">
        <v>0</v>
      </c>
      <c r="BG1575">
        <v>0</v>
      </c>
      <c r="BH1575">
        <v>1</v>
      </c>
      <c r="BI1575">
        <v>3</v>
      </c>
      <c r="BJ1575">
        <v>3.4</v>
      </c>
      <c r="BK1575">
        <v>3.5</v>
      </c>
      <c r="BL1575">
        <v>121.58</v>
      </c>
      <c r="BM1575">
        <v>18.239999999999998</v>
      </c>
      <c r="BN1575">
        <v>139.82</v>
      </c>
      <c r="BO1575">
        <v>139.82</v>
      </c>
      <c r="BQ1575" t="s">
        <v>513</v>
      </c>
      <c r="BR1575" t="s">
        <v>84</v>
      </c>
      <c r="BS1575" t="s">
        <v>189</v>
      </c>
      <c r="BV1575" t="s">
        <v>90</v>
      </c>
      <c r="BY1575">
        <v>16965</v>
      </c>
      <c r="CC1575" t="s">
        <v>351</v>
      </c>
      <c r="CD1575">
        <v>157</v>
      </c>
      <c r="CE1575" t="s">
        <v>687</v>
      </c>
      <c r="CI1575">
        <v>1</v>
      </c>
      <c r="CJ1575" t="s">
        <v>189</v>
      </c>
      <c r="CK1575">
        <v>21</v>
      </c>
      <c r="CL1575" t="s">
        <v>90</v>
      </c>
    </row>
    <row r="1576" spans="1:90" x14ac:dyDescent="0.3">
      <c r="A1576" t="s">
        <v>72</v>
      </c>
      <c r="B1576" t="s">
        <v>73</v>
      </c>
      <c r="C1576" t="s">
        <v>74</v>
      </c>
      <c r="E1576" t="str">
        <f>"080065901032"</f>
        <v>080065901032</v>
      </c>
      <c r="F1576" s="3">
        <v>45819</v>
      </c>
      <c r="G1576">
        <v>202603</v>
      </c>
      <c r="H1576" t="s">
        <v>75</v>
      </c>
      <c r="I1576" t="s">
        <v>76</v>
      </c>
      <c r="J1576" t="s">
        <v>77</v>
      </c>
      <c r="K1576" t="s">
        <v>78</v>
      </c>
      <c r="L1576" t="s">
        <v>224</v>
      </c>
      <c r="M1576" t="s">
        <v>225</v>
      </c>
      <c r="N1576" t="s">
        <v>1442</v>
      </c>
      <c r="O1576" t="s">
        <v>82</v>
      </c>
      <c r="P1576" t="str">
        <f>"4170043397                    "</f>
        <v xml:space="preserve">4170043397                    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>
        <v>40.49</v>
      </c>
      <c r="AR1576">
        <v>0</v>
      </c>
      <c r="AS1576">
        <v>0</v>
      </c>
      <c r="AT1576">
        <v>0</v>
      </c>
      <c r="AU1576">
        <v>0</v>
      </c>
      <c r="AV1576">
        <v>0</v>
      </c>
      <c r="AW1576">
        <v>0</v>
      </c>
      <c r="AX1576">
        <v>0</v>
      </c>
      <c r="AY1576">
        <v>0</v>
      </c>
      <c r="AZ1576">
        <v>0</v>
      </c>
      <c r="BA1576">
        <v>0</v>
      </c>
      <c r="BB1576">
        <v>0</v>
      </c>
      <c r="BC1576">
        <v>0</v>
      </c>
      <c r="BD1576">
        <v>0</v>
      </c>
      <c r="BE1576">
        <v>0</v>
      </c>
      <c r="BF1576">
        <v>0</v>
      </c>
      <c r="BG1576">
        <v>0</v>
      </c>
      <c r="BH1576">
        <v>1</v>
      </c>
      <c r="BI1576">
        <v>1</v>
      </c>
      <c r="BJ1576">
        <v>0.2</v>
      </c>
      <c r="BK1576">
        <v>1</v>
      </c>
      <c r="BL1576">
        <v>134.65</v>
      </c>
      <c r="BM1576">
        <v>20.2</v>
      </c>
      <c r="BN1576">
        <v>154.85</v>
      </c>
      <c r="BO1576">
        <v>154.85</v>
      </c>
      <c r="BQ1576" t="s">
        <v>1443</v>
      </c>
      <c r="BR1576" t="s">
        <v>84</v>
      </c>
      <c r="BS1576" t="s">
        <v>189</v>
      </c>
      <c r="BV1576" t="s">
        <v>90</v>
      </c>
      <c r="BY1576">
        <v>1200</v>
      </c>
      <c r="CC1576" t="s">
        <v>225</v>
      </c>
      <c r="CD1576">
        <v>6300</v>
      </c>
      <c r="CE1576" t="s">
        <v>215</v>
      </c>
      <c r="CI1576">
        <v>2</v>
      </c>
      <c r="CJ1576" t="s">
        <v>189</v>
      </c>
      <c r="CK1576">
        <v>23</v>
      </c>
      <c r="CL1576" t="s">
        <v>90</v>
      </c>
    </row>
    <row r="1577" spans="1:90" x14ac:dyDescent="0.3">
      <c r="A1577" t="s">
        <v>72</v>
      </c>
      <c r="B1577" t="s">
        <v>73</v>
      </c>
      <c r="C1577" t="s">
        <v>74</v>
      </c>
      <c r="E1577" t="str">
        <f>"080065901049"</f>
        <v>080065901049</v>
      </c>
      <c r="F1577" s="3">
        <v>45819</v>
      </c>
      <c r="G1577">
        <v>202603</v>
      </c>
      <c r="H1577" t="s">
        <v>75</v>
      </c>
      <c r="I1577" t="s">
        <v>76</v>
      </c>
      <c r="J1577" t="s">
        <v>77</v>
      </c>
      <c r="K1577" t="s">
        <v>78</v>
      </c>
      <c r="L1577" t="s">
        <v>75</v>
      </c>
      <c r="M1577" t="s">
        <v>76</v>
      </c>
      <c r="N1577" t="s">
        <v>112</v>
      </c>
      <c r="O1577" t="s">
        <v>82</v>
      </c>
      <c r="P1577" t="str">
        <f>"4170043489                    "</f>
        <v xml:space="preserve">4170043489                    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16.32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0</v>
      </c>
      <c r="BC1577">
        <v>0</v>
      </c>
      <c r="BD1577">
        <v>0</v>
      </c>
      <c r="BE1577">
        <v>0</v>
      </c>
      <c r="BF1577">
        <v>0</v>
      </c>
      <c r="BG1577">
        <v>0</v>
      </c>
      <c r="BH1577">
        <v>1</v>
      </c>
      <c r="BI1577">
        <v>1</v>
      </c>
      <c r="BJ1577">
        <v>0.2</v>
      </c>
      <c r="BK1577">
        <v>1</v>
      </c>
      <c r="BL1577">
        <v>54.28</v>
      </c>
      <c r="BM1577">
        <v>8.14</v>
      </c>
      <c r="BN1577">
        <v>62.42</v>
      </c>
      <c r="BO1577">
        <v>62.42</v>
      </c>
      <c r="BQ1577" t="s">
        <v>113</v>
      </c>
      <c r="BR1577" t="s">
        <v>84</v>
      </c>
      <c r="BS1577" t="s">
        <v>189</v>
      </c>
      <c r="BV1577" t="s">
        <v>90</v>
      </c>
      <c r="BY1577">
        <v>1200</v>
      </c>
      <c r="CC1577" t="s">
        <v>76</v>
      </c>
      <c r="CD1577">
        <v>1600</v>
      </c>
      <c r="CE1577" t="s">
        <v>215</v>
      </c>
      <c r="CI1577">
        <v>1</v>
      </c>
      <c r="CJ1577" t="s">
        <v>189</v>
      </c>
      <c r="CK1577">
        <v>22</v>
      </c>
      <c r="CL1577" t="s">
        <v>90</v>
      </c>
    </row>
    <row r="1578" spans="1:90" x14ac:dyDescent="0.3">
      <c r="A1578" t="s">
        <v>72</v>
      </c>
      <c r="B1578" t="s">
        <v>73</v>
      </c>
      <c r="C1578" t="s">
        <v>74</v>
      </c>
      <c r="E1578" t="str">
        <f>"080065901062"</f>
        <v>080065901062</v>
      </c>
      <c r="F1578" s="3">
        <v>45819</v>
      </c>
      <c r="G1578">
        <v>202603</v>
      </c>
      <c r="H1578" t="s">
        <v>75</v>
      </c>
      <c r="I1578" t="s">
        <v>76</v>
      </c>
      <c r="J1578" t="s">
        <v>77</v>
      </c>
      <c r="K1578" t="s">
        <v>78</v>
      </c>
      <c r="L1578" t="s">
        <v>266</v>
      </c>
      <c r="M1578" t="s">
        <v>267</v>
      </c>
      <c r="N1578" t="s">
        <v>268</v>
      </c>
      <c r="O1578" t="s">
        <v>82</v>
      </c>
      <c r="P1578" t="str">
        <f>"4170043391                    "</f>
        <v xml:space="preserve">4170043391                    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20.9</v>
      </c>
      <c r="AR1578">
        <v>0</v>
      </c>
      <c r="AS1578">
        <v>0</v>
      </c>
      <c r="AT1578">
        <v>0</v>
      </c>
      <c r="AU1578">
        <v>0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  <c r="BE1578">
        <v>0</v>
      </c>
      <c r="BF1578">
        <v>0</v>
      </c>
      <c r="BG1578">
        <v>0</v>
      </c>
      <c r="BH1578">
        <v>1</v>
      </c>
      <c r="BI1578">
        <v>1</v>
      </c>
      <c r="BJ1578">
        <v>0.2</v>
      </c>
      <c r="BK1578">
        <v>1</v>
      </c>
      <c r="BL1578">
        <v>69.5</v>
      </c>
      <c r="BM1578">
        <v>10.43</v>
      </c>
      <c r="BN1578">
        <v>79.930000000000007</v>
      </c>
      <c r="BO1578">
        <v>79.930000000000007</v>
      </c>
      <c r="BQ1578" t="s">
        <v>269</v>
      </c>
      <c r="BR1578" t="s">
        <v>84</v>
      </c>
      <c r="BS1578" t="s">
        <v>189</v>
      </c>
      <c r="BV1578" t="s">
        <v>90</v>
      </c>
      <c r="BY1578">
        <v>1200</v>
      </c>
      <c r="CC1578" t="s">
        <v>267</v>
      </c>
      <c r="CD1578">
        <v>6229</v>
      </c>
      <c r="CE1578" t="s">
        <v>215</v>
      </c>
      <c r="CI1578">
        <v>1</v>
      </c>
      <c r="CJ1578" t="s">
        <v>189</v>
      </c>
      <c r="CK1578">
        <v>21</v>
      </c>
      <c r="CL1578" t="s">
        <v>90</v>
      </c>
    </row>
    <row r="1579" spans="1:90" x14ac:dyDescent="0.3">
      <c r="A1579" t="s">
        <v>72</v>
      </c>
      <c r="B1579" t="s">
        <v>73</v>
      </c>
      <c r="C1579" t="s">
        <v>74</v>
      </c>
      <c r="E1579" t="str">
        <f>"080065901444"</f>
        <v>080065901444</v>
      </c>
      <c r="F1579" s="3">
        <v>45819</v>
      </c>
      <c r="G1579">
        <v>202603</v>
      </c>
      <c r="H1579" t="s">
        <v>75</v>
      </c>
      <c r="I1579" t="s">
        <v>76</v>
      </c>
      <c r="J1579" t="s">
        <v>77</v>
      </c>
      <c r="K1579" t="s">
        <v>78</v>
      </c>
      <c r="L1579" t="s">
        <v>311</v>
      </c>
      <c r="M1579" t="s">
        <v>312</v>
      </c>
      <c r="N1579" t="s">
        <v>2117</v>
      </c>
      <c r="O1579" t="s">
        <v>82</v>
      </c>
      <c r="P1579" t="str">
        <f>"4170043403                    "</f>
        <v xml:space="preserve">4170043403                    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40.49</v>
      </c>
      <c r="AR1579">
        <v>0</v>
      </c>
      <c r="AS1579">
        <v>0</v>
      </c>
      <c r="AT1579">
        <v>0</v>
      </c>
      <c r="AU1579">
        <v>0</v>
      </c>
      <c r="AV1579">
        <v>0</v>
      </c>
      <c r="AW1579">
        <v>0</v>
      </c>
      <c r="AX1579">
        <v>0</v>
      </c>
      <c r="AY1579">
        <v>0</v>
      </c>
      <c r="AZ1579">
        <v>0</v>
      </c>
      <c r="BA1579">
        <v>0</v>
      </c>
      <c r="BB1579">
        <v>0</v>
      </c>
      <c r="BC1579">
        <v>0</v>
      </c>
      <c r="BD1579">
        <v>0</v>
      </c>
      <c r="BE1579">
        <v>0</v>
      </c>
      <c r="BF1579">
        <v>0</v>
      </c>
      <c r="BG1579">
        <v>0</v>
      </c>
      <c r="BH1579">
        <v>1</v>
      </c>
      <c r="BI1579">
        <v>1</v>
      </c>
      <c r="BJ1579">
        <v>1.9</v>
      </c>
      <c r="BK1579">
        <v>2</v>
      </c>
      <c r="BL1579">
        <v>134.65</v>
      </c>
      <c r="BM1579">
        <v>20.2</v>
      </c>
      <c r="BN1579">
        <v>154.85</v>
      </c>
      <c r="BO1579">
        <v>154.85</v>
      </c>
      <c r="BQ1579" t="s">
        <v>2118</v>
      </c>
      <c r="BR1579" t="s">
        <v>84</v>
      </c>
      <c r="BS1579" t="s">
        <v>189</v>
      </c>
      <c r="BV1579" t="s">
        <v>90</v>
      </c>
      <c r="BY1579">
        <v>9600</v>
      </c>
      <c r="CC1579" t="s">
        <v>312</v>
      </c>
      <c r="CD1579">
        <v>1028</v>
      </c>
      <c r="CE1579" t="s">
        <v>687</v>
      </c>
      <c r="CI1579">
        <v>1</v>
      </c>
      <c r="CJ1579" t="s">
        <v>189</v>
      </c>
      <c r="CK1579">
        <v>23</v>
      </c>
      <c r="CL1579" t="s">
        <v>90</v>
      </c>
    </row>
    <row r="1580" spans="1:90" x14ac:dyDescent="0.3">
      <c r="A1580" t="s">
        <v>72</v>
      </c>
      <c r="B1580" t="s">
        <v>73</v>
      </c>
      <c r="C1580" t="s">
        <v>74</v>
      </c>
      <c r="E1580" t="str">
        <f>"080065901468"</f>
        <v>080065901468</v>
      </c>
      <c r="F1580" s="3">
        <v>45819</v>
      </c>
      <c r="G1580">
        <v>202603</v>
      </c>
      <c r="H1580" t="s">
        <v>75</v>
      </c>
      <c r="I1580" t="s">
        <v>76</v>
      </c>
      <c r="J1580" t="s">
        <v>77</v>
      </c>
      <c r="K1580" t="s">
        <v>78</v>
      </c>
      <c r="L1580" t="s">
        <v>663</v>
      </c>
      <c r="M1580" t="s">
        <v>664</v>
      </c>
      <c r="N1580" t="s">
        <v>723</v>
      </c>
      <c r="O1580" t="s">
        <v>82</v>
      </c>
      <c r="P1580" t="str">
        <f>"4170043431                    "</f>
        <v xml:space="preserve">4170043431                    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95.34</v>
      </c>
      <c r="AR1580">
        <v>0</v>
      </c>
      <c r="AS1580">
        <v>0</v>
      </c>
      <c r="AT1580">
        <v>0</v>
      </c>
      <c r="AU1580">
        <v>0</v>
      </c>
      <c r="AV1580">
        <v>0</v>
      </c>
      <c r="AW1580">
        <v>0</v>
      </c>
      <c r="AX1580">
        <v>0</v>
      </c>
      <c r="AY1580">
        <v>0</v>
      </c>
      <c r="AZ1580">
        <v>0</v>
      </c>
      <c r="BA1580">
        <v>0</v>
      </c>
      <c r="BB1580">
        <v>0</v>
      </c>
      <c r="BC1580">
        <v>0</v>
      </c>
      <c r="BD1580">
        <v>0</v>
      </c>
      <c r="BE1580">
        <v>0</v>
      </c>
      <c r="BF1580">
        <v>0</v>
      </c>
      <c r="BG1580">
        <v>0</v>
      </c>
      <c r="BH1580">
        <v>1</v>
      </c>
      <c r="BI1580">
        <v>3</v>
      </c>
      <c r="BJ1580">
        <v>4.7</v>
      </c>
      <c r="BK1580">
        <v>5</v>
      </c>
      <c r="BL1580">
        <v>317.06</v>
      </c>
      <c r="BM1580">
        <v>47.56</v>
      </c>
      <c r="BN1580">
        <v>364.62</v>
      </c>
      <c r="BO1580">
        <v>364.62</v>
      </c>
      <c r="BQ1580" t="s">
        <v>724</v>
      </c>
      <c r="BR1580" t="s">
        <v>84</v>
      </c>
      <c r="BS1580" t="s">
        <v>189</v>
      </c>
      <c r="BV1580" t="s">
        <v>90</v>
      </c>
      <c r="BY1580">
        <v>23520</v>
      </c>
      <c r="CC1580" t="s">
        <v>664</v>
      </c>
      <c r="CD1580">
        <v>1947</v>
      </c>
      <c r="CE1580" t="s">
        <v>166</v>
      </c>
      <c r="CI1580">
        <v>1</v>
      </c>
      <c r="CJ1580" t="s">
        <v>189</v>
      </c>
      <c r="CK1580">
        <v>23</v>
      </c>
      <c r="CL1580" t="s">
        <v>90</v>
      </c>
    </row>
    <row r="1581" spans="1:90" x14ac:dyDescent="0.3">
      <c r="A1581" t="s">
        <v>72</v>
      </c>
      <c r="B1581" t="s">
        <v>73</v>
      </c>
      <c r="C1581" t="s">
        <v>74</v>
      </c>
      <c r="E1581" t="str">
        <f>"080065901500"</f>
        <v>080065901500</v>
      </c>
      <c r="F1581" s="3">
        <v>45819</v>
      </c>
      <c r="G1581">
        <v>202603</v>
      </c>
      <c r="H1581" t="s">
        <v>75</v>
      </c>
      <c r="I1581" t="s">
        <v>76</v>
      </c>
      <c r="J1581" t="s">
        <v>77</v>
      </c>
      <c r="K1581" t="s">
        <v>78</v>
      </c>
      <c r="L1581" t="s">
        <v>350</v>
      </c>
      <c r="M1581" t="s">
        <v>351</v>
      </c>
      <c r="N1581" t="s">
        <v>512</v>
      </c>
      <c r="O1581" t="s">
        <v>82</v>
      </c>
      <c r="P1581" t="str">
        <f>"4170043466                    "</f>
        <v xml:space="preserve">4170043466                    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20.9</v>
      </c>
      <c r="AR1581">
        <v>0</v>
      </c>
      <c r="AS1581">
        <v>0</v>
      </c>
      <c r="AT1581">
        <v>0</v>
      </c>
      <c r="AU1581">
        <v>0</v>
      </c>
      <c r="AV1581">
        <v>0</v>
      </c>
      <c r="AW1581">
        <v>0</v>
      </c>
      <c r="AX1581">
        <v>0</v>
      </c>
      <c r="AY1581">
        <v>0</v>
      </c>
      <c r="AZ1581">
        <v>0</v>
      </c>
      <c r="BA1581">
        <v>0</v>
      </c>
      <c r="BB1581">
        <v>0</v>
      </c>
      <c r="BC1581">
        <v>0</v>
      </c>
      <c r="BD1581">
        <v>0</v>
      </c>
      <c r="BE1581">
        <v>0</v>
      </c>
      <c r="BF1581">
        <v>0</v>
      </c>
      <c r="BG1581">
        <v>0</v>
      </c>
      <c r="BH1581">
        <v>1</v>
      </c>
      <c r="BI1581">
        <v>1</v>
      </c>
      <c r="BJ1581">
        <v>0.2</v>
      </c>
      <c r="BK1581">
        <v>1</v>
      </c>
      <c r="BL1581">
        <v>69.5</v>
      </c>
      <c r="BM1581">
        <v>10.43</v>
      </c>
      <c r="BN1581">
        <v>79.930000000000007</v>
      </c>
      <c r="BO1581">
        <v>79.930000000000007</v>
      </c>
      <c r="BQ1581" t="s">
        <v>513</v>
      </c>
      <c r="BR1581" t="s">
        <v>84</v>
      </c>
      <c r="BS1581" t="s">
        <v>189</v>
      </c>
      <c r="BV1581" t="s">
        <v>90</v>
      </c>
      <c r="BY1581">
        <v>1200</v>
      </c>
      <c r="CC1581" t="s">
        <v>351</v>
      </c>
      <c r="CD1581">
        <v>157</v>
      </c>
      <c r="CE1581" t="s">
        <v>215</v>
      </c>
      <c r="CI1581">
        <v>1</v>
      </c>
      <c r="CJ1581" t="s">
        <v>189</v>
      </c>
      <c r="CK1581">
        <v>21</v>
      </c>
      <c r="CL1581" t="s">
        <v>90</v>
      </c>
    </row>
    <row r="1582" spans="1:90" x14ac:dyDescent="0.3">
      <c r="A1582" t="s">
        <v>72</v>
      </c>
      <c r="B1582" t="s">
        <v>73</v>
      </c>
      <c r="C1582" t="s">
        <v>74</v>
      </c>
      <c r="E1582" t="str">
        <f>"080065901529"</f>
        <v>080065901529</v>
      </c>
      <c r="F1582" s="3">
        <v>45819</v>
      </c>
      <c r="G1582">
        <v>202603</v>
      </c>
      <c r="H1582" t="s">
        <v>75</v>
      </c>
      <c r="I1582" t="s">
        <v>76</v>
      </c>
      <c r="J1582" t="s">
        <v>77</v>
      </c>
      <c r="K1582" t="s">
        <v>78</v>
      </c>
      <c r="L1582" t="s">
        <v>251</v>
      </c>
      <c r="M1582" t="s">
        <v>252</v>
      </c>
      <c r="N1582" t="s">
        <v>567</v>
      </c>
      <c r="O1582" t="s">
        <v>82</v>
      </c>
      <c r="P1582" t="str">
        <f>"4170043443                    "</f>
        <v xml:space="preserve">4170043443                    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20.9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0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>
        <v>0</v>
      </c>
      <c r="BD1582">
        <v>0</v>
      </c>
      <c r="BE1582">
        <v>0</v>
      </c>
      <c r="BF1582">
        <v>0</v>
      </c>
      <c r="BG1582">
        <v>0</v>
      </c>
      <c r="BH1582">
        <v>1</v>
      </c>
      <c r="BI1582">
        <v>1</v>
      </c>
      <c r="BJ1582">
        <v>0.2</v>
      </c>
      <c r="BK1582">
        <v>1</v>
      </c>
      <c r="BL1582">
        <v>69.5</v>
      </c>
      <c r="BM1582">
        <v>10.43</v>
      </c>
      <c r="BN1582">
        <v>79.930000000000007</v>
      </c>
      <c r="BO1582">
        <v>79.930000000000007</v>
      </c>
      <c r="BQ1582" t="s">
        <v>568</v>
      </c>
      <c r="BR1582" t="s">
        <v>84</v>
      </c>
      <c r="BS1582" t="s">
        <v>189</v>
      </c>
      <c r="BV1582" t="s">
        <v>90</v>
      </c>
      <c r="BY1582">
        <v>1200</v>
      </c>
      <c r="CC1582" t="s">
        <v>252</v>
      </c>
      <c r="CD1582">
        <v>4302</v>
      </c>
      <c r="CE1582" t="s">
        <v>215</v>
      </c>
      <c r="CI1582">
        <v>1</v>
      </c>
      <c r="CJ1582" t="s">
        <v>189</v>
      </c>
      <c r="CK1582">
        <v>21</v>
      </c>
      <c r="CL1582" t="s">
        <v>90</v>
      </c>
    </row>
    <row r="1583" spans="1:90" x14ac:dyDescent="0.3">
      <c r="A1583" t="s">
        <v>72</v>
      </c>
      <c r="B1583" t="s">
        <v>73</v>
      </c>
      <c r="C1583" t="s">
        <v>74</v>
      </c>
      <c r="E1583" t="str">
        <f>"080065901554"</f>
        <v>080065901554</v>
      </c>
      <c r="F1583" s="3">
        <v>45819</v>
      </c>
      <c r="G1583">
        <v>202603</v>
      </c>
      <c r="H1583" t="s">
        <v>75</v>
      </c>
      <c r="I1583" t="s">
        <v>76</v>
      </c>
      <c r="J1583" t="s">
        <v>77</v>
      </c>
      <c r="K1583" t="s">
        <v>78</v>
      </c>
      <c r="L1583" t="s">
        <v>100</v>
      </c>
      <c r="M1583" t="s">
        <v>101</v>
      </c>
      <c r="N1583" t="s">
        <v>689</v>
      </c>
      <c r="O1583" t="s">
        <v>82</v>
      </c>
      <c r="P1583" t="str">
        <f>"4170043454                    "</f>
        <v xml:space="preserve">4170043454                    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20.9</v>
      </c>
      <c r="AR1583">
        <v>0</v>
      </c>
      <c r="AS1583">
        <v>0</v>
      </c>
      <c r="AT1583">
        <v>0</v>
      </c>
      <c r="AU1583">
        <v>0</v>
      </c>
      <c r="AV1583">
        <v>0</v>
      </c>
      <c r="AW1583">
        <v>0</v>
      </c>
      <c r="AX1583">
        <v>0</v>
      </c>
      <c r="AY1583">
        <v>0</v>
      </c>
      <c r="AZ1583">
        <v>0</v>
      </c>
      <c r="BA1583">
        <v>0</v>
      </c>
      <c r="BB1583">
        <v>0</v>
      </c>
      <c r="BC1583">
        <v>0</v>
      </c>
      <c r="BD1583">
        <v>0</v>
      </c>
      <c r="BE1583">
        <v>0</v>
      </c>
      <c r="BF1583">
        <v>0</v>
      </c>
      <c r="BG1583">
        <v>0</v>
      </c>
      <c r="BH1583">
        <v>1</v>
      </c>
      <c r="BI1583">
        <v>1</v>
      </c>
      <c r="BJ1583">
        <v>0.2</v>
      </c>
      <c r="BK1583">
        <v>1</v>
      </c>
      <c r="BL1583">
        <v>69.5</v>
      </c>
      <c r="BM1583">
        <v>10.43</v>
      </c>
      <c r="BN1583">
        <v>79.930000000000007</v>
      </c>
      <c r="BO1583">
        <v>79.930000000000007</v>
      </c>
      <c r="BQ1583" t="s">
        <v>690</v>
      </c>
      <c r="BR1583" t="s">
        <v>84</v>
      </c>
      <c r="BS1583" t="s">
        <v>189</v>
      </c>
      <c r="BV1583" t="s">
        <v>90</v>
      </c>
      <c r="BY1583">
        <v>1200</v>
      </c>
      <c r="CC1583" t="s">
        <v>101</v>
      </c>
      <c r="CD1583">
        <v>6001</v>
      </c>
      <c r="CE1583" t="s">
        <v>215</v>
      </c>
      <c r="CI1583">
        <v>1</v>
      </c>
      <c r="CJ1583" t="s">
        <v>189</v>
      </c>
      <c r="CK1583">
        <v>21</v>
      </c>
      <c r="CL1583" t="s">
        <v>90</v>
      </c>
    </row>
    <row r="1584" spans="1:90" x14ac:dyDescent="0.3">
      <c r="A1584" t="s">
        <v>72</v>
      </c>
      <c r="B1584" t="s">
        <v>73</v>
      </c>
      <c r="C1584" t="s">
        <v>74</v>
      </c>
      <c r="E1584" t="str">
        <f>"080065901813"</f>
        <v>080065901813</v>
      </c>
      <c r="F1584" s="3">
        <v>45819</v>
      </c>
      <c r="G1584">
        <v>202603</v>
      </c>
      <c r="H1584" t="s">
        <v>75</v>
      </c>
      <c r="I1584" t="s">
        <v>76</v>
      </c>
      <c r="J1584" t="s">
        <v>77</v>
      </c>
      <c r="K1584" t="s">
        <v>78</v>
      </c>
      <c r="L1584" t="s">
        <v>100</v>
      </c>
      <c r="M1584" t="s">
        <v>101</v>
      </c>
      <c r="N1584" t="s">
        <v>689</v>
      </c>
      <c r="O1584" t="s">
        <v>82</v>
      </c>
      <c r="P1584" t="str">
        <f>"4170043451                    "</f>
        <v xml:space="preserve">4170043451                    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20.9</v>
      </c>
      <c r="AR1584">
        <v>0</v>
      </c>
      <c r="AS1584">
        <v>0</v>
      </c>
      <c r="AT1584">
        <v>0</v>
      </c>
      <c r="AU1584">
        <v>0</v>
      </c>
      <c r="AV1584">
        <v>0</v>
      </c>
      <c r="AW1584">
        <v>0</v>
      </c>
      <c r="AX1584">
        <v>0</v>
      </c>
      <c r="AY1584">
        <v>0</v>
      </c>
      <c r="AZ1584">
        <v>0</v>
      </c>
      <c r="BA1584">
        <v>0</v>
      </c>
      <c r="BB1584">
        <v>0</v>
      </c>
      <c r="BC1584">
        <v>0</v>
      </c>
      <c r="BD1584">
        <v>0</v>
      </c>
      <c r="BE1584">
        <v>0</v>
      </c>
      <c r="BF1584">
        <v>0</v>
      </c>
      <c r="BG1584">
        <v>0</v>
      </c>
      <c r="BH1584">
        <v>1</v>
      </c>
      <c r="BI1584">
        <v>1</v>
      </c>
      <c r="BJ1584">
        <v>0.2</v>
      </c>
      <c r="BK1584">
        <v>1</v>
      </c>
      <c r="BL1584">
        <v>69.5</v>
      </c>
      <c r="BM1584">
        <v>10.43</v>
      </c>
      <c r="BN1584">
        <v>79.930000000000007</v>
      </c>
      <c r="BO1584">
        <v>79.930000000000007</v>
      </c>
      <c r="BQ1584" t="s">
        <v>690</v>
      </c>
      <c r="BR1584" t="s">
        <v>84</v>
      </c>
      <c r="BS1584" t="s">
        <v>189</v>
      </c>
      <c r="BV1584" t="s">
        <v>90</v>
      </c>
      <c r="BY1584">
        <v>1200</v>
      </c>
      <c r="CC1584" t="s">
        <v>101</v>
      </c>
      <c r="CD1584">
        <v>6001</v>
      </c>
      <c r="CE1584" t="s">
        <v>215</v>
      </c>
      <c r="CI1584">
        <v>1</v>
      </c>
      <c r="CJ1584" t="s">
        <v>189</v>
      </c>
      <c r="CK1584">
        <v>21</v>
      </c>
      <c r="CL1584" t="s">
        <v>90</v>
      </c>
    </row>
    <row r="1585" spans="1:90" x14ac:dyDescent="0.3">
      <c r="A1585" t="s">
        <v>72</v>
      </c>
      <c r="B1585" t="s">
        <v>73</v>
      </c>
      <c r="C1585" t="s">
        <v>74</v>
      </c>
      <c r="E1585" t="str">
        <f>"080065901819"</f>
        <v>080065901819</v>
      </c>
      <c r="F1585" s="3">
        <v>45819</v>
      </c>
      <c r="G1585">
        <v>202603</v>
      </c>
      <c r="H1585" t="s">
        <v>75</v>
      </c>
      <c r="I1585" t="s">
        <v>76</v>
      </c>
      <c r="J1585" t="s">
        <v>77</v>
      </c>
      <c r="K1585" t="s">
        <v>78</v>
      </c>
      <c r="L1585" t="s">
        <v>116</v>
      </c>
      <c r="M1585" t="s">
        <v>117</v>
      </c>
      <c r="N1585" t="s">
        <v>183</v>
      </c>
      <c r="O1585" t="s">
        <v>82</v>
      </c>
      <c r="P1585" t="str">
        <f>"4170043436                    "</f>
        <v xml:space="preserve">4170043436                    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20.9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0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>
        <v>0</v>
      </c>
      <c r="BD1585">
        <v>0</v>
      </c>
      <c r="BE1585">
        <v>0</v>
      </c>
      <c r="BF1585">
        <v>0</v>
      </c>
      <c r="BG1585">
        <v>0</v>
      </c>
      <c r="BH1585">
        <v>1</v>
      </c>
      <c r="BI1585">
        <v>2</v>
      </c>
      <c r="BJ1585">
        <v>1.1000000000000001</v>
      </c>
      <c r="BK1585">
        <v>2</v>
      </c>
      <c r="BL1585">
        <v>69.5</v>
      </c>
      <c r="BM1585">
        <v>10.43</v>
      </c>
      <c r="BN1585">
        <v>79.930000000000007</v>
      </c>
      <c r="BO1585">
        <v>79.930000000000007</v>
      </c>
      <c r="BQ1585" t="s">
        <v>184</v>
      </c>
      <c r="BR1585" t="s">
        <v>84</v>
      </c>
      <c r="BS1585" t="s">
        <v>189</v>
      </c>
      <c r="BV1585" t="s">
        <v>90</v>
      </c>
      <c r="BY1585">
        <v>5320</v>
      </c>
      <c r="CC1585" t="s">
        <v>117</v>
      </c>
      <c r="CD1585">
        <v>3212</v>
      </c>
      <c r="CE1585" t="s">
        <v>292</v>
      </c>
      <c r="CI1585">
        <v>2</v>
      </c>
      <c r="CJ1585" t="s">
        <v>189</v>
      </c>
      <c r="CK1585">
        <v>21</v>
      </c>
      <c r="CL1585" t="s">
        <v>90</v>
      </c>
    </row>
    <row r="1586" spans="1:90" x14ac:dyDescent="0.3">
      <c r="A1586" t="s">
        <v>72</v>
      </c>
      <c r="B1586" t="s">
        <v>73</v>
      </c>
      <c r="C1586" t="s">
        <v>74</v>
      </c>
      <c r="E1586" t="str">
        <f>"080065901851"</f>
        <v>080065901851</v>
      </c>
      <c r="F1586" s="3">
        <v>45819</v>
      </c>
      <c r="G1586">
        <v>202603</v>
      </c>
      <c r="H1586" t="s">
        <v>75</v>
      </c>
      <c r="I1586" t="s">
        <v>76</v>
      </c>
      <c r="J1586" t="s">
        <v>77</v>
      </c>
      <c r="K1586" t="s">
        <v>78</v>
      </c>
      <c r="L1586" t="s">
        <v>663</v>
      </c>
      <c r="M1586" t="s">
        <v>664</v>
      </c>
      <c r="N1586" t="s">
        <v>723</v>
      </c>
      <c r="O1586" t="s">
        <v>82</v>
      </c>
      <c r="P1586" t="str">
        <f>"4170043407                    "</f>
        <v xml:space="preserve">4170043407                    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131.91</v>
      </c>
      <c r="AR1586">
        <v>0</v>
      </c>
      <c r="AS1586">
        <v>0</v>
      </c>
      <c r="AT1586">
        <v>0</v>
      </c>
      <c r="AU1586">
        <v>0</v>
      </c>
      <c r="AV1586">
        <v>0</v>
      </c>
      <c r="AW1586">
        <v>0</v>
      </c>
      <c r="AX1586">
        <v>0</v>
      </c>
      <c r="AY1586">
        <v>0</v>
      </c>
      <c r="AZ1586">
        <v>0</v>
      </c>
      <c r="BA1586">
        <v>0</v>
      </c>
      <c r="BB1586">
        <v>0</v>
      </c>
      <c r="BC1586">
        <v>0</v>
      </c>
      <c r="BD1586">
        <v>0</v>
      </c>
      <c r="BE1586">
        <v>0</v>
      </c>
      <c r="BF1586">
        <v>0</v>
      </c>
      <c r="BG1586">
        <v>0</v>
      </c>
      <c r="BH1586">
        <v>1</v>
      </c>
      <c r="BI1586">
        <v>7</v>
      </c>
      <c r="BJ1586">
        <v>1.7</v>
      </c>
      <c r="BK1586">
        <v>7</v>
      </c>
      <c r="BL1586">
        <v>438.67</v>
      </c>
      <c r="BM1586">
        <v>65.8</v>
      </c>
      <c r="BN1586">
        <v>504.47</v>
      </c>
      <c r="BO1586">
        <v>504.47</v>
      </c>
      <c r="BQ1586" t="s">
        <v>724</v>
      </c>
      <c r="BR1586" t="s">
        <v>84</v>
      </c>
      <c r="BS1586" t="s">
        <v>189</v>
      </c>
      <c r="BV1586" t="s">
        <v>90</v>
      </c>
      <c r="BY1586">
        <v>8512</v>
      </c>
      <c r="CC1586" t="s">
        <v>664</v>
      </c>
      <c r="CD1586">
        <v>1947</v>
      </c>
      <c r="CE1586" t="s">
        <v>687</v>
      </c>
      <c r="CI1586">
        <v>1</v>
      </c>
      <c r="CJ1586" t="s">
        <v>189</v>
      </c>
      <c r="CK1586">
        <v>23</v>
      </c>
      <c r="CL1586" t="s">
        <v>90</v>
      </c>
    </row>
    <row r="1587" spans="1:90" x14ac:dyDescent="0.3">
      <c r="A1587" t="s">
        <v>72</v>
      </c>
      <c r="B1587" t="s">
        <v>73</v>
      </c>
      <c r="C1587" t="s">
        <v>74</v>
      </c>
      <c r="E1587" t="str">
        <f>"080065901872"</f>
        <v>080065901872</v>
      </c>
      <c r="F1587" s="3">
        <v>45819</v>
      </c>
      <c r="G1587">
        <v>202603</v>
      </c>
      <c r="H1587" t="s">
        <v>75</v>
      </c>
      <c r="I1587" t="s">
        <v>76</v>
      </c>
      <c r="J1587" t="s">
        <v>77</v>
      </c>
      <c r="K1587" t="s">
        <v>78</v>
      </c>
      <c r="L1587" t="s">
        <v>79</v>
      </c>
      <c r="M1587" t="s">
        <v>80</v>
      </c>
      <c r="N1587" t="s">
        <v>81</v>
      </c>
      <c r="O1587" t="s">
        <v>82</v>
      </c>
      <c r="P1587" t="str">
        <f>"4170043386                    "</f>
        <v xml:space="preserve">4170043386                    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58.01</v>
      </c>
      <c r="AR1587">
        <v>0</v>
      </c>
      <c r="AS1587">
        <v>0</v>
      </c>
      <c r="AT1587">
        <v>0</v>
      </c>
      <c r="AU1587">
        <v>0</v>
      </c>
      <c r="AV1587">
        <v>0</v>
      </c>
      <c r="AW1587">
        <v>0</v>
      </c>
      <c r="AX1587">
        <v>0</v>
      </c>
      <c r="AY1587">
        <v>0</v>
      </c>
      <c r="AZ1587">
        <v>0</v>
      </c>
      <c r="BA1587">
        <v>0</v>
      </c>
      <c r="BB1587">
        <v>0</v>
      </c>
      <c r="BC1587">
        <v>0</v>
      </c>
      <c r="BD1587">
        <v>0</v>
      </c>
      <c r="BE1587">
        <v>0</v>
      </c>
      <c r="BF1587">
        <v>0</v>
      </c>
      <c r="BG1587">
        <v>0</v>
      </c>
      <c r="BH1587">
        <v>1</v>
      </c>
      <c r="BI1587">
        <v>4</v>
      </c>
      <c r="BJ1587">
        <v>3.4</v>
      </c>
      <c r="BK1587">
        <v>4</v>
      </c>
      <c r="BL1587">
        <v>192.92</v>
      </c>
      <c r="BM1587">
        <v>28.94</v>
      </c>
      <c r="BN1587">
        <v>221.86</v>
      </c>
      <c r="BO1587">
        <v>221.86</v>
      </c>
      <c r="BQ1587" t="s">
        <v>83</v>
      </c>
      <c r="BR1587" t="s">
        <v>84</v>
      </c>
      <c r="BS1587" t="s">
        <v>189</v>
      </c>
      <c r="BV1587" t="s">
        <v>90</v>
      </c>
      <c r="BY1587">
        <v>16965</v>
      </c>
      <c r="CC1587" t="s">
        <v>80</v>
      </c>
      <c r="CD1587">
        <v>1739</v>
      </c>
      <c r="CE1587" t="s">
        <v>687</v>
      </c>
      <c r="CI1587">
        <v>1</v>
      </c>
      <c r="CJ1587" t="s">
        <v>189</v>
      </c>
      <c r="CK1587">
        <v>24</v>
      </c>
      <c r="CL1587" t="s">
        <v>90</v>
      </c>
    </row>
    <row r="1588" spans="1:90" x14ac:dyDescent="0.3">
      <c r="A1588" t="s">
        <v>72</v>
      </c>
      <c r="B1588" t="s">
        <v>73</v>
      </c>
      <c r="C1588" t="s">
        <v>74</v>
      </c>
      <c r="E1588" t="str">
        <f>"080065901894"</f>
        <v>080065901894</v>
      </c>
      <c r="F1588" s="3">
        <v>45819</v>
      </c>
      <c r="G1588">
        <v>202603</v>
      </c>
      <c r="H1588" t="s">
        <v>75</v>
      </c>
      <c r="I1588" t="s">
        <v>76</v>
      </c>
      <c r="J1588" t="s">
        <v>77</v>
      </c>
      <c r="K1588" t="s">
        <v>78</v>
      </c>
      <c r="L1588" t="s">
        <v>91</v>
      </c>
      <c r="M1588" t="s">
        <v>92</v>
      </c>
      <c r="N1588" t="s">
        <v>307</v>
      </c>
      <c r="O1588" t="s">
        <v>82</v>
      </c>
      <c r="P1588" t="str">
        <f>"4170043469                    "</f>
        <v xml:space="preserve">4170043469                    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20.9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0</v>
      </c>
      <c r="AX1588">
        <v>0</v>
      </c>
      <c r="AY1588">
        <v>0</v>
      </c>
      <c r="AZ1588">
        <v>0</v>
      </c>
      <c r="BA1588">
        <v>0</v>
      </c>
      <c r="BB1588">
        <v>0</v>
      </c>
      <c r="BC1588">
        <v>0</v>
      </c>
      <c r="BD1588">
        <v>0</v>
      </c>
      <c r="BE1588">
        <v>0</v>
      </c>
      <c r="BF1588">
        <v>0</v>
      </c>
      <c r="BG1588">
        <v>0</v>
      </c>
      <c r="BH1588">
        <v>1</v>
      </c>
      <c r="BI1588">
        <v>1</v>
      </c>
      <c r="BJ1588">
        <v>1.9</v>
      </c>
      <c r="BK1588">
        <v>2</v>
      </c>
      <c r="BL1588">
        <v>69.5</v>
      </c>
      <c r="BM1588">
        <v>10.43</v>
      </c>
      <c r="BN1588">
        <v>79.930000000000007</v>
      </c>
      <c r="BO1588">
        <v>79.930000000000007</v>
      </c>
      <c r="BQ1588" t="s">
        <v>308</v>
      </c>
      <c r="BR1588" t="s">
        <v>84</v>
      </c>
      <c r="BS1588" t="s">
        <v>189</v>
      </c>
      <c r="BV1588" t="s">
        <v>90</v>
      </c>
      <c r="BY1588">
        <v>9600</v>
      </c>
      <c r="CC1588" t="s">
        <v>92</v>
      </c>
      <c r="CD1588">
        <v>7480</v>
      </c>
      <c r="CE1588" t="s">
        <v>687</v>
      </c>
      <c r="CI1588">
        <v>1</v>
      </c>
      <c r="CJ1588" t="s">
        <v>189</v>
      </c>
      <c r="CK1588">
        <v>21</v>
      </c>
      <c r="CL1588" t="s">
        <v>90</v>
      </c>
    </row>
    <row r="1589" spans="1:90" x14ac:dyDescent="0.3">
      <c r="A1589" t="s">
        <v>72</v>
      </c>
      <c r="B1589" t="s">
        <v>73</v>
      </c>
      <c r="C1589" t="s">
        <v>74</v>
      </c>
      <c r="E1589" t="str">
        <f>"080065901922"</f>
        <v>080065901922</v>
      </c>
      <c r="F1589" s="3">
        <v>45819</v>
      </c>
      <c r="G1589">
        <v>202603</v>
      </c>
      <c r="H1589" t="s">
        <v>75</v>
      </c>
      <c r="I1589" t="s">
        <v>76</v>
      </c>
      <c r="J1589" t="s">
        <v>77</v>
      </c>
      <c r="K1589" t="s">
        <v>78</v>
      </c>
      <c r="L1589" t="s">
        <v>116</v>
      </c>
      <c r="M1589" t="s">
        <v>117</v>
      </c>
      <c r="N1589" t="s">
        <v>183</v>
      </c>
      <c r="O1589" t="s">
        <v>82</v>
      </c>
      <c r="P1589" t="str">
        <f>"4170043440                    "</f>
        <v xml:space="preserve">4170043440                    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>
        <v>20.9</v>
      </c>
      <c r="AR1589">
        <v>0</v>
      </c>
      <c r="AS1589">
        <v>0</v>
      </c>
      <c r="AT1589">
        <v>0</v>
      </c>
      <c r="AU1589">
        <v>0</v>
      </c>
      <c r="AV1589">
        <v>0</v>
      </c>
      <c r="AW1589">
        <v>0</v>
      </c>
      <c r="AX1589">
        <v>0</v>
      </c>
      <c r="AY1589">
        <v>0</v>
      </c>
      <c r="AZ1589">
        <v>0</v>
      </c>
      <c r="BA1589">
        <v>0</v>
      </c>
      <c r="BB1589">
        <v>0</v>
      </c>
      <c r="BC1589">
        <v>0</v>
      </c>
      <c r="BD1589">
        <v>0</v>
      </c>
      <c r="BE1589">
        <v>0</v>
      </c>
      <c r="BF1589">
        <v>0</v>
      </c>
      <c r="BG1589">
        <v>0</v>
      </c>
      <c r="BH1589">
        <v>1</v>
      </c>
      <c r="BI1589">
        <v>2</v>
      </c>
      <c r="BJ1589">
        <v>0.9</v>
      </c>
      <c r="BK1589">
        <v>2</v>
      </c>
      <c r="BL1589">
        <v>69.5</v>
      </c>
      <c r="BM1589">
        <v>10.43</v>
      </c>
      <c r="BN1589">
        <v>79.930000000000007</v>
      </c>
      <c r="BO1589">
        <v>79.930000000000007</v>
      </c>
      <c r="BQ1589" t="s">
        <v>184</v>
      </c>
      <c r="BR1589" t="s">
        <v>84</v>
      </c>
      <c r="BS1589" t="s">
        <v>189</v>
      </c>
      <c r="BV1589" t="s">
        <v>90</v>
      </c>
      <c r="BY1589">
        <v>4275</v>
      </c>
      <c r="CC1589" t="s">
        <v>117</v>
      </c>
      <c r="CD1589">
        <v>3212</v>
      </c>
      <c r="CE1589" t="s">
        <v>292</v>
      </c>
      <c r="CI1589">
        <v>2</v>
      </c>
      <c r="CJ1589" t="s">
        <v>189</v>
      </c>
      <c r="CK1589">
        <v>21</v>
      </c>
      <c r="CL1589" t="s">
        <v>90</v>
      </c>
    </row>
    <row r="1590" spans="1:90" x14ac:dyDescent="0.3">
      <c r="A1590" t="s">
        <v>72</v>
      </c>
      <c r="B1590" t="s">
        <v>73</v>
      </c>
      <c r="C1590" t="s">
        <v>74</v>
      </c>
      <c r="E1590" t="str">
        <f>"080065902031"</f>
        <v>080065902031</v>
      </c>
      <c r="F1590" s="3">
        <v>45819</v>
      </c>
      <c r="G1590">
        <v>202603</v>
      </c>
      <c r="H1590" t="s">
        <v>75</v>
      </c>
      <c r="I1590" t="s">
        <v>76</v>
      </c>
      <c r="J1590" t="s">
        <v>77</v>
      </c>
      <c r="K1590" t="s">
        <v>78</v>
      </c>
      <c r="L1590" t="s">
        <v>136</v>
      </c>
      <c r="M1590" t="s">
        <v>137</v>
      </c>
      <c r="N1590" t="s">
        <v>806</v>
      </c>
      <c r="O1590" t="s">
        <v>82</v>
      </c>
      <c r="P1590" t="str">
        <f>"4170043426                    "</f>
        <v xml:space="preserve">4170043426                    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20.9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0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>
        <v>0</v>
      </c>
      <c r="BD1590">
        <v>0</v>
      </c>
      <c r="BE1590">
        <v>0</v>
      </c>
      <c r="BF1590">
        <v>0</v>
      </c>
      <c r="BG1590">
        <v>0</v>
      </c>
      <c r="BH1590">
        <v>1</v>
      </c>
      <c r="BI1590">
        <v>1</v>
      </c>
      <c r="BJ1590">
        <v>0.2</v>
      </c>
      <c r="BK1590">
        <v>1</v>
      </c>
      <c r="BL1590">
        <v>69.5</v>
      </c>
      <c r="BM1590">
        <v>10.43</v>
      </c>
      <c r="BN1590">
        <v>79.930000000000007</v>
      </c>
      <c r="BO1590">
        <v>79.930000000000007</v>
      </c>
      <c r="BQ1590" t="s">
        <v>807</v>
      </c>
      <c r="BR1590" t="s">
        <v>84</v>
      </c>
      <c r="BS1590" t="s">
        <v>189</v>
      </c>
      <c r="BV1590" t="s">
        <v>90</v>
      </c>
      <c r="BY1590">
        <v>1200</v>
      </c>
      <c r="BZ1590" t="s">
        <v>87</v>
      </c>
      <c r="CC1590" t="s">
        <v>137</v>
      </c>
      <c r="CD1590">
        <v>5200</v>
      </c>
      <c r="CE1590" t="s">
        <v>89</v>
      </c>
      <c r="CI1590">
        <v>1</v>
      </c>
      <c r="CJ1590" t="s">
        <v>189</v>
      </c>
      <c r="CK1590">
        <v>21</v>
      </c>
      <c r="CL1590" t="s">
        <v>90</v>
      </c>
    </row>
    <row r="1591" spans="1:90" x14ac:dyDescent="0.3">
      <c r="A1591" t="s">
        <v>72</v>
      </c>
      <c r="B1591" t="s">
        <v>73</v>
      </c>
      <c r="C1591" t="s">
        <v>74</v>
      </c>
      <c r="E1591" t="str">
        <f>"080065902087"</f>
        <v>080065902087</v>
      </c>
      <c r="F1591" s="3">
        <v>45819</v>
      </c>
      <c r="G1591">
        <v>202603</v>
      </c>
      <c r="H1591" t="s">
        <v>75</v>
      </c>
      <c r="I1591" t="s">
        <v>76</v>
      </c>
      <c r="J1591" t="s">
        <v>77</v>
      </c>
      <c r="K1591" t="s">
        <v>78</v>
      </c>
      <c r="L1591" t="s">
        <v>350</v>
      </c>
      <c r="M1591" t="s">
        <v>351</v>
      </c>
      <c r="N1591" t="s">
        <v>512</v>
      </c>
      <c r="O1591" t="s">
        <v>82</v>
      </c>
      <c r="P1591" t="str">
        <f>"4170043471                    "</f>
        <v xml:space="preserve">4170043471                    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>
        <v>20.9</v>
      </c>
      <c r="AR1591">
        <v>0</v>
      </c>
      <c r="AS1591">
        <v>0</v>
      </c>
      <c r="AT1591">
        <v>0</v>
      </c>
      <c r="AU1591">
        <v>0</v>
      </c>
      <c r="AV1591">
        <v>0</v>
      </c>
      <c r="AW1591">
        <v>0</v>
      </c>
      <c r="AX1591">
        <v>0</v>
      </c>
      <c r="AY1591">
        <v>0</v>
      </c>
      <c r="AZ1591">
        <v>0</v>
      </c>
      <c r="BA1591">
        <v>0</v>
      </c>
      <c r="BB1591">
        <v>0</v>
      </c>
      <c r="BC1591">
        <v>0</v>
      </c>
      <c r="BD1591">
        <v>0</v>
      </c>
      <c r="BE1591">
        <v>0</v>
      </c>
      <c r="BF1591">
        <v>0</v>
      </c>
      <c r="BG1591">
        <v>0</v>
      </c>
      <c r="BH1591">
        <v>1</v>
      </c>
      <c r="BI1591">
        <v>1</v>
      </c>
      <c r="BJ1591">
        <v>0.2</v>
      </c>
      <c r="BK1591">
        <v>1</v>
      </c>
      <c r="BL1591">
        <v>69.5</v>
      </c>
      <c r="BM1591">
        <v>10.43</v>
      </c>
      <c r="BN1591">
        <v>79.930000000000007</v>
      </c>
      <c r="BO1591">
        <v>79.930000000000007</v>
      </c>
      <c r="BQ1591" t="s">
        <v>513</v>
      </c>
      <c r="BR1591" t="s">
        <v>84</v>
      </c>
      <c r="BS1591" t="s">
        <v>189</v>
      </c>
      <c r="BV1591" t="s">
        <v>90</v>
      </c>
      <c r="BY1591">
        <v>1200</v>
      </c>
      <c r="CC1591" t="s">
        <v>351</v>
      </c>
      <c r="CD1591">
        <v>157</v>
      </c>
      <c r="CE1591" t="s">
        <v>215</v>
      </c>
      <c r="CI1591">
        <v>1</v>
      </c>
      <c r="CJ1591" t="s">
        <v>189</v>
      </c>
      <c r="CK1591">
        <v>21</v>
      </c>
      <c r="CL1591" t="s">
        <v>90</v>
      </c>
    </row>
    <row r="1592" spans="1:90" x14ac:dyDescent="0.3">
      <c r="A1592" t="s">
        <v>72</v>
      </c>
      <c r="B1592" t="s">
        <v>73</v>
      </c>
      <c r="C1592" t="s">
        <v>74</v>
      </c>
      <c r="E1592" t="str">
        <f>"080065902108"</f>
        <v>080065902108</v>
      </c>
      <c r="F1592" s="3">
        <v>45819</v>
      </c>
      <c r="G1592">
        <v>202603</v>
      </c>
      <c r="H1592" t="s">
        <v>75</v>
      </c>
      <c r="I1592" t="s">
        <v>76</v>
      </c>
      <c r="J1592" t="s">
        <v>77</v>
      </c>
      <c r="K1592" t="s">
        <v>78</v>
      </c>
      <c r="L1592" t="s">
        <v>75</v>
      </c>
      <c r="M1592" t="s">
        <v>76</v>
      </c>
      <c r="N1592" t="s">
        <v>525</v>
      </c>
      <c r="O1592" t="s">
        <v>82</v>
      </c>
      <c r="P1592" t="str">
        <f>"4170043412                    "</f>
        <v xml:space="preserve">4170043412                    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16.32</v>
      </c>
      <c r="AR1592">
        <v>0</v>
      </c>
      <c r="AS1592">
        <v>0</v>
      </c>
      <c r="AT1592">
        <v>0</v>
      </c>
      <c r="AU1592">
        <v>0</v>
      </c>
      <c r="AV1592">
        <v>0</v>
      </c>
      <c r="AW1592">
        <v>0</v>
      </c>
      <c r="AX1592">
        <v>0</v>
      </c>
      <c r="AY1592">
        <v>0</v>
      </c>
      <c r="AZ1592">
        <v>0</v>
      </c>
      <c r="BA1592">
        <v>0</v>
      </c>
      <c r="BB1592">
        <v>0</v>
      </c>
      <c r="BC1592">
        <v>0</v>
      </c>
      <c r="BD1592">
        <v>0</v>
      </c>
      <c r="BE1592">
        <v>0</v>
      </c>
      <c r="BF1592">
        <v>0</v>
      </c>
      <c r="BG1592">
        <v>0</v>
      </c>
      <c r="BH1592">
        <v>1</v>
      </c>
      <c r="BI1592">
        <v>1</v>
      </c>
      <c r="BJ1592">
        <v>0.2</v>
      </c>
      <c r="BK1592">
        <v>1</v>
      </c>
      <c r="BL1592">
        <v>54.28</v>
      </c>
      <c r="BM1592">
        <v>8.14</v>
      </c>
      <c r="BN1592">
        <v>62.42</v>
      </c>
      <c r="BO1592">
        <v>62.42</v>
      </c>
      <c r="BQ1592" t="s">
        <v>526</v>
      </c>
      <c r="BR1592" t="s">
        <v>84</v>
      </c>
      <c r="BS1592" t="s">
        <v>189</v>
      </c>
      <c r="BV1592" t="s">
        <v>90</v>
      </c>
      <c r="BY1592">
        <v>1200</v>
      </c>
      <c r="CC1592" t="s">
        <v>76</v>
      </c>
      <c r="CD1592">
        <v>1645</v>
      </c>
      <c r="CE1592" t="s">
        <v>2119</v>
      </c>
      <c r="CI1592">
        <v>1</v>
      </c>
      <c r="CJ1592" t="s">
        <v>189</v>
      </c>
      <c r="CK1592">
        <v>22</v>
      </c>
      <c r="CL1592" t="s">
        <v>90</v>
      </c>
    </row>
    <row r="1593" spans="1:90" x14ac:dyDescent="0.3">
      <c r="A1593" t="s">
        <v>72</v>
      </c>
      <c r="B1593" t="s">
        <v>73</v>
      </c>
      <c r="C1593" t="s">
        <v>74</v>
      </c>
      <c r="E1593" t="str">
        <f>"080065902127"</f>
        <v>080065902127</v>
      </c>
      <c r="F1593" s="3">
        <v>45819</v>
      </c>
      <c r="G1593">
        <v>202603</v>
      </c>
      <c r="H1593" t="s">
        <v>75</v>
      </c>
      <c r="I1593" t="s">
        <v>76</v>
      </c>
      <c r="J1593" t="s">
        <v>77</v>
      </c>
      <c r="K1593" t="s">
        <v>78</v>
      </c>
      <c r="L1593" t="s">
        <v>100</v>
      </c>
      <c r="M1593" t="s">
        <v>101</v>
      </c>
      <c r="N1593" t="s">
        <v>1642</v>
      </c>
      <c r="O1593" t="s">
        <v>82</v>
      </c>
      <c r="P1593" t="str">
        <f>"4170043392                    "</f>
        <v xml:space="preserve">4170043392                    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20.9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0</v>
      </c>
      <c r="AX1593">
        <v>0</v>
      </c>
      <c r="AY1593">
        <v>0</v>
      </c>
      <c r="AZ1593">
        <v>0</v>
      </c>
      <c r="BA1593">
        <v>0</v>
      </c>
      <c r="BB1593">
        <v>0</v>
      </c>
      <c r="BC1593">
        <v>0</v>
      </c>
      <c r="BD1593">
        <v>0</v>
      </c>
      <c r="BE1593">
        <v>0</v>
      </c>
      <c r="BF1593">
        <v>0</v>
      </c>
      <c r="BG1593">
        <v>0</v>
      </c>
      <c r="BH1593">
        <v>1</v>
      </c>
      <c r="BI1593">
        <v>1</v>
      </c>
      <c r="BJ1593">
        <v>0.2</v>
      </c>
      <c r="BK1593">
        <v>1</v>
      </c>
      <c r="BL1593">
        <v>69.5</v>
      </c>
      <c r="BM1593">
        <v>10.43</v>
      </c>
      <c r="BN1593">
        <v>79.930000000000007</v>
      </c>
      <c r="BO1593">
        <v>79.930000000000007</v>
      </c>
      <c r="BQ1593" t="s">
        <v>1643</v>
      </c>
      <c r="BR1593" t="s">
        <v>84</v>
      </c>
      <c r="BS1593" t="s">
        <v>189</v>
      </c>
      <c r="BV1593" t="s">
        <v>90</v>
      </c>
      <c r="BY1593">
        <v>1200</v>
      </c>
      <c r="CC1593" t="s">
        <v>101</v>
      </c>
      <c r="CD1593">
        <v>6001</v>
      </c>
      <c r="CE1593" t="s">
        <v>215</v>
      </c>
      <c r="CI1593">
        <v>1</v>
      </c>
      <c r="CJ1593" t="s">
        <v>189</v>
      </c>
      <c r="CK1593">
        <v>21</v>
      </c>
      <c r="CL1593" t="s">
        <v>90</v>
      </c>
    </row>
    <row r="1594" spans="1:90" x14ac:dyDescent="0.3">
      <c r="A1594" t="s">
        <v>72</v>
      </c>
      <c r="B1594" t="s">
        <v>73</v>
      </c>
      <c r="C1594" t="s">
        <v>74</v>
      </c>
      <c r="E1594" t="str">
        <f>"080065902130"</f>
        <v>080065902130</v>
      </c>
      <c r="F1594" s="3">
        <v>45819</v>
      </c>
      <c r="G1594">
        <v>202603</v>
      </c>
      <c r="H1594" t="s">
        <v>75</v>
      </c>
      <c r="I1594" t="s">
        <v>76</v>
      </c>
      <c r="J1594" t="s">
        <v>77</v>
      </c>
      <c r="K1594" t="s">
        <v>78</v>
      </c>
      <c r="L1594" t="s">
        <v>436</v>
      </c>
      <c r="M1594" t="s">
        <v>437</v>
      </c>
      <c r="N1594" t="s">
        <v>2120</v>
      </c>
      <c r="O1594" t="s">
        <v>94</v>
      </c>
      <c r="P1594" t="str">
        <f>"4170043425                    "</f>
        <v xml:space="preserve">4170043425                    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61.27</v>
      </c>
      <c r="AR1594">
        <v>0</v>
      </c>
      <c r="AS1594">
        <v>0</v>
      </c>
      <c r="AT1594">
        <v>0</v>
      </c>
      <c r="AU1594">
        <v>0</v>
      </c>
      <c r="AV1594">
        <v>0</v>
      </c>
      <c r="AW1594">
        <v>0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>
        <v>0</v>
      </c>
      <c r="BD1594">
        <v>0</v>
      </c>
      <c r="BE1594">
        <v>0</v>
      </c>
      <c r="BF1594">
        <v>0</v>
      </c>
      <c r="BG1594">
        <v>0</v>
      </c>
      <c r="BH1594">
        <v>1</v>
      </c>
      <c r="BI1594">
        <v>18</v>
      </c>
      <c r="BJ1594">
        <v>47.4</v>
      </c>
      <c r="BK1594">
        <v>48</v>
      </c>
      <c r="BL1594">
        <v>209.32</v>
      </c>
      <c r="BM1594">
        <v>31.4</v>
      </c>
      <c r="BN1594">
        <v>240.72</v>
      </c>
      <c r="BO1594">
        <v>240.72</v>
      </c>
      <c r="BQ1594" t="s">
        <v>2121</v>
      </c>
      <c r="BR1594" t="s">
        <v>84</v>
      </c>
      <c r="BS1594" t="s">
        <v>189</v>
      </c>
      <c r="BV1594" t="s">
        <v>90</v>
      </c>
      <c r="BY1594">
        <v>237168</v>
      </c>
      <c r="CC1594" t="s">
        <v>437</v>
      </c>
      <c r="CD1594">
        <v>1501</v>
      </c>
      <c r="CE1594" t="s">
        <v>687</v>
      </c>
      <c r="CI1594">
        <v>1</v>
      </c>
      <c r="CJ1594" t="s">
        <v>189</v>
      </c>
      <c r="CK1594">
        <v>42</v>
      </c>
      <c r="CL1594" t="s">
        <v>90</v>
      </c>
    </row>
    <row r="1595" spans="1:90" x14ac:dyDescent="0.3">
      <c r="A1595" t="s">
        <v>72</v>
      </c>
      <c r="B1595" t="s">
        <v>73</v>
      </c>
      <c r="C1595" t="s">
        <v>74</v>
      </c>
      <c r="E1595" t="str">
        <f>"080065902155"</f>
        <v>080065902155</v>
      </c>
      <c r="F1595" s="3">
        <v>45819</v>
      </c>
      <c r="G1595">
        <v>202603</v>
      </c>
      <c r="H1595" t="s">
        <v>75</v>
      </c>
      <c r="I1595" t="s">
        <v>76</v>
      </c>
      <c r="J1595" t="s">
        <v>77</v>
      </c>
      <c r="K1595" t="s">
        <v>78</v>
      </c>
      <c r="L1595" t="s">
        <v>116</v>
      </c>
      <c r="M1595" t="s">
        <v>117</v>
      </c>
      <c r="N1595" t="s">
        <v>488</v>
      </c>
      <c r="O1595" t="s">
        <v>82</v>
      </c>
      <c r="P1595" t="str">
        <f>"4170043384                    "</f>
        <v xml:space="preserve">4170043384                    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20.9</v>
      </c>
      <c r="AR1595">
        <v>0</v>
      </c>
      <c r="AS1595">
        <v>0</v>
      </c>
      <c r="AT1595">
        <v>0</v>
      </c>
      <c r="AU1595">
        <v>0</v>
      </c>
      <c r="AV1595">
        <v>0</v>
      </c>
      <c r="AW1595">
        <v>0</v>
      </c>
      <c r="AX1595">
        <v>0</v>
      </c>
      <c r="AY1595">
        <v>0</v>
      </c>
      <c r="AZ1595">
        <v>0</v>
      </c>
      <c r="BA1595">
        <v>0</v>
      </c>
      <c r="BB1595">
        <v>0</v>
      </c>
      <c r="BC1595">
        <v>0</v>
      </c>
      <c r="BD1595">
        <v>0</v>
      </c>
      <c r="BE1595">
        <v>0</v>
      </c>
      <c r="BF1595">
        <v>0</v>
      </c>
      <c r="BG1595">
        <v>0</v>
      </c>
      <c r="BH1595">
        <v>1</v>
      </c>
      <c r="BI1595">
        <v>1</v>
      </c>
      <c r="BJ1595">
        <v>0.2</v>
      </c>
      <c r="BK1595">
        <v>1</v>
      </c>
      <c r="BL1595">
        <v>69.5</v>
      </c>
      <c r="BM1595">
        <v>10.43</v>
      </c>
      <c r="BN1595">
        <v>79.930000000000007</v>
      </c>
      <c r="BO1595">
        <v>79.930000000000007</v>
      </c>
      <c r="BQ1595" t="s">
        <v>489</v>
      </c>
      <c r="BR1595" t="s">
        <v>84</v>
      </c>
      <c r="BS1595" t="s">
        <v>189</v>
      </c>
      <c r="BV1595" t="s">
        <v>90</v>
      </c>
      <c r="BY1595">
        <v>1200</v>
      </c>
      <c r="CC1595" t="s">
        <v>117</v>
      </c>
      <c r="CD1595">
        <v>3201</v>
      </c>
      <c r="CE1595" t="s">
        <v>215</v>
      </c>
      <c r="CI1595">
        <v>1</v>
      </c>
      <c r="CJ1595" t="s">
        <v>189</v>
      </c>
      <c r="CK1595">
        <v>21</v>
      </c>
      <c r="CL1595" t="s">
        <v>90</v>
      </c>
    </row>
    <row r="1596" spans="1:90" x14ac:dyDescent="0.3">
      <c r="A1596" t="s">
        <v>72</v>
      </c>
      <c r="B1596" t="s">
        <v>73</v>
      </c>
      <c r="C1596" t="s">
        <v>74</v>
      </c>
      <c r="E1596" t="str">
        <f>"080065902176"</f>
        <v>080065902176</v>
      </c>
      <c r="F1596" s="3">
        <v>45819</v>
      </c>
      <c r="G1596">
        <v>202603</v>
      </c>
      <c r="H1596" t="s">
        <v>75</v>
      </c>
      <c r="I1596" t="s">
        <v>76</v>
      </c>
      <c r="J1596" t="s">
        <v>77</v>
      </c>
      <c r="K1596" t="s">
        <v>78</v>
      </c>
      <c r="L1596" t="s">
        <v>1618</v>
      </c>
      <c r="M1596" t="s">
        <v>1619</v>
      </c>
      <c r="N1596" t="s">
        <v>1620</v>
      </c>
      <c r="O1596" t="s">
        <v>82</v>
      </c>
      <c r="P1596" t="str">
        <f>"4170043439                    "</f>
        <v xml:space="preserve">4170043439                    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29.39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0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>
        <v>0</v>
      </c>
      <c r="BD1596">
        <v>0</v>
      </c>
      <c r="BE1596">
        <v>0</v>
      </c>
      <c r="BF1596">
        <v>0</v>
      </c>
      <c r="BG1596">
        <v>0</v>
      </c>
      <c r="BH1596">
        <v>1</v>
      </c>
      <c r="BI1596">
        <v>1</v>
      </c>
      <c r="BJ1596">
        <v>0.2</v>
      </c>
      <c r="BK1596">
        <v>1</v>
      </c>
      <c r="BL1596">
        <v>97.74</v>
      </c>
      <c r="BM1596">
        <v>14.66</v>
      </c>
      <c r="BN1596">
        <v>112.4</v>
      </c>
      <c r="BO1596">
        <v>112.4</v>
      </c>
      <c r="BQ1596" t="s">
        <v>1621</v>
      </c>
      <c r="BR1596" t="s">
        <v>84</v>
      </c>
      <c r="BS1596" s="3">
        <v>45820</v>
      </c>
      <c r="BT1596" s="4">
        <v>0.34166666666666667</v>
      </c>
      <c r="BU1596" t="s">
        <v>2122</v>
      </c>
      <c r="BV1596" t="s">
        <v>86</v>
      </c>
      <c r="BY1596">
        <v>1200</v>
      </c>
      <c r="CA1596" t="s">
        <v>1622</v>
      </c>
      <c r="CC1596" t="s">
        <v>1619</v>
      </c>
      <c r="CD1596">
        <v>2210</v>
      </c>
      <c r="CE1596" t="s">
        <v>215</v>
      </c>
      <c r="CI1596">
        <v>1</v>
      </c>
      <c r="CJ1596">
        <v>1</v>
      </c>
      <c r="CK1596">
        <v>24</v>
      </c>
      <c r="CL1596" t="s">
        <v>90</v>
      </c>
    </row>
    <row r="1597" spans="1:90" x14ac:dyDescent="0.3">
      <c r="A1597" t="s">
        <v>72</v>
      </c>
      <c r="B1597" t="s">
        <v>73</v>
      </c>
      <c r="C1597" t="s">
        <v>74</v>
      </c>
      <c r="E1597" t="str">
        <f>"080065902318"</f>
        <v>080065902318</v>
      </c>
      <c r="F1597" s="3">
        <v>45819</v>
      </c>
      <c r="G1597">
        <v>202603</v>
      </c>
      <c r="H1597" t="s">
        <v>75</v>
      </c>
      <c r="I1597" t="s">
        <v>76</v>
      </c>
      <c r="J1597" t="s">
        <v>77</v>
      </c>
      <c r="K1597" t="s">
        <v>78</v>
      </c>
      <c r="L1597" t="s">
        <v>331</v>
      </c>
      <c r="M1597" t="s">
        <v>332</v>
      </c>
      <c r="N1597" t="s">
        <v>1499</v>
      </c>
      <c r="O1597" t="s">
        <v>94</v>
      </c>
      <c r="P1597" t="str">
        <f>"4170043531                    "</f>
        <v xml:space="preserve">4170043531                    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>
        <v>113.82</v>
      </c>
      <c r="AR1597">
        <v>0</v>
      </c>
      <c r="AS1597">
        <v>0</v>
      </c>
      <c r="AT1597">
        <v>0</v>
      </c>
      <c r="AU1597">
        <v>0</v>
      </c>
      <c r="AV1597">
        <v>0</v>
      </c>
      <c r="AW1597">
        <v>0</v>
      </c>
      <c r="AX1597">
        <v>0</v>
      </c>
      <c r="AY1597">
        <v>0</v>
      </c>
      <c r="AZ1597">
        <v>0</v>
      </c>
      <c r="BA1597">
        <v>0</v>
      </c>
      <c r="BB1597">
        <v>0</v>
      </c>
      <c r="BC1597">
        <v>0</v>
      </c>
      <c r="BD1597">
        <v>0</v>
      </c>
      <c r="BE1597">
        <v>0</v>
      </c>
      <c r="BF1597">
        <v>0</v>
      </c>
      <c r="BG1597">
        <v>0</v>
      </c>
      <c r="BH1597">
        <v>4</v>
      </c>
      <c r="BI1597">
        <v>59</v>
      </c>
      <c r="BJ1597">
        <v>49.2</v>
      </c>
      <c r="BK1597">
        <v>59</v>
      </c>
      <c r="BL1597">
        <v>384.09</v>
      </c>
      <c r="BM1597">
        <v>57.61</v>
      </c>
      <c r="BN1597">
        <v>441.7</v>
      </c>
      <c r="BO1597">
        <v>441.7</v>
      </c>
      <c r="BQ1597" t="s">
        <v>1500</v>
      </c>
      <c r="BR1597" t="s">
        <v>84</v>
      </c>
      <c r="BS1597" t="s">
        <v>189</v>
      </c>
      <c r="BV1597" t="s">
        <v>90</v>
      </c>
      <c r="BY1597">
        <v>88652</v>
      </c>
      <c r="CC1597" t="s">
        <v>332</v>
      </c>
      <c r="CD1597">
        <v>4051</v>
      </c>
      <c r="CE1597" t="s">
        <v>1029</v>
      </c>
      <c r="CI1597">
        <v>1</v>
      </c>
      <c r="CJ1597" t="s">
        <v>189</v>
      </c>
      <c r="CK1597">
        <v>41</v>
      </c>
      <c r="CL1597" t="s">
        <v>90</v>
      </c>
    </row>
    <row r="1598" spans="1:90" x14ac:dyDescent="0.3">
      <c r="A1598" t="s">
        <v>72</v>
      </c>
      <c r="B1598" t="s">
        <v>73</v>
      </c>
      <c r="C1598" t="s">
        <v>74</v>
      </c>
      <c r="E1598" t="str">
        <f>"080065902344"</f>
        <v>080065902344</v>
      </c>
      <c r="F1598" s="3">
        <v>45819</v>
      </c>
      <c r="G1598">
        <v>202603</v>
      </c>
      <c r="H1598" t="s">
        <v>75</v>
      </c>
      <c r="I1598" t="s">
        <v>76</v>
      </c>
      <c r="J1598" t="s">
        <v>77</v>
      </c>
      <c r="K1598" t="s">
        <v>78</v>
      </c>
      <c r="L1598" t="s">
        <v>663</v>
      </c>
      <c r="M1598" t="s">
        <v>664</v>
      </c>
      <c r="N1598" t="s">
        <v>723</v>
      </c>
      <c r="O1598" t="s">
        <v>82</v>
      </c>
      <c r="P1598" t="str">
        <f>"4170043427                    "</f>
        <v xml:space="preserve">4170043427                    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40.49</v>
      </c>
      <c r="AR1598">
        <v>0</v>
      </c>
      <c r="AS1598">
        <v>0</v>
      </c>
      <c r="AT1598">
        <v>0</v>
      </c>
      <c r="AU1598">
        <v>0</v>
      </c>
      <c r="AV1598">
        <v>0</v>
      </c>
      <c r="AW1598">
        <v>0</v>
      </c>
      <c r="AX1598">
        <v>0</v>
      </c>
      <c r="AY1598">
        <v>0</v>
      </c>
      <c r="AZ1598">
        <v>0</v>
      </c>
      <c r="BA1598">
        <v>0</v>
      </c>
      <c r="BB1598">
        <v>0</v>
      </c>
      <c r="BC1598">
        <v>0</v>
      </c>
      <c r="BD1598">
        <v>0</v>
      </c>
      <c r="BE1598">
        <v>0</v>
      </c>
      <c r="BF1598">
        <v>0</v>
      </c>
      <c r="BG1598">
        <v>0</v>
      </c>
      <c r="BH1598">
        <v>1</v>
      </c>
      <c r="BI1598">
        <v>2</v>
      </c>
      <c r="BJ1598">
        <v>1.1000000000000001</v>
      </c>
      <c r="BK1598">
        <v>2</v>
      </c>
      <c r="BL1598">
        <v>134.65</v>
      </c>
      <c r="BM1598">
        <v>20.2</v>
      </c>
      <c r="BN1598">
        <v>154.85</v>
      </c>
      <c r="BO1598">
        <v>154.85</v>
      </c>
      <c r="BQ1598" t="s">
        <v>724</v>
      </c>
      <c r="BR1598" t="s">
        <v>84</v>
      </c>
      <c r="BS1598" t="s">
        <v>189</v>
      </c>
      <c r="BV1598" t="s">
        <v>90</v>
      </c>
      <c r="BY1598">
        <v>5320</v>
      </c>
      <c r="CC1598" t="s">
        <v>664</v>
      </c>
      <c r="CD1598">
        <v>1947</v>
      </c>
      <c r="CE1598" t="s">
        <v>1029</v>
      </c>
      <c r="CI1598">
        <v>1</v>
      </c>
      <c r="CJ1598" t="s">
        <v>189</v>
      </c>
      <c r="CK1598">
        <v>23</v>
      </c>
      <c r="CL1598" t="s">
        <v>90</v>
      </c>
    </row>
    <row r="1599" spans="1:90" x14ac:dyDescent="0.3">
      <c r="A1599" t="s">
        <v>72</v>
      </c>
      <c r="B1599" t="s">
        <v>73</v>
      </c>
      <c r="C1599" t="s">
        <v>74</v>
      </c>
      <c r="E1599" t="str">
        <f>"080065902379"</f>
        <v>080065902379</v>
      </c>
      <c r="F1599" s="3">
        <v>45819</v>
      </c>
      <c r="G1599">
        <v>202603</v>
      </c>
      <c r="H1599" t="s">
        <v>75</v>
      </c>
      <c r="I1599" t="s">
        <v>76</v>
      </c>
      <c r="J1599" t="s">
        <v>77</v>
      </c>
      <c r="K1599" t="s">
        <v>78</v>
      </c>
      <c r="L1599" t="s">
        <v>375</v>
      </c>
      <c r="M1599" t="s">
        <v>376</v>
      </c>
      <c r="N1599" t="s">
        <v>2123</v>
      </c>
      <c r="O1599" t="s">
        <v>82</v>
      </c>
      <c r="P1599" t="str">
        <f>"4170043546                    "</f>
        <v xml:space="preserve">4170043546                    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16.32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0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>
        <v>0</v>
      </c>
      <c r="BD1599">
        <v>0</v>
      </c>
      <c r="BE1599">
        <v>0</v>
      </c>
      <c r="BF1599">
        <v>0</v>
      </c>
      <c r="BG1599">
        <v>0</v>
      </c>
      <c r="BH1599">
        <v>1</v>
      </c>
      <c r="BI1599">
        <v>1</v>
      </c>
      <c r="BJ1599">
        <v>0.2</v>
      </c>
      <c r="BK1599">
        <v>1</v>
      </c>
      <c r="BL1599">
        <v>54.28</v>
      </c>
      <c r="BM1599">
        <v>8.14</v>
      </c>
      <c r="BN1599">
        <v>62.42</v>
      </c>
      <c r="BO1599">
        <v>62.42</v>
      </c>
      <c r="BQ1599" t="s">
        <v>2124</v>
      </c>
      <c r="BR1599" t="s">
        <v>84</v>
      </c>
      <c r="BS1599" t="s">
        <v>189</v>
      </c>
      <c r="BV1599" t="s">
        <v>90</v>
      </c>
      <c r="BY1599">
        <v>1200</v>
      </c>
      <c r="CC1599" t="s">
        <v>376</v>
      </c>
      <c r="CD1599">
        <v>1406</v>
      </c>
      <c r="CE1599" t="s">
        <v>215</v>
      </c>
      <c r="CI1599">
        <v>1</v>
      </c>
      <c r="CJ1599" t="s">
        <v>189</v>
      </c>
      <c r="CK1599">
        <v>22</v>
      </c>
      <c r="CL1599" t="s">
        <v>90</v>
      </c>
    </row>
    <row r="1600" spans="1:90" x14ac:dyDescent="0.3">
      <c r="A1600" t="s">
        <v>72</v>
      </c>
      <c r="B1600" t="s">
        <v>73</v>
      </c>
      <c r="C1600" t="s">
        <v>74</v>
      </c>
      <c r="E1600" t="str">
        <f>"080065902408"</f>
        <v>080065902408</v>
      </c>
      <c r="F1600" s="3">
        <v>45819</v>
      </c>
      <c r="G1600">
        <v>202603</v>
      </c>
      <c r="H1600" t="s">
        <v>75</v>
      </c>
      <c r="I1600" t="s">
        <v>76</v>
      </c>
      <c r="J1600" t="s">
        <v>77</v>
      </c>
      <c r="K1600" t="s">
        <v>78</v>
      </c>
      <c r="L1600" t="s">
        <v>91</v>
      </c>
      <c r="M1600" t="s">
        <v>92</v>
      </c>
      <c r="N1600" t="s">
        <v>540</v>
      </c>
      <c r="O1600" t="s">
        <v>82</v>
      </c>
      <c r="P1600" t="str">
        <f>"4170043460                    "</f>
        <v xml:space="preserve">4170043460                    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20.9</v>
      </c>
      <c r="AR1600">
        <v>0</v>
      </c>
      <c r="AS1600">
        <v>0</v>
      </c>
      <c r="AT1600">
        <v>0</v>
      </c>
      <c r="AU1600">
        <v>0</v>
      </c>
      <c r="AV1600">
        <v>0</v>
      </c>
      <c r="AW1600">
        <v>0</v>
      </c>
      <c r="AX1600">
        <v>0</v>
      </c>
      <c r="AY1600">
        <v>0</v>
      </c>
      <c r="AZ1600">
        <v>0</v>
      </c>
      <c r="BA1600">
        <v>0</v>
      </c>
      <c r="BB1600">
        <v>0</v>
      </c>
      <c r="BC1600">
        <v>0</v>
      </c>
      <c r="BD1600">
        <v>0</v>
      </c>
      <c r="BE1600">
        <v>0</v>
      </c>
      <c r="BF1600">
        <v>0</v>
      </c>
      <c r="BG1600">
        <v>0</v>
      </c>
      <c r="BH1600">
        <v>1</v>
      </c>
      <c r="BI1600">
        <v>1</v>
      </c>
      <c r="BJ1600">
        <v>0.2</v>
      </c>
      <c r="BK1600">
        <v>1</v>
      </c>
      <c r="BL1600">
        <v>69.5</v>
      </c>
      <c r="BM1600">
        <v>10.43</v>
      </c>
      <c r="BN1600">
        <v>79.930000000000007</v>
      </c>
      <c r="BO1600">
        <v>79.930000000000007</v>
      </c>
      <c r="BQ1600" t="s">
        <v>541</v>
      </c>
      <c r="BR1600" t="s">
        <v>84</v>
      </c>
      <c r="BS1600" t="s">
        <v>189</v>
      </c>
      <c r="BV1600" t="s">
        <v>90</v>
      </c>
      <c r="BY1600">
        <v>1200</v>
      </c>
      <c r="CC1600" t="s">
        <v>92</v>
      </c>
      <c r="CD1600">
        <v>7441</v>
      </c>
      <c r="CE1600" t="s">
        <v>215</v>
      </c>
      <c r="CI1600">
        <v>1</v>
      </c>
      <c r="CJ1600" t="s">
        <v>189</v>
      </c>
      <c r="CK1600">
        <v>21</v>
      </c>
      <c r="CL1600" t="s">
        <v>90</v>
      </c>
    </row>
    <row r="1601" spans="1:90" x14ac:dyDescent="0.3">
      <c r="A1601" t="s">
        <v>72</v>
      </c>
      <c r="B1601" t="s">
        <v>73</v>
      </c>
      <c r="C1601" t="s">
        <v>74</v>
      </c>
      <c r="E1601" t="str">
        <f>"080065902440"</f>
        <v>080065902440</v>
      </c>
      <c r="F1601" s="3">
        <v>45819</v>
      </c>
      <c r="G1601">
        <v>202603</v>
      </c>
      <c r="H1601" t="s">
        <v>75</v>
      </c>
      <c r="I1601" t="s">
        <v>76</v>
      </c>
      <c r="J1601" t="s">
        <v>77</v>
      </c>
      <c r="K1601" t="s">
        <v>78</v>
      </c>
      <c r="L1601" t="s">
        <v>91</v>
      </c>
      <c r="M1601" t="s">
        <v>92</v>
      </c>
      <c r="N1601" t="s">
        <v>150</v>
      </c>
      <c r="O1601" t="s">
        <v>82</v>
      </c>
      <c r="P1601" t="str">
        <f>"4170043492                    "</f>
        <v xml:space="preserve">4170043492                    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20.9</v>
      </c>
      <c r="AR1601">
        <v>0</v>
      </c>
      <c r="AS1601">
        <v>0</v>
      </c>
      <c r="AT1601">
        <v>0</v>
      </c>
      <c r="AU1601">
        <v>0</v>
      </c>
      <c r="AV1601">
        <v>0</v>
      </c>
      <c r="AW1601">
        <v>0</v>
      </c>
      <c r="AX1601">
        <v>0</v>
      </c>
      <c r="AY1601">
        <v>0</v>
      </c>
      <c r="AZ1601">
        <v>0</v>
      </c>
      <c r="BA1601">
        <v>0</v>
      </c>
      <c r="BB1601">
        <v>0</v>
      </c>
      <c r="BC1601">
        <v>0</v>
      </c>
      <c r="BD1601">
        <v>0</v>
      </c>
      <c r="BE1601">
        <v>0</v>
      </c>
      <c r="BF1601">
        <v>0</v>
      </c>
      <c r="BG1601">
        <v>0</v>
      </c>
      <c r="BH1601">
        <v>1</v>
      </c>
      <c r="BI1601">
        <v>1</v>
      </c>
      <c r="BJ1601">
        <v>0.2</v>
      </c>
      <c r="BK1601">
        <v>1</v>
      </c>
      <c r="BL1601">
        <v>69.5</v>
      </c>
      <c r="BM1601">
        <v>10.43</v>
      </c>
      <c r="BN1601">
        <v>79.930000000000007</v>
      </c>
      <c r="BO1601">
        <v>79.930000000000007</v>
      </c>
      <c r="BQ1601" t="s">
        <v>151</v>
      </c>
      <c r="BR1601" t="s">
        <v>84</v>
      </c>
      <c r="BS1601" t="s">
        <v>189</v>
      </c>
      <c r="BV1601" t="s">
        <v>90</v>
      </c>
      <c r="BY1601">
        <v>1200</v>
      </c>
      <c r="CC1601" t="s">
        <v>92</v>
      </c>
      <c r="CD1601">
        <v>7405</v>
      </c>
      <c r="CE1601" t="s">
        <v>215</v>
      </c>
      <c r="CI1601">
        <v>1</v>
      </c>
      <c r="CJ1601" t="s">
        <v>189</v>
      </c>
      <c r="CK1601">
        <v>21</v>
      </c>
      <c r="CL1601" t="s">
        <v>90</v>
      </c>
    </row>
    <row r="1602" spans="1:90" x14ac:dyDescent="0.3">
      <c r="A1602" t="s">
        <v>72</v>
      </c>
      <c r="B1602" t="s">
        <v>73</v>
      </c>
      <c r="C1602" t="s">
        <v>74</v>
      </c>
      <c r="E1602" t="str">
        <f>"080065902451"</f>
        <v>080065902451</v>
      </c>
      <c r="F1602" s="3">
        <v>45819</v>
      </c>
      <c r="G1602">
        <v>202603</v>
      </c>
      <c r="H1602" t="s">
        <v>75</v>
      </c>
      <c r="I1602" t="s">
        <v>76</v>
      </c>
      <c r="J1602" t="s">
        <v>77</v>
      </c>
      <c r="K1602" t="s">
        <v>78</v>
      </c>
      <c r="L1602" t="s">
        <v>174</v>
      </c>
      <c r="M1602" t="s">
        <v>175</v>
      </c>
      <c r="N1602" t="s">
        <v>176</v>
      </c>
      <c r="O1602" t="s">
        <v>82</v>
      </c>
      <c r="P1602" t="str">
        <f>"4170043432                    "</f>
        <v xml:space="preserve">4170043432                    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Q1602">
        <v>20.9</v>
      </c>
      <c r="AR1602">
        <v>0</v>
      </c>
      <c r="AS1602">
        <v>0</v>
      </c>
      <c r="AT1602">
        <v>0</v>
      </c>
      <c r="AU1602">
        <v>0</v>
      </c>
      <c r="AV1602">
        <v>0</v>
      </c>
      <c r="AW1602">
        <v>0</v>
      </c>
      <c r="AX1602">
        <v>0</v>
      </c>
      <c r="AY1602">
        <v>0</v>
      </c>
      <c r="AZ1602">
        <v>0</v>
      </c>
      <c r="BA1602">
        <v>0</v>
      </c>
      <c r="BB1602">
        <v>0</v>
      </c>
      <c r="BC1602">
        <v>0</v>
      </c>
      <c r="BD1602">
        <v>0</v>
      </c>
      <c r="BE1602">
        <v>0</v>
      </c>
      <c r="BF1602">
        <v>0</v>
      </c>
      <c r="BG1602">
        <v>0</v>
      </c>
      <c r="BH1602">
        <v>1</v>
      </c>
      <c r="BI1602">
        <v>1</v>
      </c>
      <c r="BJ1602">
        <v>0.2</v>
      </c>
      <c r="BK1602">
        <v>1</v>
      </c>
      <c r="BL1602">
        <v>69.5</v>
      </c>
      <c r="BM1602">
        <v>10.43</v>
      </c>
      <c r="BN1602">
        <v>79.930000000000007</v>
      </c>
      <c r="BO1602">
        <v>79.930000000000007</v>
      </c>
      <c r="BQ1602" t="s">
        <v>177</v>
      </c>
      <c r="BR1602" t="s">
        <v>84</v>
      </c>
      <c r="BS1602" t="s">
        <v>189</v>
      </c>
      <c r="BV1602" t="s">
        <v>90</v>
      </c>
      <c r="BY1602">
        <v>1200</v>
      </c>
      <c r="CC1602" t="s">
        <v>175</v>
      </c>
      <c r="CD1602">
        <v>3610</v>
      </c>
      <c r="CE1602" t="s">
        <v>215</v>
      </c>
      <c r="CI1602">
        <v>1</v>
      </c>
      <c r="CJ1602" t="s">
        <v>189</v>
      </c>
      <c r="CK1602">
        <v>21</v>
      </c>
      <c r="CL1602" t="s">
        <v>90</v>
      </c>
    </row>
    <row r="1603" spans="1:90" x14ac:dyDescent="0.3">
      <c r="A1603" t="s">
        <v>72</v>
      </c>
      <c r="B1603" t="s">
        <v>73</v>
      </c>
      <c r="C1603" t="s">
        <v>74</v>
      </c>
      <c r="E1603" t="str">
        <f>"080065902457"</f>
        <v>080065902457</v>
      </c>
      <c r="F1603" s="3">
        <v>45819</v>
      </c>
      <c r="G1603">
        <v>202603</v>
      </c>
      <c r="H1603" t="s">
        <v>75</v>
      </c>
      <c r="I1603" t="s">
        <v>76</v>
      </c>
      <c r="J1603" t="s">
        <v>77</v>
      </c>
      <c r="K1603" t="s">
        <v>78</v>
      </c>
      <c r="L1603" t="s">
        <v>266</v>
      </c>
      <c r="M1603" t="s">
        <v>267</v>
      </c>
      <c r="N1603" t="s">
        <v>1948</v>
      </c>
      <c r="O1603" t="s">
        <v>82</v>
      </c>
      <c r="P1603" t="str">
        <f>"4170043556                    "</f>
        <v xml:space="preserve">4170043556                    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20.9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0</v>
      </c>
      <c r="AX1603">
        <v>0</v>
      </c>
      <c r="AY1603">
        <v>0</v>
      </c>
      <c r="AZ1603">
        <v>0</v>
      </c>
      <c r="BA1603">
        <v>0</v>
      </c>
      <c r="BB1603">
        <v>0</v>
      </c>
      <c r="BC1603">
        <v>0</v>
      </c>
      <c r="BD1603">
        <v>0</v>
      </c>
      <c r="BE1603">
        <v>0</v>
      </c>
      <c r="BF1603">
        <v>0</v>
      </c>
      <c r="BG1603">
        <v>0</v>
      </c>
      <c r="BH1603">
        <v>1</v>
      </c>
      <c r="BI1603">
        <v>1</v>
      </c>
      <c r="BJ1603">
        <v>0.2</v>
      </c>
      <c r="BK1603">
        <v>1</v>
      </c>
      <c r="BL1603">
        <v>69.5</v>
      </c>
      <c r="BM1603">
        <v>10.43</v>
      </c>
      <c r="BN1603">
        <v>79.930000000000007</v>
      </c>
      <c r="BO1603">
        <v>79.930000000000007</v>
      </c>
      <c r="BQ1603" t="s">
        <v>1949</v>
      </c>
      <c r="BR1603" t="s">
        <v>84</v>
      </c>
      <c r="BS1603" t="s">
        <v>189</v>
      </c>
      <c r="BV1603" t="s">
        <v>90</v>
      </c>
      <c r="BY1603">
        <v>1200</v>
      </c>
      <c r="CC1603" t="s">
        <v>267</v>
      </c>
      <c r="CD1603">
        <v>6021</v>
      </c>
      <c r="CE1603" t="s">
        <v>215</v>
      </c>
      <c r="CI1603">
        <v>1</v>
      </c>
      <c r="CJ1603" t="s">
        <v>189</v>
      </c>
      <c r="CK1603">
        <v>21</v>
      </c>
      <c r="CL1603" t="s">
        <v>90</v>
      </c>
    </row>
    <row r="1604" spans="1:90" x14ac:dyDescent="0.3">
      <c r="A1604" t="s">
        <v>72</v>
      </c>
      <c r="B1604" t="s">
        <v>73</v>
      </c>
      <c r="C1604" t="s">
        <v>74</v>
      </c>
      <c r="E1604" t="str">
        <f>"080065902482"</f>
        <v>080065902482</v>
      </c>
      <c r="F1604" s="3">
        <v>45819</v>
      </c>
      <c r="G1604">
        <v>202603</v>
      </c>
      <c r="H1604" t="s">
        <v>75</v>
      </c>
      <c r="I1604" t="s">
        <v>76</v>
      </c>
      <c r="J1604" t="s">
        <v>77</v>
      </c>
      <c r="K1604" t="s">
        <v>78</v>
      </c>
      <c r="L1604" t="s">
        <v>116</v>
      </c>
      <c r="M1604" t="s">
        <v>117</v>
      </c>
      <c r="N1604" t="s">
        <v>118</v>
      </c>
      <c r="O1604" t="s">
        <v>82</v>
      </c>
      <c r="P1604" t="str">
        <f>"4170043444                    "</f>
        <v xml:space="preserve">4170043444                    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20.9</v>
      </c>
      <c r="AR1604">
        <v>0</v>
      </c>
      <c r="AS1604">
        <v>0</v>
      </c>
      <c r="AT1604">
        <v>0</v>
      </c>
      <c r="AU1604">
        <v>0</v>
      </c>
      <c r="AV1604">
        <v>0</v>
      </c>
      <c r="AW1604">
        <v>0</v>
      </c>
      <c r="AX1604">
        <v>0</v>
      </c>
      <c r="AY1604">
        <v>0</v>
      </c>
      <c r="AZ1604">
        <v>0</v>
      </c>
      <c r="BA1604">
        <v>0</v>
      </c>
      <c r="BB1604">
        <v>0</v>
      </c>
      <c r="BC1604">
        <v>0</v>
      </c>
      <c r="BD1604">
        <v>0</v>
      </c>
      <c r="BE1604">
        <v>0</v>
      </c>
      <c r="BF1604">
        <v>0</v>
      </c>
      <c r="BG1604">
        <v>0</v>
      </c>
      <c r="BH1604">
        <v>1</v>
      </c>
      <c r="BI1604">
        <v>1</v>
      </c>
      <c r="BJ1604">
        <v>0.2</v>
      </c>
      <c r="BK1604">
        <v>1</v>
      </c>
      <c r="BL1604">
        <v>69.5</v>
      </c>
      <c r="BM1604">
        <v>10.43</v>
      </c>
      <c r="BN1604">
        <v>79.930000000000007</v>
      </c>
      <c r="BO1604">
        <v>79.930000000000007</v>
      </c>
      <c r="BQ1604" t="s">
        <v>119</v>
      </c>
      <c r="BR1604" t="s">
        <v>84</v>
      </c>
      <c r="BS1604" t="s">
        <v>189</v>
      </c>
      <c r="BV1604" t="s">
        <v>90</v>
      </c>
      <c r="BY1604">
        <v>1200</v>
      </c>
      <c r="CC1604" t="s">
        <v>117</v>
      </c>
      <c r="CD1604">
        <v>3201</v>
      </c>
      <c r="CE1604" t="s">
        <v>215</v>
      </c>
      <c r="CI1604">
        <v>1</v>
      </c>
      <c r="CJ1604" t="s">
        <v>189</v>
      </c>
      <c r="CK1604">
        <v>21</v>
      </c>
      <c r="CL1604" t="s">
        <v>90</v>
      </c>
    </row>
    <row r="1605" spans="1:90" x14ac:dyDescent="0.3">
      <c r="A1605" t="s">
        <v>72</v>
      </c>
      <c r="B1605" t="s">
        <v>73</v>
      </c>
      <c r="C1605" t="s">
        <v>74</v>
      </c>
      <c r="E1605" t="str">
        <f>"080065902499"</f>
        <v>080065902499</v>
      </c>
      <c r="F1605" s="3">
        <v>45819</v>
      </c>
      <c r="G1605">
        <v>202603</v>
      </c>
      <c r="H1605" t="s">
        <v>75</v>
      </c>
      <c r="I1605" t="s">
        <v>76</v>
      </c>
      <c r="J1605" t="s">
        <v>77</v>
      </c>
      <c r="K1605" t="s">
        <v>78</v>
      </c>
      <c r="L1605" t="s">
        <v>91</v>
      </c>
      <c r="M1605" t="s">
        <v>92</v>
      </c>
      <c r="N1605" t="s">
        <v>327</v>
      </c>
      <c r="O1605" t="s">
        <v>82</v>
      </c>
      <c r="P1605" t="str">
        <f>"4170043424                    "</f>
        <v xml:space="preserve">4170043424                    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20.9</v>
      </c>
      <c r="AR1605">
        <v>0</v>
      </c>
      <c r="AS1605">
        <v>0</v>
      </c>
      <c r="AT1605">
        <v>0</v>
      </c>
      <c r="AU1605">
        <v>0</v>
      </c>
      <c r="AV1605">
        <v>0</v>
      </c>
      <c r="AW1605">
        <v>0</v>
      </c>
      <c r="AX1605">
        <v>0</v>
      </c>
      <c r="AY1605">
        <v>0</v>
      </c>
      <c r="AZ1605">
        <v>0</v>
      </c>
      <c r="BA1605">
        <v>0</v>
      </c>
      <c r="BB1605">
        <v>0</v>
      </c>
      <c r="BC1605">
        <v>0</v>
      </c>
      <c r="BD1605">
        <v>0</v>
      </c>
      <c r="BE1605">
        <v>0</v>
      </c>
      <c r="BF1605">
        <v>0</v>
      </c>
      <c r="BG1605">
        <v>0</v>
      </c>
      <c r="BH1605">
        <v>1</v>
      </c>
      <c r="BI1605">
        <v>1</v>
      </c>
      <c r="BJ1605">
        <v>0.2</v>
      </c>
      <c r="BK1605">
        <v>1</v>
      </c>
      <c r="BL1605">
        <v>69.5</v>
      </c>
      <c r="BM1605">
        <v>10.43</v>
      </c>
      <c r="BN1605">
        <v>79.930000000000007</v>
      </c>
      <c r="BO1605">
        <v>79.930000000000007</v>
      </c>
      <c r="BQ1605" t="s">
        <v>328</v>
      </c>
      <c r="BR1605" t="s">
        <v>84</v>
      </c>
      <c r="BS1605" s="3">
        <v>45820</v>
      </c>
      <c r="BT1605" s="4">
        <v>0.33541666666666664</v>
      </c>
      <c r="BU1605" t="s">
        <v>1035</v>
      </c>
      <c r="BV1605" t="s">
        <v>86</v>
      </c>
      <c r="BY1605">
        <v>1200</v>
      </c>
      <c r="CA1605" t="s">
        <v>330</v>
      </c>
      <c r="CC1605" t="s">
        <v>92</v>
      </c>
      <c r="CD1605">
        <v>7530</v>
      </c>
      <c r="CE1605" t="s">
        <v>215</v>
      </c>
      <c r="CI1605">
        <v>1</v>
      </c>
      <c r="CJ1605">
        <v>1</v>
      </c>
      <c r="CK1605">
        <v>21</v>
      </c>
      <c r="CL1605" t="s">
        <v>90</v>
      </c>
    </row>
    <row r="1606" spans="1:90" x14ac:dyDescent="0.3">
      <c r="A1606" t="s">
        <v>72</v>
      </c>
      <c r="B1606" t="s">
        <v>73</v>
      </c>
      <c r="C1606" t="s">
        <v>74</v>
      </c>
      <c r="E1606" t="str">
        <f>"080065902525"</f>
        <v>080065902525</v>
      </c>
      <c r="F1606" s="3">
        <v>45819</v>
      </c>
      <c r="G1606">
        <v>202603</v>
      </c>
      <c r="H1606" t="s">
        <v>75</v>
      </c>
      <c r="I1606" t="s">
        <v>76</v>
      </c>
      <c r="J1606" t="s">
        <v>77</v>
      </c>
      <c r="K1606" t="s">
        <v>78</v>
      </c>
      <c r="L1606" t="s">
        <v>375</v>
      </c>
      <c r="M1606" t="s">
        <v>376</v>
      </c>
      <c r="N1606" t="s">
        <v>1109</v>
      </c>
      <c r="O1606" t="s">
        <v>82</v>
      </c>
      <c r="P1606" t="str">
        <f>"4170043532                    "</f>
        <v xml:space="preserve">4170043532                    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16.32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0</v>
      </c>
      <c r="AX1606">
        <v>0</v>
      </c>
      <c r="AY1606">
        <v>0</v>
      </c>
      <c r="AZ1606">
        <v>0</v>
      </c>
      <c r="BA1606">
        <v>0</v>
      </c>
      <c r="BB1606">
        <v>0</v>
      </c>
      <c r="BC1606">
        <v>0</v>
      </c>
      <c r="BD1606">
        <v>0</v>
      </c>
      <c r="BE1606">
        <v>0</v>
      </c>
      <c r="BF1606">
        <v>0</v>
      </c>
      <c r="BG1606">
        <v>0</v>
      </c>
      <c r="BH1606">
        <v>1</v>
      </c>
      <c r="BI1606">
        <v>1</v>
      </c>
      <c r="BJ1606">
        <v>0.2</v>
      </c>
      <c r="BK1606">
        <v>1</v>
      </c>
      <c r="BL1606">
        <v>54.28</v>
      </c>
      <c r="BM1606">
        <v>8.14</v>
      </c>
      <c r="BN1606">
        <v>62.42</v>
      </c>
      <c r="BO1606">
        <v>62.42</v>
      </c>
      <c r="BQ1606" t="s">
        <v>1110</v>
      </c>
      <c r="BR1606" t="s">
        <v>84</v>
      </c>
      <c r="BS1606" s="3">
        <v>45820</v>
      </c>
      <c r="BT1606" s="4">
        <v>0.33333333333333331</v>
      </c>
      <c r="BU1606" t="s">
        <v>1111</v>
      </c>
      <c r="BV1606" t="s">
        <v>86</v>
      </c>
      <c r="BY1606">
        <v>1200</v>
      </c>
      <c r="CA1606" t="s">
        <v>380</v>
      </c>
      <c r="CC1606" t="s">
        <v>376</v>
      </c>
      <c r="CD1606">
        <v>1401</v>
      </c>
      <c r="CE1606" t="s">
        <v>215</v>
      </c>
      <c r="CI1606">
        <v>1</v>
      </c>
      <c r="CJ1606">
        <v>1</v>
      </c>
      <c r="CK1606">
        <v>22</v>
      </c>
      <c r="CL1606" t="s">
        <v>90</v>
      </c>
    </row>
    <row r="1607" spans="1:90" x14ac:dyDescent="0.3">
      <c r="A1607" t="s">
        <v>72</v>
      </c>
      <c r="B1607" t="s">
        <v>73</v>
      </c>
      <c r="C1607" t="s">
        <v>74</v>
      </c>
      <c r="E1607" t="str">
        <f>"080065902551"</f>
        <v>080065902551</v>
      </c>
      <c r="F1607" s="3">
        <v>45819</v>
      </c>
      <c r="G1607">
        <v>202603</v>
      </c>
      <c r="H1607" t="s">
        <v>75</v>
      </c>
      <c r="I1607" t="s">
        <v>76</v>
      </c>
      <c r="J1607" t="s">
        <v>77</v>
      </c>
      <c r="K1607" t="s">
        <v>78</v>
      </c>
      <c r="L1607" t="s">
        <v>548</v>
      </c>
      <c r="M1607" t="s">
        <v>549</v>
      </c>
      <c r="N1607" t="s">
        <v>2125</v>
      </c>
      <c r="O1607" t="s">
        <v>82</v>
      </c>
      <c r="P1607" t="str">
        <f>"4170043446                    "</f>
        <v xml:space="preserve">4170043446                    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40.49</v>
      </c>
      <c r="AR1607">
        <v>0</v>
      </c>
      <c r="AS1607">
        <v>0</v>
      </c>
      <c r="AT1607">
        <v>0</v>
      </c>
      <c r="AU1607">
        <v>0</v>
      </c>
      <c r="AV1607">
        <v>0</v>
      </c>
      <c r="AW1607">
        <v>0</v>
      </c>
      <c r="AX1607">
        <v>0</v>
      </c>
      <c r="AY1607">
        <v>0</v>
      </c>
      <c r="AZ1607">
        <v>0</v>
      </c>
      <c r="BA1607">
        <v>0</v>
      </c>
      <c r="BB1607">
        <v>0</v>
      </c>
      <c r="BC1607">
        <v>0</v>
      </c>
      <c r="BD1607">
        <v>0</v>
      </c>
      <c r="BE1607">
        <v>0</v>
      </c>
      <c r="BF1607">
        <v>0</v>
      </c>
      <c r="BG1607">
        <v>0</v>
      </c>
      <c r="BH1607">
        <v>1</v>
      </c>
      <c r="BI1607">
        <v>1</v>
      </c>
      <c r="BJ1607">
        <v>0.2</v>
      </c>
      <c r="BK1607">
        <v>1</v>
      </c>
      <c r="BL1607">
        <v>134.65</v>
      </c>
      <c r="BM1607">
        <v>20.2</v>
      </c>
      <c r="BN1607">
        <v>154.85</v>
      </c>
      <c r="BO1607">
        <v>154.85</v>
      </c>
      <c r="BQ1607" t="s">
        <v>2126</v>
      </c>
      <c r="BR1607" t="s">
        <v>84</v>
      </c>
      <c r="BS1607" t="s">
        <v>189</v>
      </c>
      <c r="BV1607" t="s">
        <v>90</v>
      </c>
      <c r="BY1607">
        <v>1200</v>
      </c>
      <c r="CC1607" t="s">
        <v>549</v>
      </c>
      <c r="CD1607">
        <v>4339</v>
      </c>
      <c r="CE1607" t="s">
        <v>215</v>
      </c>
      <c r="CI1607">
        <v>1</v>
      </c>
      <c r="CJ1607" t="s">
        <v>189</v>
      </c>
      <c r="CK1607">
        <v>23</v>
      </c>
      <c r="CL1607" t="s">
        <v>90</v>
      </c>
    </row>
    <row r="1608" spans="1:90" x14ac:dyDescent="0.3">
      <c r="A1608" t="s">
        <v>72</v>
      </c>
      <c r="B1608" t="s">
        <v>73</v>
      </c>
      <c r="C1608" t="s">
        <v>74</v>
      </c>
      <c r="E1608" t="str">
        <f>"080065902678"</f>
        <v>080065902678</v>
      </c>
      <c r="F1608" s="3">
        <v>45819</v>
      </c>
      <c r="G1608">
        <v>202603</v>
      </c>
      <c r="H1608" t="s">
        <v>75</v>
      </c>
      <c r="I1608" t="s">
        <v>76</v>
      </c>
      <c r="J1608" t="s">
        <v>77</v>
      </c>
      <c r="K1608" t="s">
        <v>78</v>
      </c>
      <c r="L1608" t="s">
        <v>75</v>
      </c>
      <c r="M1608" t="s">
        <v>76</v>
      </c>
      <c r="N1608" t="s">
        <v>2127</v>
      </c>
      <c r="O1608" t="s">
        <v>82</v>
      </c>
      <c r="P1608" t="str">
        <f>"4170043505                    "</f>
        <v xml:space="preserve">4170043505                    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16.32</v>
      </c>
      <c r="AR1608">
        <v>0</v>
      </c>
      <c r="AS1608">
        <v>0</v>
      </c>
      <c r="AT1608">
        <v>0</v>
      </c>
      <c r="AU1608">
        <v>0</v>
      </c>
      <c r="AV1608">
        <v>0</v>
      </c>
      <c r="AW1608">
        <v>0</v>
      </c>
      <c r="AX1608">
        <v>0</v>
      </c>
      <c r="AY1608">
        <v>0</v>
      </c>
      <c r="AZ1608">
        <v>0</v>
      </c>
      <c r="BA1608">
        <v>0</v>
      </c>
      <c r="BB1608">
        <v>0</v>
      </c>
      <c r="BC1608">
        <v>0</v>
      </c>
      <c r="BD1608">
        <v>0</v>
      </c>
      <c r="BE1608">
        <v>0</v>
      </c>
      <c r="BF1608">
        <v>0</v>
      </c>
      <c r="BG1608">
        <v>0</v>
      </c>
      <c r="BH1608">
        <v>1</v>
      </c>
      <c r="BI1608">
        <v>1</v>
      </c>
      <c r="BJ1608">
        <v>0.2</v>
      </c>
      <c r="BK1608">
        <v>1</v>
      </c>
      <c r="BL1608">
        <v>54.28</v>
      </c>
      <c r="BM1608">
        <v>8.14</v>
      </c>
      <c r="BN1608">
        <v>62.42</v>
      </c>
      <c r="BO1608">
        <v>62.42</v>
      </c>
      <c r="BQ1608" t="s">
        <v>2128</v>
      </c>
      <c r="BR1608" t="s">
        <v>84</v>
      </c>
      <c r="BS1608" t="s">
        <v>189</v>
      </c>
      <c r="BV1608" t="s">
        <v>90</v>
      </c>
      <c r="BY1608">
        <v>1200</v>
      </c>
      <c r="CC1608" t="s">
        <v>76</v>
      </c>
      <c r="CD1608">
        <v>1609</v>
      </c>
      <c r="CE1608" t="s">
        <v>215</v>
      </c>
      <c r="CI1608">
        <v>1</v>
      </c>
      <c r="CJ1608" t="s">
        <v>189</v>
      </c>
      <c r="CK1608">
        <v>22</v>
      </c>
      <c r="CL1608" t="s">
        <v>90</v>
      </c>
    </row>
    <row r="1609" spans="1:90" x14ac:dyDescent="0.3">
      <c r="A1609" t="s">
        <v>72</v>
      </c>
      <c r="B1609" t="s">
        <v>73</v>
      </c>
      <c r="C1609" t="s">
        <v>74</v>
      </c>
      <c r="E1609" t="str">
        <f>"080065902682"</f>
        <v>080065902682</v>
      </c>
      <c r="F1609" s="3">
        <v>45819</v>
      </c>
      <c r="G1609">
        <v>202603</v>
      </c>
      <c r="H1609" t="s">
        <v>75</v>
      </c>
      <c r="I1609" t="s">
        <v>76</v>
      </c>
      <c r="J1609" t="s">
        <v>77</v>
      </c>
      <c r="K1609" t="s">
        <v>78</v>
      </c>
      <c r="L1609" t="s">
        <v>413</v>
      </c>
      <c r="M1609" t="s">
        <v>414</v>
      </c>
      <c r="N1609" t="s">
        <v>1892</v>
      </c>
      <c r="O1609" t="s">
        <v>82</v>
      </c>
      <c r="P1609" t="str">
        <f>"4170043506                    "</f>
        <v xml:space="preserve">4170043506                    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20.9</v>
      </c>
      <c r="AR1609">
        <v>0</v>
      </c>
      <c r="AS1609">
        <v>0</v>
      </c>
      <c r="AT1609">
        <v>0</v>
      </c>
      <c r="AU1609">
        <v>0</v>
      </c>
      <c r="AV1609">
        <v>0</v>
      </c>
      <c r="AW1609">
        <v>0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>
        <v>0</v>
      </c>
      <c r="BD1609">
        <v>0</v>
      </c>
      <c r="BE1609">
        <v>0</v>
      </c>
      <c r="BF1609">
        <v>0</v>
      </c>
      <c r="BG1609">
        <v>0</v>
      </c>
      <c r="BH1609">
        <v>1</v>
      </c>
      <c r="BI1609">
        <v>2</v>
      </c>
      <c r="BJ1609">
        <v>1.3</v>
      </c>
      <c r="BK1609">
        <v>2</v>
      </c>
      <c r="BL1609">
        <v>69.5</v>
      </c>
      <c r="BM1609">
        <v>10.43</v>
      </c>
      <c r="BN1609">
        <v>79.930000000000007</v>
      </c>
      <c r="BO1609">
        <v>79.930000000000007</v>
      </c>
      <c r="BQ1609" t="s">
        <v>1893</v>
      </c>
      <c r="BR1609" t="s">
        <v>84</v>
      </c>
      <c r="BS1609" t="s">
        <v>189</v>
      </c>
      <c r="BV1609" t="s">
        <v>90</v>
      </c>
      <c r="BY1609">
        <v>6300</v>
      </c>
      <c r="CC1609" t="s">
        <v>414</v>
      </c>
      <c r="CD1609">
        <v>4113</v>
      </c>
      <c r="CE1609" t="s">
        <v>166</v>
      </c>
      <c r="CI1609">
        <v>1</v>
      </c>
      <c r="CJ1609" t="s">
        <v>189</v>
      </c>
      <c r="CK1609">
        <v>21</v>
      </c>
      <c r="CL1609" t="s">
        <v>90</v>
      </c>
    </row>
    <row r="1610" spans="1:90" x14ac:dyDescent="0.3">
      <c r="A1610" t="s">
        <v>72</v>
      </c>
      <c r="B1610" t="s">
        <v>73</v>
      </c>
      <c r="C1610" t="s">
        <v>74</v>
      </c>
      <c r="E1610" t="str">
        <f>"080065902708"</f>
        <v>080065902708</v>
      </c>
      <c r="F1610" s="3">
        <v>45819</v>
      </c>
      <c r="G1610">
        <v>202603</v>
      </c>
      <c r="H1610" t="s">
        <v>75</v>
      </c>
      <c r="I1610" t="s">
        <v>76</v>
      </c>
      <c r="J1610" t="s">
        <v>77</v>
      </c>
      <c r="K1610" t="s">
        <v>78</v>
      </c>
      <c r="L1610" t="s">
        <v>159</v>
      </c>
      <c r="M1610" t="s">
        <v>160</v>
      </c>
      <c r="N1610" t="s">
        <v>2129</v>
      </c>
      <c r="O1610" t="s">
        <v>82</v>
      </c>
      <c r="P1610" t="str">
        <f>"4170043538                    "</f>
        <v xml:space="preserve">4170043538                    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16.32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0</v>
      </c>
      <c r="AX1610">
        <v>0</v>
      </c>
      <c r="AY1610">
        <v>0</v>
      </c>
      <c r="AZ1610">
        <v>0</v>
      </c>
      <c r="BA1610">
        <v>0</v>
      </c>
      <c r="BB1610">
        <v>0</v>
      </c>
      <c r="BC1610">
        <v>0</v>
      </c>
      <c r="BD1610">
        <v>0</v>
      </c>
      <c r="BE1610">
        <v>0</v>
      </c>
      <c r="BF1610">
        <v>0</v>
      </c>
      <c r="BG1610">
        <v>0</v>
      </c>
      <c r="BH1610">
        <v>1</v>
      </c>
      <c r="BI1610">
        <v>1</v>
      </c>
      <c r="BJ1610">
        <v>0.2</v>
      </c>
      <c r="BK1610">
        <v>1</v>
      </c>
      <c r="BL1610">
        <v>54.28</v>
      </c>
      <c r="BM1610">
        <v>8.14</v>
      </c>
      <c r="BN1610">
        <v>62.42</v>
      </c>
      <c r="BO1610">
        <v>62.42</v>
      </c>
      <c r="BQ1610" t="s">
        <v>2130</v>
      </c>
      <c r="BR1610" t="s">
        <v>84</v>
      </c>
      <c r="BS1610" t="s">
        <v>189</v>
      </c>
      <c r="BV1610" t="s">
        <v>90</v>
      </c>
      <c r="BY1610">
        <v>1200</v>
      </c>
      <c r="CC1610" t="s">
        <v>160</v>
      </c>
      <c r="CD1610">
        <v>2049</v>
      </c>
      <c r="CE1610" t="s">
        <v>215</v>
      </c>
      <c r="CI1610">
        <v>1</v>
      </c>
      <c r="CJ1610" t="s">
        <v>189</v>
      </c>
      <c r="CK1610">
        <v>22</v>
      </c>
      <c r="CL1610" t="s">
        <v>90</v>
      </c>
    </row>
    <row r="1611" spans="1:90" x14ac:dyDescent="0.3">
      <c r="A1611" t="s">
        <v>72</v>
      </c>
      <c r="B1611" t="s">
        <v>73</v>
      </c>
      <c r="C1611" t="s">
        <v>74</v>
      </c>
      <c r="E1611" t="str">
        <f>"080065902734"</f>
        <v>080065902734</v>
      </c>
      <c r="F1611" s="3">
        <v>45819</v>
      </c>
      <c r="G1611">
        <v>202603</v>
      </c>
      <c r="H1611" t="s">
        <v>75</v>
      </c>
      <c r="I1611" t="s">
        <v>76</v>
      </c>
      <c r="J1611" t="s">
        <v>77</v>
      </c>
      <c r="K1611" t="s">
        <v>78</v>
      </c>
      <c r="L1611" t="s">
        <v>136</v>
      </c>
      <c r="M1611" t="s">
        <v>137</v>
      </c>
      <c r="N1611" t="s">
        <v>806</v>
      </c>
      <c r="O1611" t="s">
        <v>82</v>
      </c>
      <c r="P1611" t="str">
        <f>"4170043401                    "</f>
        <v xml:space="preserve">4170043401                    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>
        <v>36.56</v>
      </c>
      <c r="AR1611">
        <v>0</v>
      </c>
      <c r="AS1611">
        <v>0</v>
      </c>
      <c r="AT1611">
        <v>0</v>
      </c>
      <c r="AU1611">
        <v>0</v>
      </c>
      <c r="AV1611">
        <v>0</v>
      </c>
      <c r="AW1611">
        <v>0</v>
      </c>
      <c r="AX1611">
        <v>0</v>
      </c>
      <c r="AY1611">
        <v>0</v>
      </c>
      <c r="AZ1611">
        <v>0</v>
      </c>
      <c r="BA1611">
        <v>0</v>
      </c>
      <c r="BB1611">
        <v>0</v>
      </c>
      <c r="BC1611">
        <v>0</v>
      </c>
      <c r="BD1611">
        <v>0</v>
      </c>
      <c r="BE1611">
        <v>0</v>
      </c>
      <c r="BF1611">
        <v>0</v>
      </c>
      <c r="BG1611">
        <v>0</v>
      </c>
      <c r="BH1611">
        <v>1</v>
      </c>
      <c r="BI1611">
        <v>2</v>
      </c>
      <c r="BJ1611">
        <v>3.3</v>
      </c>
      <c r="BK1611">
        <v>3.5</v>
      </c>
      <c r="BL1611">
        <v>121.58</v>
      </c>
      <c r="BM1611">
        <v>18.239999999999998</v>
      </c>
      <c r="BN1611">
        <v>139.82</v>
      </c>
      <c r="BO1611">
        <v>139.82</v>
      </c>
      <c r="BQ1611" t="s">
        <v>807</v>
      </c>
      <c r="BR1611" t="s">
        <v>84</v>
      </c>
      <c r="BS1611" t="s">
        <v>189</v>
      </c>
      <c r="BV1611" t="s">
        <v>90</v>
      </c>
      <c r="BY1611">
        <v>16632</v>
      </c>
      <c r="CC1611" t="s">
        <v>137</v>
      </c>
      <c r="CD1611">
        <v>5201</v>
      </c>
      <c r="CE1611" t="s">
        <v>166</v>
      </c>
      <c r="CI1611">
        <v>1</v>
      </c>
      <c r="CJ1611" t="s">
        <v>189</v>
      </c>
      <c r="CK1611">
        <v>21</v>
      </c>
      <c r="CL1611" t="s">
        <v>90</v>
      </c>
    </row>
    <row r="1612" spans="1:90" x14ac:dyDescent="0.3">
      <c r="A1612" t="s">
        <v>72</v>
      </c>
      <c r="B1612" t="s">
        <v>73</v>
      </c>
      <c r="C1612" t="s">
        <v>74</v>
      </c>
      <c r="E1612" t="str">
        <f>"080065902750"</f>
        <v>080065902750</v>
      </c>
      <c r="F1612" s="3">
        <v>45819</v>
      </c>
      <c r="G1612">
        <v>202603</v>
      </c>
      <c r="H1612" t="s">
        <v>75</v>
      </c>
      <c r="I1612" t="s">
        <v>76</v>
      </c>
      <c r="J1612" t="s">
        <v>77</v>
      </c>
      <c r="K1612" t="s">
        <v>78</v>
      </c>
      <c r="L1612" t="s">
        <v>159</v>
      </c>
      <c r="M1612" t="s">
        <v>160</v>
      </c>
      <c r="N1612" t="s">
        <v>2067</v>
      </c>
      <c r="O1612" t="s">
        <v>82</v>
      </c>
      <c r="P1612" t="str">
        <f>"4170043513                    "</f>
        <v xml:space="preserve">4170043513                    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16.32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0</v>
      </c>
      <c r="AX1612">
        <v>0</v>
      </c>
      <c r="AY1612">
        <v>0</v>
      </c>
      <c r="AZ1612">
        <v>0</v>
      </c>
      <c r="BA1612">
        <v>0</v>
      </c>
      <c r="BB1612">
        <v>0</v>
      </c>
      <c r="BC1612">
        <v>0</v>
      </c>
      <c r="BD1612">
        <v>0</v>
      </c>
      <c r="BE1612">
        <v>0</v>
      </c>
      <c r="BF1612">
        <v>0</v>
      </c>
      <c r="BG1612">
        <v>0</v>
      </c>
      <c r="BH1612">
        <v>1</v>
      </c>
      <c r="BI1612">
        <v>1</v>
      </c>
      <c r="BJ1612">
        <v>0.2</v>
      </c>
      <c r="BK1612">
        <v>1</v>
      </c>
      <c r="BL1612">
        <v>54.28</v>
      </c>
      <c r="BM1612">
        <v>8.14</v>
      </c>
      <c r="BN1612">
        <v>62.42</v>
      </c>
      <c r="BO1612">
        <v>62.42</v>
      </c>
      <c r="BQ1612" t="s">
        <v>2068</v>
      </c>
      <c r="BR1612" t="s">
        <v>84</v>
      </c>
      <c r="BS1612" t="s">
        <v>189</v>
      </c>
      <c r="BV1612" t="s">
        <v>90</v>
      </c>
      <c r="BY1612">
        <v>1200</v>
      </c>
      <c r="CC1612" t="s">
        <v>160</v>
      </c>
      <c r="CD1612">
        <v>2091</v>
      </c>
      <c r="CE1612" t="s">
        <v>215</v>
      </c>
      <c r="CI1612">
        <v>1</v>
      </c>
      <c r="CJ1612" t="s">
        <v>189</v>
      </c>
      <c r="CK1612">
        <v>22</v>
      </c>
      <c r="CL1612" t="s">
        <v>90</v>
      </c>
    </row>
    <row r="1613" spans="1:90" x14ac:dyDescent="0.3">
      <c r="A1613" t="s">
        <v>72</v>
      </c>
      <c r="B1613" t="s">
        <v>73</v>
      </c>
      <c r="C1613" t="s">
        <v>74</v>
      </c>
      <c r="E1613" t="str">
        <f>"080065902820"</f>
        <v>080065902820</v>
      </c>
      <c r="F1613" s="3">
        <v>45819</v>
      </c>
      <c r="G1613">
        <v>202603</v>
      </c>
      <c r="H1613" t="s">
        <v>75</v>
      </c>
      <c r="I1613" t="s">
        <v>76</v>
      </c>
      <c r="J1613" t="s">
        <v>77</v>
      </c>
      <c r="K1613" t="s">
        <v>78</v>
      </c>
      <c r="L1613" t="s">
        <v>426</v>
      </c>
      <c r="M1613" t="s">
        <v>427</v>
      </c>
      <c r="N1613" t="s">
        <v>1671</v>
      </c>
      <c r="O1613" t="s">
        <v>82</v>
      </c>
      <c r="P1613" t="str">
        <f>"4170043413                    "</f>
        <v xml:space="preserve">4170043413                    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>
        <v>29.39</v>
      </c>
      <c r="AR1613">
        <v>0</v>
      </c>
      <c r="AS1613">
        <v>0</v>
      </c>
      <c r="AT1613">
        <v>0</v>
      </c>
      <c r="AU1613">
        <v>0</v>
      </c>
      <c r="AV1613">
        <v>0</v>
      </c>
      <c r="AW1613">
        <v>0</v>
      </c>
      <c r="AX1613">
        <v>0</v>
      </c>
      <c r="AY1613">
        <v>0</v>
      </c>
      <c r="AZ1613">
        <v>0</v>
      </c>
      <c r="BA1613">
        <v>0</v>
      </c>
      <c r="BB1613">
        <v>0</v>
      </c>
      <c r="BC1613">
        <v>0</v>
      </c>
      <c r="BD1613">
        <v>0</v>
      </c>
      <c r="BE1613">
        <v>0</v>
      </c>
      <c r="BF1613">
        <v>0</v>
      </c>
      <c r="BG1613">
        <v>0</v>
      </c>
      <c r="BH1613">
        <v>1</v>
      </c>
      <c r="BI1613">
        <v>1</v>
      </c>
      <c r="BJ1613">
        <v>0.2</v>
      </c>
      <c r="BK1613">
        <v>1</v>
      </c>
      <c r="BL1613">
        <v>97.74</v>
      </c>
      <c r="BM1613">
        <v>14.66</v>
      </c>
      <c r="BN1613">
        <v>112.4</v>
      </c>
      <c r="BO1613">
        <v>112.4</v>
      </c>
      <c r="BQ1613" t="s">
        <v>1672</v>
      </c>
      <c r="BR1613" t="s">
        <v>84</v>
      </c>
      <c r="BS1613" s="3">
        <v>45820</v>
      </c>
      <c r="BT1613" s="4">
        <v>0.33819444444444446</v>
      </c>
      <c r="BU1613" t="s">
        <v>1673</v>
      </c>
      <c r="BV1613" t="s">
        <v>86</v>
      </c>
      <c r="BY1613">
        <v>1200</v>
      </c>
      <c r="CA1613" t="s">
        <v>432</v>
      </c>
      <c r="CC1613" t="s">
        <v>427</v>
      </c>
      <c r="CD1613">
        <v>1760</v>
      </c>
      <c r="CE1613" t="s">
        <v>215</v>
      </c>
      <c r="CI1613">
        <v>1</v>
      </c>
      <c r="CJ1613">
        <v>1</v>
      </c>
      <c r="CK1613">
        <v>24</v>
      </c>
      <c r="CL1613" t="s">
        <v>90</v>
      </c>
    </row>
    <row r="1614" spans="1:90" x14ac:dyDescent="0.3">
      <c r="A1614" t="s">
        <v>72</v>
      </c>
      <c r="B1614" t="s">
        <v>73</v>
      </c>
      <c r="C1614" t="s">
        <v>74</v>
      </c>
      <c r="E1614" t="str">
        <f>"080065903013"</f>
        <v>080065903013</v>
      </c>
      <c r="F1614" s="3">
        <v>45819</v>
      </c>
      <c r="G1614">
        <v>202603</v>
      </c>
      <c r="H1614" t="s">
        <v>75</v>
      </c>
      <c r="I1614" t="s">
        <v>76</v>
      </c>
      <c r="J1614" t="s">
        <v>77</v>
      </c>
      <c r="K1614" t="s">
        <v>78</v>
      </c>
      <c r="L1614" t="s">
        <v>91</v>
      </c>
      <c r="M1614" t="s">
        <v>92</v>
      </c>
      <c r="N1614" t="s">
        <v>2131</v>
      </c>
      <c r="O1614" t="s">
        <v>82</v>
      </c>
      <c r="P1614" t="str">
        <f>"4170043490                    "</f>
        <v xml:space="preserve">4170043490                    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>
        <v>93.98</v>
      </c>
      <c r="AR1614">
        <v>0</v>
      </c>
      <c r="AS1614">
        <v>0</v>
      </c>
      <c r="AT1614">
        <v>0</v>
      </c>
      <c r="AU1614">
        <v>0</v>
      </c>
      <c r="AV1614">
        <v>0</v>
      </c>
      <c r="AW1614">
        <v>0</v>
      </c>
      <c r="AX1614">
        <v>0</v>
      </c>
      <c r="AY1614">
        <v>0</v>
      </c>
      <c r="AZ1614">
        <v>0</v>
      </c>
      <c r="BA1614">
        <v>0</v>
      </c>
      <c r="BB1614">
        <v>0</v>
      </c>
      <c r="BC1614">
        <v>0</v>
      </c>
      <c r="BD1614">
        <v>0</v>
      </c>
      <c r="BE1614">
        <v>0</v>
      </c>
      <c r="BF1614">
        <v>0</v>
      </c>
      <c r="BG1614">
        <v>0</v>
      </c>
      <c r="BH1614">
        <v>1</v>
      </c>
      <c r="BI1614">
        <v>6</v>
      </c>
      <c r="BJ1614">
        <v>8.9</v>
      </c>
      <c r="BK1614">
        <v>9</v>
      </c>
      <c r="BL1614">
        <v>312.54000000000002</v>
      </c>
      <c r="BM1614">
        <v>46.88</v>
      </c>
      <c r="BN1614">
        <v>359.42</v>
      </c>
      <c r="BO1614">
        <v>359.42</v>
      </c>
      <c r="BQ1614" t="s">
        <v>2132</v>
      </c>
      <c r="BR1614" t="s">
        <v>84</v>
      </c>
      <c r="BS1614" t="s">
        <v>189</v>
      </c>
      <c r="BV1614" t="s">
        <v>90</v>
      </c>
      <c r="BY1614">
        <v>44640</v>
      </c>
      <c r="CC1614" t="s">
        <v>92</v>
      </c>
      <c r="CD1614">
        <v>7441</v>
      </c>
      <c r="CE1614" t="s">
        <v>687</v>
      </c>
      <c r="CI1614">
        <v>1</v>
      </c>
      <c r="CJ1614" t="s">
        <v>189</v>
      </c>
      <c r="CK1614">
        <v>21</v>
      </c>
      <c r="CL1614" t="s">
        <v>90</v>
      </c>
    </row>
    <row r="1615" spans="1:90" x14ac:dyDescent="0.3">
      <c r="A1615" t="s">
        <v>72</v>
      </c>
      <c r="B1615" t="s">
        <v>73</v>
      </c>
      <c r="C1615" t="s">
        <v>74</v>
      </c>
      <c r="E1615" t="str">
        <f>"080065903093"</f>
        <v>080065903093</v>
      </c>
      <c r="F1615" s="3">
        <v>45819</v>
      </c>
      <c r="G1615">
        <v>202603</v>
      </c>
      <c r="H1615" t="s">
        <v>75</v>
      </c>
      <c r="I1615" t="s">
        <v>76</v>
      </c>
      <c r="J1615" t="s">
        <v>77</v>
      </c>
      <c r="K1615" t="s">
        <v>78</v>
      </c>
      <c r="L1615" t="s">
        <v>375</v>
      </c>
      <c r="M1615" t="s">
        <v>376</v>
      </c>
      <c r="N1615" t="s">
        <v>2089</v>
      </c>
      <c r="O1615" t="s">
        <v>82</v>
      </c>
      <c r="P1615" t="str">
        <f>"4170043567                    "</f>
        <v xml:space="preserve">4170043567                    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Q1615">
        <v>16.32</v>
      </c>
      <c r="AR1615">
        <v>0</v>
      </c>
      <c r="AS1615">
        <v>0</v>
      </c>
      <c r="AT1615">
        <v>0</v>
      </c>
      <c r="AU1615">
        <v>0</v>
      </c>
      <c r="AV1615">
        <v>0</v>
      </c>
      <c r="AW1615">
        <v>0</v>
      </c>
      <c r="AX1615">
        <v>0</v>
      </c>
      <c r="AY1615">
        <v>0</v>
      </c>
      <c r="AZ1615">
        <v>0</v>
      </c>
      <c r="BA1615">
        <v>0</v>
      </c>
      <c r="BB1615">
        <v>0</v>
      </c>
      <c r="BC1615">
        <v>0</v>
      </c>
      <c r="BD1615">
        <v>0</v>
      </c>
      <c r="BE1615">
        <v>0</v>
      </c>
      <c r="BF1615">
        <v>0</v>
      </c>
      <c r="BG1615">
        <v>0</v>
      </c>
      <c r="BH1615">
        <v>1</v>
      </c>
      <c r="BI1615">
        <v>1</v>
      </c>
      <c r="BJ1615">
        <v>0.2</v>
      </c>
      <c r="BK1615">
        <v>1</v>
      </c>
      <c r="BL1615">
        <v>54.28</v>
      </c>
      <c r="BM1615">
        <v>8.14</v>
      </c>
      <c r="BN1615">
        <v>62.42</v>
      </c>
      <c r="BO1615">
        <v>62.42</v>
      </c>
      <c r="BQ1615" t="s">
        <v>2090</v>
      </c>
      <c r="BR1615" t="s">
        <v>84</v>
      </c>
      <c r="BS1615" s="3">
        <v>45820</v>
      </c>
      <c r="BT1615" s="4">
        <v>0.3298611111111111</v>
      </c>
      <c r="BU1615" t="s">
        <v>2133</v>
      </c>
      <c r="BV1615" t="s">
        <v>86</v>
      </c>
      <c r="BY1615">
        <v>1200</v>
      </c>
      <c r="CA1615" t="s">
        <v>279</v>
      </c>
      <c r="CC1615" t="s">
        <v>376</v>
      </c>
      <c r="CD1615">
        <v>1401</v>
      </c>
      <c r="CE1615" t="s">
        <v>215</v>
      </c>
      <c r="CI1615">
        <v>1</v>
      </c>
      <c r="CJ1615">
        <v>1</v>
      </c>
      <c r="CK1615">
        <v>22</v>
      </c>
      <c r="CL1615" t="s">
        <v>90</v>
      </c>
    </row>
    <row r="1616" spans="1:90" x14ac:dyDescent="0.3">
      <c r="A1616" t="s">
        <v>72</v>
      </c>
      <c r="B1616" t="s">
        <v>73</v>
      </c>
      <c r="C1616" t="s">
        <v>74</v>
      </c>
      <c r="E1616" t="str">
        <f>"080065903709"</f>
        <v>080065903709</v>
      </c>
      <c r="F1616" s="3">
        <v>45819</v>
      </c>
      <c r="G1616">
        <v>202603</v>
      </c>
      <c r="H1616" t="s">
        <v>75</v>
      </c>
      <c r="I1616" t="s">
        <v>76</v>
      </c>
      <c r="J1616" t="s">
        <v>77</v>
      </c>
      <c r="K1616" t="s">
        <v>78</v>
      </c>
      <c r="L1616" t="s">
        <v>100</v>
      </c>
      <c r="M1616" t="s">
        <v>101</v>
      </c>
      <c r="N1616" t="s">
        <v>391</v>
      </c>
      <c r="O1616" t="s">
        <v>82</v>
      </c>
      <c r="P1616" t="str">
        <f>"4170043523                    "</f>
        <v xml:space="preserve">4170043523                    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20.9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0</v>
      </c>
      <c r="AX1616">
        <v>0</v>
      </c>
      <c r="AY1616">
        <v>0</v>
      </c>
      <c r="AZ1616">
        <v>0</v>
      </c>
      <c r="BA1616">
        <v>0</v>
      </c>
      <c r="BB1616">
        <v>0</v>
      </c>
      <c r="BC1616">
        <v>0</v>
      </c>
      <c r="BD1616">
        <v>0</v>
      </c>
      <c r="BE1616">
        <v>0</v>
      </c>
      <c r="BF1616">
        <v>0</v>
      </c>
      <c r="BG1616">
        <v>0</v>
      </c>
      <c r="BH1616">
        <v>1</v>
      </c>
      <c r="BI1616">
        <v>1</v>
      </c>
      <c r="BJ1616">
        <v>0.2</v>
      </c>
      <c r="BK1616">
        <v>1</v>
      </c>
      <c r="BL1616">
        <v>69.5</v>
      </c>
      <c r="BM1616">
        <v>10.43</v>
      </c>
      <c r="BN1616">
        <v>79.930000000000007</v>
      </c>
      <c r="BO1616">
        <v>79.930000000000007</v>
      </c>
      <c r="BQ1616" t="s">
        <v>392</v>
      </c>
      <c r="BR1616" t="s">
        <v>84</v>
      </c>
      <c r="BS1616" t="s">
        <v>189</v>
      </c>
      <c r="BV1616" t="s">
        <v>90</v>
      </c>
      <c r="BY1616">
        <v>1200</v>
      </c>
      <c r="CC1616" t="s">
        <v>101</v>
      </c>
      <c r="CD1616">
        <v>6001</v>
      </c>
      <c r="CE1616" t="s">
        <v>215</v>
      </c>
      <c r="CI1616">
        <v>1</v>
      </c>
      <c r="CJ1616" t="s">
        <v>189</v>
      </c>
      <c r="CK1616">
        <v>21</v>
      </c>
      <c r="CL1616" t="s">
        <v>90</v>
      </c>
    </row>
    <row r="1617" spans="1:90" x14ac:dyDescent="0.3">
      <c r="A1617" t="s">
        <v>72</v>
      </c>
      <c r="B1617" t="s">
        <v>73</v>
      </c>
      <c r="C1617" t="s">
        <v>74</v>
      </c>
      <c r="E1617" t="str">
        <f>"080065903729"</f>
        <v>080065903729</v>
      </c>
      <c r="F1617" s="3">
        <v>45819</v>
      </c>
      <c r="G1617">
        <v>202603</v>
      </c>
      <c r="H1617" t="s">
        <v>75</v>
      </c>
      <c r="I1617" t="s">
        <v>76</v>
      </c>
      <c r="J1617" t="s">
        <v>77</v>
      </c>
      <c r="K1617" t="s">
        <v>78</v>
      </c>
      <c r="L1617" t="s">
        <v>75</v>
      </c>
      <c r="M1617" t="s">
        <v>76</v>
      </c>
      <c r="N1617" t="s">
        <v>1518</v>
      </c>
      <c r="O1617" t="s">
        <v>94</v>
      </c>
      <c r="P1617" t="str">
        <f>"4170043485                    "</f>
        <v xml:space="preserve">4170043485                    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33.92</v>
      </c>
      <c r="AR1617">
        <v>0</v>
      </c>
      <c r="AS1617">
        <v>0</v>
      </c>
      <c r="AT1617">
        <v>0</v>
      </c>
      <c r="AU1617">
        <v>0</v>
      </c>
      <c r="AV1617">
        <v>0</v>
      </c>
      <c r="AW1617">
        <v>0</v>
      </c>
      <c r="AX1617">
        <v>0</v>
      </c>
      <c r="AY1617">
        <v>0</v>
      </c>
      <c r="AZ1617">
        <v>0</v>
      </c>
      <c r="BA1617">
        <v>0</v>
      </c>
      <c r="BB1617">
        <v>0</v>
      </c>
      <c r="BC1617">
        <v>0</v>
      </c>
      <c r="BD1617">
        <v>0</v>
      </c>
      <c r="BE1617">
        <v>0</v>
      </c>
      <c r="BF1617">
        <v>0</v>
      </c>
      <c r="BG1617">
        <v>0</v>
      </c>
      <c r="BH1617">
        <v>1</v>
      </c>
      <c r="BI1617">
        <v>18</v>
      </c>
      <c r="BJ1617">
        <v>9.1</v>
      </c>
      <c r="BK1617">
        <v>18</v>
      </c>
      <c r="BL1617">
        <v>118.37</v>
      </c>
      <c r="BM1617">
        <v>17.760000000000002</v>
      </c>
      <c r="BN1617">
        <v>136.13</v>
      </c>
      <c r="BO1617">
        <v>136.13</v>
      </c>
      <c r="BQ1617" t="s">
        <v>1519</v>
      </c>
      <c r="BR1617" t="s">
        <v>84</v>
      </c>
      <c r="BS1617" t="s">
        <v>189</v>
      </c>
      <c r="BV1617" t="s">
        <v>90</v>
      </c>
      <c r="BY1617">
        <v>45360</v>
      </c>
      <c r="CC1617" t="s">
        <v>76</v>
      </c>
      <c r="CD1617">
        <v>1601</v>
      </c>
      <c r="CE1617" t="s">
        <v>122</v>
      </c>
      <c r="CI1617">
        <v>1</v>
      </c>
      <c r="CJ1617" t="s">
        <v>189</v>
      </c>
      <c r="CK1617">
        <v>42</v>
      </c>
      <c r="CL1617" t="s">
        <v>90</v>
      </c>
    </row>
    <row r="1618" spans="1:90" x14ac:dyDescent="0.3">
      <c r="A1618" t="s">
        <v>72</v>
      </c>
      <c r="B1618" t="s">
        <v>73</v>
      </c>
      <c r="C1618" t="s">
        <v>74</v>
      </c>
      <c r="E1618" t="str">
        <f>"080065903739"</f>
        <v>080065903739</v>
      </c>
      <c r="F1618" s="3">
        <v>45819</v>
      </c>
      <c r="G1618">
        <v>202603</v>
      </c>
      <c r="H1618" t="s">
        <v>75</v>
      </c>
      <c r="I1618" t="s">
        <v>76</v>
      </c>
      <c r="J1618" t="s">
        <v>77</v>
      </c>
      <c r="K1618" t="s">
        <v>78</v>
      </c>
      <c r="L1618" t="s">
        <v>75</v>
      </c>
      <c r="M1618" t="s">
        <v>76</v>
      </c>
      <c r="N1618" t="s">
        <v>2134</v>
      </c>
      <c r="O1618" t="s">
        <v>82</v>
      </c>
      <c r="P1618" t="str">
        <f>"4170043493                    "</f>
        <v xml:space="preserve">4170043493                    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>
        <v>16.32</v>
      </c>
      <c r="AR1618">
        <v>0</v>
      </c>
      <c r="AS1618">
        <v>0</v>
      </c>
      <c r="AT1618">
        <v>0</v>
      </c>
      <c r="AU1618">
        <v>0</v>
      </c>
      <c r="AV1618">
        <v>0</v>
      </c>
      <c r="AW1618">
        <v>0</v>
      </c>
      <c r="AX1618">
        <v>0</v>
      </c>
      <c r="AY1618">
        <v>0</v>
      </c>
      <c r="AZ1618">
        <v>0</v>
      </c>
      <c r="BA1618">
        <v>0</v>
      </c>
      <c r="BB1618">
        <v>0</v>
      </c>
      <c r="BC1618">
        <v>0</v>
      </c>
      <c r="BD1618">
        <v>0</v>
      </c>
      <c r="BE1618">
        <v>0</v>
      </c>
      <c r="BF1618">
        <v>0</v>
      </c>
      <c r="BG1618">
        <v>0</v>
      </c>
      <c r="BH1618">
        <v>1</v>
      </c>
      <c r="BI1618">
        <v>1</v>
      </c>
      <c r="BJ1618">
        <v>0.2</v>
      </c>
      <c r="BK1618">
        <v>1</v>
      </c>
      <c r="BL1618">
        <v>54.28</v>
      </c>
      <c r="BM1618">
        <v>8.14</v>
      </c>
      <c r="BN1618">
        <v>62.42</v>
      </c>
      <c r="BO1618">
        <v>62.42</v>
      </c>
      <c r="BQ1618" t="s">
        <v>2135</v>
      </c>
      <c r="BR1618" t="s">
        <v>84</v>
      </c>
      <c r="BS1618" s="3">
        <v>45820</v>
      </c>
      <c r="BT1618" s="4">
        <v>0.29375000000000001</v>
      </c>
      <c r="BU1618" t="s">
        <v>2136</v>
      </c>
      <c r="BV1618" t="s">
        <v>86</v>
      </c>
      <c r="BY1618">
        <v>1200</v>
      </c>
      <c r="CA1618" t="s">
        <v>115</v>
      </c>
      <c r="CC1618" t="s">
        <v>76</v>
      </c>
      <c r="CD1618">
        <v>1600</v>
      </c>
      <c r="CE1618" t="s">
        <v>215</v>
      </c>
      <c r="CI1618">
        <v>1</v>
      </c>
      <c r="CJ1618">
        <v>1</v>
      </c>
      <c r="CK1618">
        <v>22</v>
      </c>
      <c r="CL1618" t="s">
        <v>90</v>
      </c>
    </row>
    <row r="1619" spans="1:90" x14ac:dyDescent="0.3">
      <c r="A1619" t="s">
        <v>72</v>
      </c>
      <c r="B1619" t="s">
        <v>73</v>
      </c>
      <c r="C1619" t="s">
        <v>74</v>
      </c>
      <c r="E1619" t="str">
        <f>"080065903777"</f>
        <v>080065903777</v>
      </c>
      <c r="F1619" s="3">
        <v>45819</v>
      </c>
      <c r="G1619">
        <v>202603</v>
      </c>
      <c r="H1619" t="s">
        <v>75</v>
      </c>
      <c r="I1619" t="s">
        <v>76</v>
      </c>
      <c r="J1619" t="s">
        <v>77</v>
      </c>
      <c r="K1619" t="s">
        <v>78</v>
      </c>
      <c r="L1619" t="s">
        <v>100</v>
      </c>
      <c r="M1619" t="s">
        <v>101</v>
      </c>
      <c r="N1619" t="s">
        <v>492</v>
      </c>
      <c r="O1619" t="s">
        <v>94</v>
      </c>
      <c r="P1619" t="str">
        <f>"4170043552                    "</f>
        <v xml:space="preserve">4170043552                    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47.09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v>0</v>
      </c>
      <c r="BB1619">
        <v>0</v>
      </c>
      <c r="BC1619">
        <v>0</v>
      </c>
      <c r="BD1619">
        <v>0</v>
      </c>
      <c r="BE1619">
        <v>0</v>
      </c>
      <c r="BF1619">
        <v>0</v>
      </c>
      <c r="BG1619">
        <v>0</v>
      </c>
      <c r="BH1619">
        <v>1</v>
      </c>
      <c r="BI1619">
        <v>19</v>
      </c>
      <c r="BJ1619">
        <v>17.7</v>
      </c>
      <c r="BK1619">
        <v>19</v>
      </c>
      <c r="BL1619">
        <v>162.16</v>
      </c>
      <c r="BM1619">
        <v>24.32</v>
      </c>
      <c r="BN1619">
        <v>186.48</v>
      </c>
      <c r="BO1619">
        <v>186.48</v>
      </c>
      <c r="BQ1619" t="s">
        <v>493</v>
      </c>
      <c r="BR1619" t="s">
        <v>84</v>
      </c>
      <c r="BS1619" t="s">
        <v>189</v>
      </c>
      <c r="BV1619" t="s">
        <v>90</v>
      </c>
      <c r="BY1619">
        <v>88320</v>
      </c>
      <c r="CC1619" t="s">
        <v>101</v>
      </c>
      <c r="CD1619">
        <v>6001</v>
      </c>
      <c r="CE1619" t="s">
        <v>687</v>
      </c>
      <c r="CI1619">
        <v>3</v>
      </c>
      <c r="CJ1619" t="s">
        <v>189</v>
      </c>
      <c r="CK1619">
        <v>41</v>
      </c>
      <c r="CL1619" t="s">
        <v>90</v>
      </c>
    </row>
    <row r="1620" spans="1:90" x14ac:dyDescent="0.3">
      <c r="A1620" t="s">
        <v>72</v>
      </c>
      <c r="B1620" t="s">
        <v>73</v>
      </c>
      <c r="C1620" t="s">
        <v>74</v>
      </c>
      <c r="E1620" t="str">
        <f>"080065903785"</f>
        <v>080065903785</v>
      </c>
      <c r="F1620" s="3">
        <v>45819</v>
      </c>
      <c r="G1620">
        <v>202603</v>
      </c>
      <c r="H1620" t="s">
        <v>75</v>
      </c>
      <c r="I1620" t="s">
        <v>76</v>
      </c>
      <c r="J1620" t="s">
        <v>77</v>
      </c>
      <c r="K1620" t="s">
        <v>78</v>
      </c>
      <c r="L1620" t="s">
        <v>106</v>
      </c>
      <c r="M1620" t="s">
        <v>107</v>
      </c>
      <c r="N1620" t="s">
        <v>2137</v>
      </c>
      <c r="O1620" t="s">
        <v>82</v>
      </c>
      <c r="P1620" t="str">
        <f>"4170043566                    "</f>
        <v xml:space="preserve">4170043566                    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Q1620">
        <v>20.9</v>
      </c>
      <c r="AR1620">
        <v>0</v>
      </c>
      <c r="AS1620">
        <v>0</v>
      </c>
      <c r="AT1620">
        <v>0</v>
      </c>
      <c r="AU1620">
        <v>0</v>
      </c>
      <c r="AV1620">
        <v>0</v>
      </c>
      <c r="AW1620">
        <v>0</v>
      </c>
      <c r="AX1620">
        <v>0</v>
      </c>
      <c r="AY1620">
        <v>0</v>
      </c>
      <c r="AZ1620">
        <v>0</v>
      </c>
      <c r="BA1620">
        <v>0</v>
      </c>
      <c r="BB1620">
        <v>0</v>
      </c>
      <c r="BC1620">
        <v>0</v>
      </c>
      <c r="BD1620">
        <v>0</v>
      </c>
      <c r="BE1620">
        <v>0</v>
      </c>
      <c r="BF1620">
        <v>0</v>
      </c>
      <c r="BG1620">
        <v>0</v>
      </c>
      <c r="BH1620">
        <v>1</v>
      </c>
      <c r="BI1620">
        <v>1</v>
      </c>
      <c r="BJ1620">
        <v>0.2</v>
      </c>
      <c r="BK1620">
        <v>1</v>
      </c>
      <c r="BL1620">
        <v>69.5</v>
      </c>
      <c r="BM1620">
        <v>10.43</v>
      </c>
      <c r="BN1620">
        <v>79.930000000000007</v>
      </c>
      <c r="BO1620">
        <v>79.930000000000007</v>
      </c>
      <c r="BQ1620" t="s">
        <v>2138</v>
      </c>
      <c r="BR1620" t="s">
        <v>84</v>
      </c>
      <c r="BS1620" t="s">
        <v>189</v>
      </c>
      <c r="BV1620" t="s">
        <v>90</v>
      </c>
      <c r="BY1620">
        <v>1200</v>
      </c>
      <c r="CC1620" t="s">
        <v>107</v>
      </c>
      <c r="CD1620">
        <v>183</v>
      </c>
      <c r="CE1620" t="s">
        <v>215</v>
      </c>
      <c r="CI1620">
        <v>1</v>
      </c>
      <c r="CJ1620" t="s">
        <v>189</v>
      </c>
      <c r="CK1620">
        <v>21</v>
      </c>
      <c r="CL1620" t="s">
        <v>90</v>
      </c>
    </row>
    <row r="1621" spans="1:90" x14ac:dyDescent="0.3">
      <c r="A1621" t="s">
        <v>72</v>
      </c>
      <c r="B1621" t="s">
        <v>73</v>
      </c>
      <c r="C1621" t="s">
        <v>74</v>
      </c>
      <c r="E1621" t="str">
        <f>"080065903853"</f>
        <v>080065903853</v>
      </c>
      <c r="F1621" s="3">
        <v>45819</v>
      </c>
      <c r="G1621">
        <v>202603</v>
      </c>
      <c r="H1621" t="s">
        <v>75</v>
      </c>
      <c r="I1621" t="s">
        <v>76</v>
      </c>
      <c r="J1621" t="s">
        <v>77</v>
      </c>
      <c r="K1621" t="s">
        <v>78</v>
      </c>
      <c r="L1621" t="s">
        <v>375</v>
      </c>
      <c r="M1621" t="s">
        <v>376</v>
      </c>
      <c r="N1621" t="s">
        <v>2139</v>
      </c>
      <c r="O1621" t="s">
        <v>82</v>
      </c>
      <c r="P1621" t="str">
        <f>"4170043488                    "</f>
        <v xml:space="preserve">4170043488                    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Q1621">
        <v>16.32</v>
      </c>
      <c r="AR1621">
        <v>0</v>
      </c>
      <c r="AS1621">
        <v>0</v>
      </c>
      <c r="AT1621">
        <v>0</v>
      </c>
      <c r="AU1621">
        <v>0</v>
      </c>
      <c r="AV1621">
        <v>0</v>
      </c>
      <c r="AW1621">
        <v>0</v>
      </c>
      <c r="AX1621">
        <v>0</v>
      </c>
      <c r="AY1621">
        <v>0</v>
      </c>
      <c r="AZ1621">
        <v>0</v>
      </c>
      <c r="BA1621">
        <v>0</v>
      </c>
      <c r="BB1621">
        <v>0</v>
      </c>
      <c r="BC1621">
        <v>0</v>
      </c>
      <c r="BD1621">
        <v>0</v>
      </c>
      <c r="BE1621">
        <v>0</v>
      </c>
      <c r="BF1621">
        <v>0</v>
      </c>
      <c r="BG1621">
        <v>0</v>
      </c>
      <c r="BH1621">
        <v>1</v>
      </c>
      <c r="BI1621">
        <v>1</v>
      </c>
      <c r="BJ1621">
        <v>0.2</v>
      </c>
      <c r="BK1621">
        <v>1</v>
      </c>
      <c r="BL1621">
        <v>54.28</v>
      </c>
      <c r="BM1621">
        <v>8.14</v>
      </c>
      <c r="BN1621">
        <v>62.42</v>
      </c>
      <c r="BO1621">
        <v>62.42</v>
      </c>
      <c r="BQ1621" t="s">
        <v>2140</v>
      </c>
      <c r="BR1621" t="s">
        <v>84</v>
      </c>
      <c r="BS1621" t="s">
        <v>189</v>
      </c>
      <c r="BV1621" t="s">
        <v>90</v>
      </c>
      <c r="BY1621">
        <v>1200</v>
      </c>
      <c r="CC1621" t="s">
        <v>376</v>
      </c>
      <c r="CD1621">
        <v>1406</v>
      </c>
      <c r="CE1621" t="s">
        <v>215</v>
      </c>
      <c r="CI1621">
        <v>1</v>
      </c>
      <c r="CJ1621" t="s">
        <v>189</v>
      </c>
      <c r="CK1621">
        <v>22</v>
      </c>
      <c r="CL1621" t="s">
        <v>90</v>
      </c>
    </row>
    <row r="1622" spans="1:90" x14ac:dyDescent="0.3">
      <c r="A1622" t="s">
        <v>72</v>
      </c>
      <c r="B1622" t="s">
        <v>73</v>
      </c>
      <c r="C1622" t="s">
        <v>74</v>
      </c>
      <c r="E1622" t="str">
        <f>"080065903869"</f>
        <v>080065903869</v>
      </c>
      <c r="F1622" s="3">
        <v>45819</v>
      </c>
      <c r="G1622">
        <v>202603</v>
      </c>
      <c r="H1622" t="s">
        <v>75</v>
      </c>
      <c r="I1622" t="s">
        <v>76</v>
      </c>
      <c r="J1622" t="s">
        <v>77</v>
      </c>
      <c r="K1622" t="s">
        <v>78</v>
      </c>
      <c r="L1622" t="s">
        <v>91</v>
      </c>
      <c r="M1622" t="s">
        <v>92</v>
      </c>
      <c r="N1622" t="s">
        <v>540</v>
      </c>
      <c r="O1622" t="s">
        <v>82</v>
      </c>
      <c r="P1622" t="str">
        <f>"4170043585                    "</f>
        <v xml:space="preserve">4170043585                    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20.9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0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>
        <v>0</v>
      </c>
      <c r="BD1622">
        <v>0</v>
      </c>
      <c r="BE1622">
        <v>0</v>
      </c>
      <c r="BF1622">
        <v>0</v>
      </c>
      <c r="BG1622">
        <v>0</v>
      </c>
      <c r="BH1622">
        <v>1</v>
      </c>
      <c r="BI1622">
        <v>2</v>
      </c>
      <c r="BJ1622">
        <v>1.1000000000000001</v>
      </c>
      <c r="BK1622">
        <v>2</v>
      </c>
      <c r="BL1622">
        <v>69.5</v>
      </c>
      <c r="BM1622">
        <v>10.43</v>
      </c>
      <c r="BN1622">
        <v>79.930000000000007</v>
      </c>
      <c r="BO1622">
        <v>79.930000000000007</v>
      </c>
      <c r="BQ1622" t="s">
        <v>541</v>
      </c>
      <c r="BR1622" t="s">
        <v>84</v>
      </c>
      <c r="BS1622" t="s">
        <v>189</v>
      </c>
      <c r="BV1622" t="s">
        <v>90</v>
      </c>
      <c r="BY1622">
        <v>5320</v>
      </c>
      <c r="CC1622" t="s">
        <v>92</v>
      </c>
      <c r="CD1622">
        <v>7441</v>
      </c>
      <c r="CE1622" t="s">
        <v>687</v>
      </c>
      <c r="CI1622">
        <v>1</v>
      </c>
      <c r="CJ1622" t="s">
        <v>189</v>
      </c>
      <c r="CK1622">
        <v>21</v>
      </c>
      <c r="CL1622" t="s">
        <v>90</v>
      </c>
    </row>
    <row r="1623" spans="1:90" x14ac:dyDescent="0.3">
      <c r="A1623" t="s">
        <v>72</v>
      </c>
      <c r="B1623" t="s">
        <v>73</v>
      </c>
      <c r="C1623" t="s">
        <v>74</v>
      </c>
      <c r="E1623" t="str">
        <f>"080065903899"</f>
        <v>080065903899</v>
      </c>
      <c r="F1623" s="3">
        <v>45819</v>
      </c>
      <c r="G1623">
        <v>202603</v>
      </c>
      <c r="H1623" t="s">
        <v>75</v>
      </c>
      <c r="I1623" t="s">
        <v>76</v>
      </c>
      <c r="J1623" t="s">
        <v>77</v>
      </c>
      <c r="K1623" t="s">
        <v>78</v>
      </c>
      <c r="L1623" t="s">
        <v>154</v>
      </c>
      <c r="M1623" t="s">
        <v>154</v>
      </c>
      <c r="N1623" t="s">
        <v>1191</v>
      </c>
      <c r="O1623" t="s">
        <v>82</v>
      </c>
      <c r="P1623" t="str">
        <f>"4170043453                    "</f>
        <v xml:space="preserve">4170043453                    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40.49</v>
      </c>
      <c r="AR1623">
        <v>0</v>
      </c>
      <c r="AS1623">
        <v>0</v>
      </c>
      <c r="AT1623">
        <v>0</v>
      </c>
      <c r="AU1623">
        <v>0</v>
      </c>
      <c r="AV1623">
        <v>0</v>
      </c>
      <c r="AW1623">
        <v>0</v>
      </c>
      <c r="AX1623">
        <v>0</v>
      </c>
      <c r="AY1623">
        <v>0</v>
      </c>
      <c r="AZ1623">
        <v>0</v>
      </c>
      <c r="BA1623">
        <v>0</v>
      </c>
      <c r="BB1623">
        <v>0</v>
      </c>
      <c r="BC1623">
        <v>0</v>
      </c>
      <c r="BD1623">
        <v>0</v>
      </c>
      <c r="BE1623">
        <v>0</v>
      </c>
      <c r="BF1623">
        <v>0</v>
      </c>
      <c r="BG1623">
        <v>0</v>
      </c>
      <c r="BH1623">
        <v>1</v>
      </c>
      <c r="BI1623">
        <v>1</v>
      </c>
      <c r="BJ1623">
        <v>0.2</v>
      </c>
      <c r="BK1623">
        <v>1</v>
      </c>
      <c r="BL1623">
        <v>134.65</v>
      </c>
      <c r="BM1623">
        <v>20.2</v>
      </c>
      <c r="BN1623">
        <v>154.85</v>
      </c>
      <c r="BO1623">
        <v>154.85</v>
      </c>
      <c r="BQ1623" t="s">
        <v>1192</v>
      </c>
      <c r="BR1623" t="s">
        <v>84</v>
      </c>
      <c r="BS1623" t="s">
        <v>189</v>
      </c>
      <c r="BV1623" t="s">
        <v>90</v>
      </c>
      <c r="BY1623">
        <v>1200</v>
      </c>
      <c r="CC1623" t="s">
        <v>154</v>
      </c>
      <c r="CD1623">
        <v>7646</v>
      </c>
      <c r="CE1623" t="s">
        <v>215</v>
      </c>
      <c r="CI1623">
        <v>1</v>
      </c>
      <c r="CJ1623" t="s">
        <v>189</v>
      </c>
      <c r="CK1623">
        <v>23</v>
      </c>
      <c r="CL1623" t="s">
        <v>90</v>
      </c>
    </row>
    <row r="1624" spans="1:90" x14ac:dyDescent="0.3">
      <c r="A1624" t="s">
        <v>72</v>
      </c>
      <c r="B1624" t="s">
        <v>73</v>
      </c>
      <c r="C1624" t="s">
        <v>74</v>
      </c>
      <c r="E1624" t="str">
        <f>"080065903921"</f>
        <v>080065903921</v>
      </c>
      <c r="F1624" s="3">
        <v>45819</v>
      </c>
      <c r="G1624">
        <v>202603</v>
      </c>
      <c r="H1624" t="s">
        <v>75</v>
      </c>
      <c r="I1624" t="s">
        <v>76</v>
      </c>
      <c r="J1624" t="s">
        <v>77</v>
      </c>
      <c r="K1624" t="s">
        <v>78</v>
      </c>
      <c r="L1624" t="s">
        <v>1939</v>
      </c>
      <c r="M1624" t="s">
        <v>1940</v>
      </c>
      <c r="N1624" t="s">
        <v>1941</v>
      </c>
      <c r="O1624" t="s">
        <v>82</v>
      </c>
      <c r="P1624" t="str">
        <f>"4170043565                    "</f>
        <v xml:space="preserve">4170043565                    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40.49</v>
      </c>
      <c r="AR1624">
        <v>0</v>
      </c>
      <c r="AS1624">
        <v>0</v>
      </c>
      <c r="AT1624">
        <v>0</v>
      </c>
      <c r="AU1624">
        <v>0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>
        <v>0</v>
      </c>
      <c r="BD1624">
        <v>0</v>
      </c>
      <c r="BE1624">
        <v>0</v>
      </c>
      <c r="BF1624">
        <v>0</v>
      </c>
      <c r="BG1624">
        <v>0</v>
      </c>
      <c r="BH1624">
        <v>1</v>
      </c>
      <c r="BI1624">
        <v>1</v>
      </c>
      <c r="BJ1624">
        <v>0.2</v>
      </c>
      <c r="BK1624">
        <v>1</v>
      </c>
      <c r="BL1624">
        <v>134.65</v>
      </c>
      <c r="BM1624">
        <v>20.2</v>
      </c>
      <c r="BN1624">
        <v>154.85</v>
      </c>
      <c r="BO1624">
        <v>154.85</v>
      </c>
      <c r="BQ1624" t="s">
        <v>1942</v>
      </c>
      <c r="BR1624" t="s">
        <v>84</v>
      </c>
      <c r="BS1624" t="s">
        <v>189</v>
      </c>
      <c r="BV1624" t="s">
        <v>90</v>
      </c>
      <c r="BY1624">
        <v>1200</v>
      </c>
      <c r="CC1624" t="s">
        <v>1940</v>
      </c>
      <c r="CD1624">
        <v>2380</v>
      </c>
      <c r="CE1624" t="s">
        <v>215</v>
      </c>
      <c r="CI1624">
        <v>1</v>
      </c>
      <c r="CJ1624" t="s">
        <v>189</v>
      </c>
      <c r="CK1624">
        <v>23</v>
      </c>
      <c r="CL1624" t="s">
        <v>90</v>
      </c>
    </row>
    <row r="1625" spans="1:90" x14ac:dyDescent="0.3">
      <c r="A1625" t="s">
        <v>72</v>
      </c>
      <c r="B1625" t="s">
        <v>73</v>
      </c>
      <c r="C1625" t="s">
        <v>74</v>
      </c>
      <c r="E1625" t="str">
        <f>"080065904182"</f>
        <v>080065904182</v>
      </c>
      <c r="F1625" s="3">
        <v>45819</v>
      </c>
      <c r="G1625">
        <v>202603</v>
      </c>
      <c r="H1625" t="s">
        <v>75</v>
      </c>
      <c r="I1625" t="s">
        <v>76</v>
      </c>
      <c r="J1625" t="s">
        <v>77</v>
      </c>
      <c r="K1625" t="s">
        <v>78</v>
      </c>
      <c r="L1625" t="s">
        <v>136</v>
      </c>
      <c r="M1625" t="s">
        <v>137</v>
      </c>
      <c r="N1625" t="s">
        <v>806</v>
      </c>
      <c r="O1625" t="s">
        <v>82</v>
      </c>
      <c r="P1625" t="str">
        <f>"4170043512                    "</f>
        <v xml:space="preserve">4170043512                    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20.9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  <c r="BE1625">
        <v>0</v>
      </c>
      <c r="BF1625">
        <v>0</v>
      </c>
      <c r="BG1625">
        <v>0</v>
      </c>
      <c r="BH1625">
        <v>1</v>
      </c>
      <c r="BI1625">
        <v>1</v>
      </c>
      <c r="BJ1625">
        <v>0.2</v>
      </c>
      <c r="BK1625">
        <v>1</v>
      </c>
      <c r="BL1625">
        <v>69.5</v>
      </c>
      <c r="BM1625">
        <v>10.43</v>
      </c>
      <c r="BN1625">
        <v>79.930000000000007</v>
      </c>
      <c r="BO1625">
        <v>79.930000000000007</v>
      </c>
      <c r="BQ1625" t="s">
        <v>807</v>
      </c>
      <c r="BR1625" t="s">
        <v>84</v>
      </c>
      <c r="BS1625" t="s">
        <v>189</v>
      </c>
      <c r="BV1625" t="s">
        <v>90</v>
      </c>
      <c r="BY1625">
        <v>1200</v>
      </c>
      <c r="CC1625" t="s">
        <v>137</v>
      </c>
      <c r="CD1625">
        <v>5201</v>
      </c>
      <c r="CE1625" t="s">
        <v>215</v>
      </c>
      <c r="CI1625">
        <v>1</v>
      </c>
      <c r="CJ1625" t="s">
        <v>189</v>
      </c>
      <c r="CK1625">
        <v>21</v>
      </c>
      <c r="CL1625" t="s">
        <v>90</v>
      </c>
    </row>
    <row r="1626" spans="1:90" x14ac:dyDescent="0.3">
      <c r="A1626" t="s">
        <v>72</v>
      </c>
      <c r="B1626" t="s">
        <v>73</v>
      </c>
      <c r="C1626" t="s">
        <v>74</v>
      </c>
      <c r="E1626" t="str">
        <f>"080065904254"</f>
        <v>080065904254</v>
      </c>
      <c r="F1626" s="3">
        <v>45819</v>
      </c>
      <c r="G1626">
        <v>202603</v>
      </c>
      <c r="H1626" t="s">
        <v>75</v>
      </c>
      <c r="I1626" t="s">
        <v>76</v>
      </c>
      <c r="J1626" t="s">
        <v>77</v>
      </c>
      <c r="K1626" t="s">
        <v>78</v>
      </c>
      <c r="L1626" t="s">
        <v>91</v>
      </c>
      <c r="M1626" t="s">
        <v>92</v>
      </c>
      <c r="N1626" t="s">
        <v>540</v>
      </c>
      <c r="O1626" t="s">
        <v>94</v>
      </c>
      <c r="P1626" t="str">
        <f>"4170043568                    "</f>
        <v xml:space="preserve">4170043568                    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145.52000000000001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0</v>
      </c>
      <c r="AX1626">
        <v>0</v>
      </c>
      <c r="AY1626">
        <v>0</v>
      </c>
      <c r="AZ1626">
        <v>0</v>
      </c>
      <c r="BA1626">
        <v>0</v>
      </c>
      <c r="BB1626">
        <v>0</v>
      </c>
      <c r="BC1626">
        <v>0</v>
      </c>
      <c r="BD1626">
        <v>0</v>
      </c>
      <c r="BE1626">
        <v>0</v>
      </c>
      <c r="BF1626">
        <v>0</v>
      </c>
      <c r="BG1626">
        <v>0</v>
      </c>
      <c r="BH1626">
        <v>3</v>
      </c>
      <c r="BI1626">
        <v>58</v>
      </c>
      <c r="BJ1626">
        <v>77.400000000000006</v>
      </c>
      <c r="BK1626">
        <v>78</v>
      </c>
      <c r="BL1626">
        <v>489.51</v>
      </c>
      <c r="BM1626">
        <v>73.430000000000007</v>
      </c>
      <c r="BN1626">
        <v>562.94000000000005</v>
      </c>
      <c r="BO1626">
        <v>562.94000000000005</v>
      </c>
      <c r="BQ1626" t="s">
        <v>541</v>
      </c>
      <c r="BR1626" t="s">
        <v>84</v>
      </c>
      <c r="BS1626" t="s">
        <v>189</v>
      </c>
      <c r="BV1626" t="s">
        <v>90</v>
      </c>
      <c r="BY1626">
        <v>215760</v>
      </c>
      <c r="CC1626" t="s">
        <v>92</v>
      </c>
      <c r="CD1626">
        <v>7441</v>
      </c>
      <c r="CE1626" t="s">
        <v>2141</v>
      </c>
      <c r="CI1626">
        <v>3</v>
      </c>
      <c r="CJ1626" t="s">
        <v>189</v>
      </c>
      <c r="CK1626">
        <v>41</v>
      </c>
      <c r="CL1626" t="s">
        <v>90</v>
      </c>
    </row>
    <row r="1627" spans="1:90" x14ac:dyDescent="0.3">
      <c r="A1627" t="s">
        <v>72</v>
      </c>
      <c r="B1627" t="s">
        <v>73</v>
      </c>
      <c r="C1627" t="s">
        <v>74</v>
      </c>
      <c r="E1627" t="str">
        <f>"080065904265"</f>
        <v>080065904265</v>
      </c>
      <c r="F1627" s="3">
        <v>45819</v>
      </c>
      <c r="G1627">
        <v>202603</v>
      </c>
      <c r="H1627" t="s">
        <v>75</v>
      </c>
      <c r="I1627" t="s">
        <v>76</v>
      </c>
      <c r="J1627" t="s">
        <v>77</v>
      </c>
      <c r="K1627" t="s">
        <v>78</v>
      </c>
      <c r="L1627" t="s">
        <v>75</v>
      </c>
      <c r="M1627" t="s">
        <v>76</v>
      </c>
      <c r="N1627" t="s">
        <v>1002</v>
      </c>
      <c r="O1627" t="s">
        <v>94</v>
      </c>
      <c r="P1627" t="str">
        <f>"4170043589                    "</f>
        <v xml:space="preserve">4170043589                    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32.1</v>
      </c>
      <c r="AR1627">
        <v>0</v>
      </c>
      <c r="AS1627">
        <v>0</v>
      </c>
      <c r="AT1627">
        <v>0</v>
      </c>
      <c r="AU1627">
        <v>0</v>
      </c>
      <c r="AV1627">
        <v>0</v>
      </c>
      <c r="AW1627">
        <v>0</v>
      </c>
      <c r="AX1627">
        <v>0</v>
      </c>
      <c r="AY1627">
        <v>0</v>
      </c>
      <c r="AZ1627">
        <v>0</v>
      </c>
      <c r="BA1627">
        <v>0</v>
      </c>
      <c r="BB1627">
        <v>0</v>
      </c>
      <c r="BC1627">
        <v>0</v>
      </c>
      <c r="BD1627">
        <v>0</v>
      </c>
      <c r="BE1627">
        <v>0</v>
      </c>
      <c r="BF1627">
        <v>0</v>
      </c>
      <c r="BG1627">
        <v>0</v>
      </c>
      <c r="BH1627">
        <v>1</v>
      </c>
      <c r="BI1627">
        <v>9</v>
      </c>
      <c r="BJ1627">
        <v>16</v>
      </c>
      <c r="BK1627">
        <v>16</v>
      </c>
      <c r="BL1627">
        <v>112.31</v>
      </c>
      <c r="BM1627">
        <v>16.850000000000001</v>
      </c>
      <c r="BN1627">
        <v>129.16</v>
      </c>
      <c r="BO1627">
        <v>129.16</v>
      </c>
      <c r="BQ1627" t="s">
        <v>1003</v>
      </c>
      <c r="BR1627" t="s">
        <v>84</v>
      </c>
      <c r="BS1627" t="s">
        <v>189</v>
      </c>
      <c r="BV1627" t="s">
        <v>90</v>
      </c>
      <c r="BY1627">
        <v>80000</v>
      </c>
      <c r="CC1627" t="s">
        <v>76</v>
      </c>
      <c r="CD1627">
        <v>1666</v>
      </c>
      <c r="CE1627" t="s">
        <v>687</v>
      </c>
      <c r="CI1627">
        <v>1</v>
      </c>
      <c r="CJ1627" t="s">
        <v>189</v>
      </c>
      <c r="CK1627">
        <v>42</v>
      </c>
      <c r="CL1627" t="s">
        <v>90</v>
      </c>
    </row>
    <row r="1628" spans="1:90" x14ac:dyDescent="0.3">
      <c r="A1628" t="s">
        <v>72</v>
      </c>
      <c r="B1628" t="s">
        <v>73</v>
      </c>
      <c r="C1628" t="s">
        <v>74</v>
      </c>
      <c r="E1628" t="str">
        <f>"080065904309"</f>
        <v>080065904309</v>
      </c>
      <c r="F1628" s="3">
        <v>45819</v>
      </c>
      <c r="G1628">
        <v>202603</v>
      </c>
      <c r="H1628" t="s">
        <v>75</v>
      </c>
      <c r="I1628" t="s">
        <v>76</v>
      </c>
      <c r="J1628" t="s">
        <v>77</v>
      </c>
      <c r="K1628" t="s">
        <v>78</v>
      </c>
      <c r="L1628" t="s">
        <v>91</v>
      </c>
      <c r="M1628" t="s">
        <v>92</v>
      </c>
      <c r="N1628" t="s">
        <v>763</v>
      </c>
      <c r="O1628" t="s">
        <v>94</v>
      </c>
      <c r="P1628" t="str">
        <f>"4170043576                    "</f>
        <v xml:space="preserve">4170043576                    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98.81</v>
      </c>
      <c r="AR1628">
        <v>0</v>
      </c>
      <c r="AS1628">
        <v>0</v>
      </c>
      <c r="AT1628">
        <v>0</v>
      </c>
      <c r="AU1628">
        <v>0</v>
      </c>
      <c r="AV1628">
        <v>0</v>
      </c>
      <c r="AW1628">
        <v>0</v>
      </c>
      <c r="AX1628">
        <v>0</v>
      </c>
      <c r="AY1628">
        <v>0</v>
      </c>
      <c r="AZ1628">
        <v>0</v>
      </c>
      <c r="BA1628">
        <v>0</v>
      </c>
      <c r="BB1628">
        <v>0</v>
      </c>
      <c r="BC1628">
        <v>0</v>
      </c>
      <c r="BD1628">
        <v>0</v>
      </c>
      <c r="BE1628">
        <v>0</v>
      </c>
      <c r="BF1628">
        <v>0</v>
      </c>
      <c r="BG1628">
        <v>0</v>
      </c>
      <c r="BH1628">
        <v>1</v>
      </c>
      <c r="BI1628">
        <v>40</v>
      </c>
      <c r="BJ1628">
        <v>49.4</v>
      </c>
      <c r="BK1628">
        <v>50</v>
      </c>
      <c r="BL1628">
        <v>334.16</v>
      </c>
      <c r="BM1628">
        <v>50.12</v>
      </c>
      <c r="BN1628">
        <v>384.28</v>
      </c>
      <c r="BO1628">
        <v>384.28</v>
      </c>
      <c r="BQ1628" t="s">
        <v>764</v>
      </c>
      <c r="BR1628" t="s">
        <v>84</v>
      </c>
      <c r="BS1628" t="s">
        <v>189</v>
      </c>
      <c r="BV1628" t="s">
        <v>90</v>
      </c>
      <c r="BY1628">
        <v>247050</v>
      </c>
      <c r="CC1628" t="s">
        <v>92</v>
      </c>
      <c r="CD1628">
        <v>7550</v>
      </c>
      <c r="CE1628" t="s">
        <v>2142</v>
      </c>
      <c r="CI1628">
        <v>3</v>
      </c>
      <c r="CJ1628" t="s">
        <v>189</v>
      </c>
      <c r="CK1628">
        <v>41</v>
      </c>
      <c r="CL1628" t="s">
        <v>90</v>
      </c>
    </row>
    <row r="1629" spans="1:90" x14ac:dyDescent="0.3">
      <c r="A1629" t="s">
        <v>72</v>
      </c>
      <c r="B1629" t="s">
        <v>73</v>
      </c>
      <c r="C1629" t="s">
        <v>74</v>
      </c>
      <c r="E1629" t="str">
        <f>"080065904362"</f>
        <v>080065904362</v>
      </c>
      <c r="F1629" s="3">
        <v>45819</v>
      </c>
      <c r="G1629">
        <v>202603</v>
      </c>
      <c r="H1629" t="s">
        <v>75</v>
      </c>
      <c r="I1629" t="s">
        <v>76</v>
      </c>
      <c r="J1629" t="s">
        <v>77</v>
      </c>
      <c r="K1629" t="s">
        <v>78</v>
      </c>
      <c r="L1629" t="s">
        <v>91</v>
      </c>
      <c r="M1629" t="s">
        <v>92</v>
      </c>
      <c r="N1629" t="s">
        <v>763</v>
      </c>
      <c r="O1629" t="s">
        <v>94</v>
      </c>
      <c r="P1629" t="str">
        <f>"4170043574                    "</f>
        <v xml:space="preserve">4170043574                    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128.84</v>
      </c>
      <c r="AR1629">
        <v>0</v>
      </c>
      <c r="AS1629">
        <v>0</v>
      </c>
      <c r="AT1629">
        <v>0</v>
      </c>
      <c r="AU1629">
        <v>0</v>
      </c>
      <c r="AV1629">
        <v>0</v>
      </c>
      <c r="AW1629">
        <v>0</v>
      </c>
      <c r="AX1629">
        <v>0</v>
      </c>
      <c r="AY1629">
        <v>0</v>
      </c>
      <c r="AZ1629">
        <v>0</v>
      </c>
      <c r="BA1629">
        <v>0</v>
      </c>
      <c r="BB1629">
        <v>0</v>
      </c>
      <c r="BC1629">
        <v>0</v>
      </c>
      <c r="BD1629">
        <v>0</v>
      </c>
      <c r="BE1629">
        <v>0</v>
      </c>
      <c r="BF1629">
        <v>0</v>
      </c>
      <c r="BG1629">
        <v>0</v>
      </c>
      <c r="BH1629">
        <v>1</v>
      </c>
      <c r="BI1629">
        <v>68</v>
      </c>
      <c r="BJ1629">
        <v>49.4</v>
      </c>
      <c r="BK1629">
        <v>68</v>
      </c>
      <c r="BL1629">
        <v>434.03</v>
      </c>
      <c r="BM1629">
        <v>65.099999999999994</v>
      </c>
      <c r="BN1629">
        <v>499.13</v>
      </c>
      <c r="BO1629">
        <v>499.13</v>
      </c>
      <c r="BQ1629" t="s">
        <v>764</v>
      </c>
      <c r="BR1629" t="s">
        <v>84</v>
      </c>
      <c r="BS1629" t="s">
        <v>189</v>
      </c>
      <c r="BV1629" t="s">
        <v>90</v>
      </c>
      <c r="BY1629">
        <v>247050</v>
      </c>
      <c r="CC1629" t="s">
        <v>92</v>
      </c>
      <c r="CD1629">
        <v>7550</v>
      </c>
      <c r="CE1629" t="s">
        <v>2142</v>
      </c>
      <c r="CI1629">
        <v>3</v>
      </c>
      <c r="CJ1629" t="s">
        <v>189</v>
      </c>
      <c r="CK1629">
        <v>41</v>
      </c>
      <c r="CL1629" t="s">
        <v>90</v>
      </c>
    </row>
    <row r="1630" spans="1:90" x14ac:dyDescent="0.3">
      <c r="A1630" t="s">
        <v>72</v>
      </c>
      <c r="B1630" t="s">
        <v>73</v>
      </c>
      <c r="C1630" t="s">
        <v>74</v>
      </c>
      <c r="E1630" t="str">
        <f>"080065904407"</f>
        <v>080065904407</v>
      </c>
      <c r="F1630" s="3">
        <v>45819</v>
      </c>
      <c r="G1630">
        <v>202603</v>
      </c>
      <c r="H1630" t="s">
        <v>75</v>
      </c>
      <c r="I1630" t="s">
        <v>76</v>
      </c>
      <c r="J1630" t="s">
        <v>77</v>
      </c>
      <c r="K1630" t="s">
        <v>78</v>
      </c>
      <c r="L1630" t="s">
        <v>174</v>
      </c>
      <c r="M1630" t="s">
        <v>175</v>
      </c>
      <c r="N1630" t="s">
        <v>1505</v>
      </c>
      <c r="O1630" t="s">
        <v>82</v>
      </c>
      <c r="P1630" t="str">
        <f>"4170043555                    "</f>
        <v xml:space="preserve">4170043555                    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20.9</v>
      </c>
      <c r="AR1630">
        <v>0</v>
      </c>
      <c r="AS1630">
        <v>0</v>
      </c>
      <c r="AT1630">
        <v>0</v>
      </c>
      <c r="AU1630">
        <v>0</v>
      </c>
      <c r="AV1630">
        <v>0</v>
      </c>
      <c r="AW1630">
        <v>0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>
        <v>0</v>
      </c>
      <c r="BD1630">
        <v>0</v>
      </c>
      <c r="BE1630">
        <v>0</v>
      </c>
      <c r="BF1630">
        <v>0</v>
      </c>
      <c r="BG1630">
        <v>0</v>
      </c>
      <c r="BH1630">
        <v>1</v>
      </c>
      <c r="BI1630">
        <v>1</v>
      </c>
      <c r="BJ1630">
        <v>0.2</v>
      </c>
      <c r="BK1630">
        <v>1</v>
      </c>
      <c r="BL1630">
        <v>69.5</v>
      </c>
      <c r="BM1630">
        <v>10.43</v>
      </c>
      <c r="BN1630">
        <v>79.930000000000007</v>
      </c>
      <c r="BO1630">
        <v>79.930000000000007</v>
      </c>
      <c r="BQ1630" t="s">
        <v>1506</v>
      </c>
      <c r="BR1630" t="s">
        <v>84</v>
      </c>
      <c r="BS1630" t="s">
        <v>189</v>
      </c>
      <c r="BV1630" t="s">
        <v>90</v>
      </c>
      <c r="BY1630">
        <v>1200</v>
      </c>
      <c r="CC1630" t="s">
        <v>175</v>
      </c>
      <c r="CD1630">
        <v>3610</v>
      </c>
      <c r="CE1630" t="s">
        <v>215</v>
      </c>
      <c r="CI1630">
        <v>1</v>
      </c>
      <c r="CJ1630" t="s">
        <v>189</v>
      </c>
      <c r="CK1630">
        <v>21</v>
      </c>
      <c r="CL1630" t="s">
        <v>90</v>
      </c>
    </row>
    <row r="1631" spans="1:90" x14ac:dyDescent="0.3">
      <c r="A1631" t="s">
        <v>72</v>
      </c>
      <c r="B1631" t="s">
        <v>73</v>
      </c>
      <c r="C1631" t="s">
        <v>74</v>
      </c>
      <c r="E1631" t="str">
        <f>"080065904437"</f>
        <v>080065904437</v>
      </c>
      <c r="F1631" s="3">
        <v>45819</v>
      </c>
      <c r="G1631">
        <v>202603</v>
      </c>
      <c r="H1631" t="s">
        <v>75</v>
      </c>
      <c r="I1631" t="s">
        <v>76</v>
      </c>
      <c r="J1631" t="s">
        <v>77</v>
      </c>
      <c r="K1631" t="s">
        <v>78</v>
      </c>
      <c r="L1631" t="s">
        <v>369</v>
      </c>
      <c r="M1631" t="s">
        <v>370</v>
      </c>
      <c r="N1631" t="s">
        <v>371</v>
      </c>
      <c r="O1631" t="s">
        <v>82</v>
      </c>
      <c r="P1631" t="str">
        <f>"4170043561                    "</f>
        <v xml:space="preserve">4170043561                    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40.49</v>
      </c>
      <c r="AR1631">
        <v>0</v>
      </c>
      <c r="AS1631">
        <v>0</v>
      </c>
      <c r="AT1631">
        <v>0</v>
      </c>
      <c r="AU1631">
        <v>0</v>
      </c>
      <c r="AV1631">
        <v>0</v>
      </c>
      <c r="AW1631">
        <v>0</v>
      </c>
      <c r="AX1631">
        <v>0</v>
      </c>
      <c r="AY1631">
        <v>0</v>
      </c>
      <c r="AZ1631">
        <v>0</v>
      </c>
      <c r="BA1631">
        <v>0</v>
      </c>
      <c r="BB1631">
        <v>0</v>
      </c>
      <c r="BC1631">
        <v>0</v>
      </c>
      <c r="BD1631">
        <v>0</v>
      </c>
      <c r="BE1631">
        <v>0</v>
      </c>
      <c r="BF1631">
        <v>0</v>
      </c>
      <c r="BG1631">
        <v>0</v>
      </c>
      <c r="BH1631">
        <v>1</v>
      </c>
      <c r="BI1631">
        <v>1</v>
      </c>
      <c r="BJ1631">
        <v>1.9</v>
      </c>
      <c r="BK1631">
        <v>2</v>
      </c>
      <c r="BL1631">
        <v>134.65</v>
      </c>
      <c r="BM1631">
        <v>20.2</v>
      </c>
      <c r="BN1631">
        <v>154.85</v>
      </c>
      <c r="BO1631">
        <v>154.85</v>
      </c>
      <c r="BQ1631" t="s">
        <v>372</v>
      </c>
      <c r="BR1631" t="s">
        <v>84</v>
      </c>
      <c r="BS1631" t="s">
        <v>189</v>
      </c>
      <c r="BV1631" t="s">
        <v>90</v>
      </c>
      <c r="BY1631">
        <v>9600</v>
      </c>
      <c r="CC1631" t="s">
        <v>370</v>
      </c>
      <c r="CD1631">
        <v>7130</v>
      </c>
      <c r="CE1631" t="s">
        <v>687</v>
      </c>
      <c r="CI1631">
        <v>1</v>
      </c>
      <c r="CJ1631" t="s">
        <v>189</v>
      </c>
      <c r="CK1631">
        <v>23</v>
      </c>
      <c r="CL1631" t="s">
        <v>90</v>
      </c>
    </row>
    <row r="1632" spans="1:90" x14ac:dyDescent="0.3">
      <c r="A1632" t="s">
        <v>72</v>
      </c>
      <c r="B1632" t="s">
        <v>73</v>
      </c>
      <c r="C1632" t="s">
        <v>74</v>
      </c>
      <c r="E1632" t="str">
        <f>"080065904481"</f>
        <v>080065904481</v>
      </c>
      <c r="F1632" s="3">
        <v>45819</v>
      </c>
      <c r="G1632">
        <v>202603</v>
      </c>
      <c r="H1632" t="s">
        <v>75</v>
      </c>
      <c r="I1632" t="s">
        <v>76</v>
      </c>
      <c r="J1632" t="s">
        <v>77</v>
      </c>
      <c r="K1632" t="s">
        <v>78</v>
      </c>
      <c r="L1632" t="s">
        <v>91</v>
      </c>
      <c r="M1632" t="s">
        <v>92</v>
      </c>
      <c r="N1632" t="s">
        <v>1683</v>
      </c>
      <c r="O1632" t="s">
        <v>82</v>
      </c>
      <c r="P1632" t="str">
        <f>"4170043510                    "</f>
        <v xml:space="preserve">4170043510                    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52.22</v>
      </c>
      <c r="AR1632">
        <v>0</v>
      </c>
      <c r="AS1632">
        <v>0</v>
      </c>
      <c r="AT1632">
        <v>0</v>
      </c>
      <c r="AU1632">
        <v>0</v>
      </c>
      <c r="AV1632">
        <v>0</v>
      </c>
      <c r="AW1632">
        <v>0</v>
      </c>
      <c r="AX1632">
        <v>0</v>
      </c>
      <c r="AY1632">
        <v>0</v>
      </c>
      <c r="AZ1632">
        <v>0</v>
      </c>
      <c r="BA1632">
        <v>0</v>
      </c>
      <c r="BB1632">
        <v>0</v>
      </c>
      <c r="BC1632">
        <v>0</v>
      </c>
      <c r="BD1632">
        <v>0</v>
      </c>
      <c r="BE1632">
        <v>0</v>
      </c>
      <c r="BF1632">
        <v>0</v>
      </c>
      <c r="BG1632">
        <v>0</v>
      </c>
      <c r="BH1632">
        <v>1</v>
      </c>
      <c r="BI1632">
        <v>5</v>
      </c>
      <c r="BJ1632">
        <v>3.4</v>
      </c>
      <c r="BK1632">
        <v>5</v>
      </c>
      <c r="BL1632">
        <v>173.66</v>
      </c>
      <c r="BM1632">
        <v>26.05</v>
      </c>
      <c r="BN1632">
        <v>199.71</v>
      </c>
      <c r="BO1632">
        <v>199.71</v>
      </c>
      <c r="BQ1632" t="s">
        <v>1684</v>
      </c>
      <c r="BR1632" t="s">
        <v>84</v>
      </c>
      <c r="BS1632" t="s">
        <v>189</v>
      </c>
      <c r="BV1632" t="s">
        <v>90</v>
      </c>
      <c r="BY1632">
        <v>16965</v>
      </c>
      <c r="CC1632" t="s">
        <v>92</v>
      </c>
      <c r="CD1632">
        <v>7925</v>
      </c>
      <c r="CE1632" t="s">
        <v>687</v>
      </c>
      <c r="CI1632">
        <v>1</v>
      </c>
      <c r="CJ1632" t="s">
        <v>189</v>
      </c>
      <c r="CK1632">
        <v>21</v>
      </c>
      <c r="CL1632" t="s">
        <v>90</v>
      </c>
    </row>
    <row r="1633" spans="1:90" x14ac:dyDescent="0.3">
      <c r="A1633" t="s">
        <v>72</v>
      </c>
      <c r="B1633" t="s">
        <v>73</v>
      </c>
      <c r="C1633" t="s">
        <v>74</v>
      </c>
      <c r="E1633" t="str">
        <f>"080065904523"</f>
        <v>080065904523</v>
      </c>
      <c r="F1633" s="3">
        <v>45819</v>
      </c>
      <c r="G1633">
        <v>202603</v>
      </c>
      <c r="H1633" t="s">
        <v>75</v>
      </c>
      <c r="I1633" t="s">
        <v>76</v>
      </c>
      <c r="J1633" t="s">
        <v>77</v>
      </c>
      <c r="K1633" t="s">
        <v>78</v>
      </c>
      <c r="L1633" t="s">
        <v>136</v>
      </c>
      <c r="M1633" t="s">
        <v>137</v>
      </c>
      <c r="N1633" t="s">
        <v>806</v>
      </c>
      <c r="O1633" t="s">
        <v>82</v>
      </c>
      <c r="P1633" t="str">
        <f>"4170043527                    "</f>
        <v xml:space="preserve">4170043527                    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Q1633">
        <v>20.9</v>
      </c>
      <c r="AR1633">
        <v>0</v>
      </c>
      <c r="AS1633">
        <v>0</v>
      </c>
      <c r="AT1633">
        <v>0</v>
      </c>
      <c r="AU1633">
        <v>0</v>
      </c>
      <c r="AV1633">
        <v>0</v>
      </c>
      <c r="AW1633">
        <v>0</v>
      </c>
      <c r="AX1633">
        <v>0</v>
      </c>
      <c r="AY1633">
        <v>0</v>
      </c>
      <c r="AZ1633">
        <v>0</v>
      </c>
      <c r="BA1633">
        <v>0</v>
      </c>
      <c r="BB1633">
        <v>0</v>
      </c>
      <c r="BC1633">
        <v>0</v>
      </c>
      <c r="BD1633">
        <v>0</v>
      </c>
      <c r="BE1633">
        <v>0</v>
      </c>
      <c r="BF1633">
        <v>0</v>
      </c>
      <c r="BG1633">
        <v>0</v>
      </c>
      <c r="BH1633">
        <v>1</v>
      </c>
      <c r="BI1633">
        <v>1</v>
      </c>
      <c r="BJ1633">
        <v>1.7</v>
      </c>
      <c r="BK1633">
        <v>2</v>
      </c>
      <c r="BL1633">
        <v>69.5</v>
      </c>
      <c r="BM1633">
        <v>10.43</v>
      </c>
      <c r="BN1633">
        <v>79.930000000000007</v>
      </c>
      <c r="BO1633">
        <v>79.930000000000007</v>
      </c>
      <c r="BQ1633" t="s">
        <v>807</v>
      </c>
      <c r="BR1633" t="s">
        <v>84</v>
      </c>
      <c r="BS1633" t="s">
        <v>189</v>
      </c>
      <c r="BV1633" t="s">
        <v>90</v>
      </c>
      <c r="BY1633">
        <v>8512</v>
      </c>
      <c r="CC1633" t="s">
        <v>137</v>
      </c>
      <c r="CD1633">
        <v>5201</v>
      </c>
      <c r="CE1633" t="s">
        <v>687</v>
      </c>
      <c r="CI1633">
        <v>1</v>
      </c>
      <c r="CJ1633" t="s">
        <v>189</v>
      </c>
      <c r="CK1633">
        <v>21</v>
      </c>
      <c r="CL1633" t="s">
        <v>90</v>
      </c>
    </row>
    <row r="1634" spans="1:90" x14ac:dyDescent="0.3">
      <c r="A1634" t="s">
        <v>72</v>
      </c>
      <c r="B1634" t="s">
        <v>73</v>
      </c>
      <c r="C1634" t="s">
        <v>74</v>
      </c>
      <c r="E1634" t="str">
        <f>"080065904555"</f>
        <v>080065904555</v>
      </c>
      <c r="F1634" s="3">
        <v>45819</v>
      </c>
      <c r="G1634">
        <v>202603</v>
      </c>
      <c r="H1634" t="s">
        <v>75</v>
      </c>
      <c r="I1634" t="s">
        <v>76</v>
      </c>
      <c r="J1634" t="s">
        <v>77</v>
      </c>
      <c r="K1634" t="s">
        <v>78</v>
      </c>
      <c r="L1634" t="s">
        <v>375</v>
      </c>
      <c r="M1634" t="s">
        <v>376</v>
      </c>
      <c r="N1634" t="s">
        <v>1279</v>
      </c>
      <c r="O1634" t="s">
        <v>94</v>
      </c>
      <c r="P1634" t="str">
        <f>"4170043588                    "</f>
        <v xml:space="preserve">4170043588                    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>
        <v>32.1</v>
      </c>
      <c r="AR1634">
        <v>0</v>
      </c>
      <c r="AS1634">
        <v>0</v>
      </c>
      <c r="AT1634">
        <v>0</v>
      </c>
      <c r="AU1634">
        <v>0</v>
      </c>
      <c r="AV1634">
        <v>0</v>
      </c>
      <c r="AW1634">
        <v>0</v>
      </c>
      <c r="AX1634">
        <v>0</v>
      </c>
      <c r="AY1634">
        <v>0</v>
      </c>
      <c r="AZ1634">
        <v>0</v>
      </c>
      <c r="BA1634">
        <v>0</v>
      </c>
      <c r="BB1634">
        <v>0</v>
      </c>
      <c r="BC1634">
        <v>0</v>
      </c>
      <c r="BD1634">
        <v>0</v>
      </c>
      <c r="BE1634">
        <v>0</v>
      </c>
      <c r="BF1634">
        <v>0</v>
      </c>
      <c r="BG1634">
        <v>0</v>
      </c>
      <c r="BH1634">
        <v>1</v>
      </c>
      <c r="BI1634">
        <v>14</v>
      </c>
      <c r="BJ1634">
        <v>15.4</v>
      </c>
      <c r="BK1634">
        <v>16</v>
      </c>
      <c r="BL1634">
        <v>112.31</v>
      </c>
      <c r="BM1634">
        <v>16.850000000000001</v>
      </c>
      <c r="BN1634">
        <v>129.16</v>
      </c>
      <c r="BO1634">
        <v>129.16</v>
      </c>
      <c r="BQ1634" t="s">
        <v>1280</v>
      </c>
      <c r="BR1634" t="s">
        <v>84</v>
      </c>
      <c r="BS1634" t="s">
        <v>189</v>
      </c>
      <c r="BV1634" t="s">
        <v>90</v>
      </c>
      <c r="BY1634">
        <v>76760</v>
      </c>
      <c r="CC1634" t="s">
        <v>376</v>
      </c>
      <c r="CD1634">
        <v>1422</v>
      </c>
      <c r="CE1634" t="s">
        <v>122</v>
      </c>
      <c r="CI1634">
        <v>1</v>
      </c>
      <c r="CJ1634" t="s">
        <v>189</v>
      </c>
      <c r="CK1634">
        <v>42</v>
      </c>
      <c r="CL1634" t="s">
        <v>90</v>
      </c>
    </row>
    <row r="1635" spans="1:90" x14ac:dyDescent="0.3">
      <c r="A1635" t="s">
        <v>72</v>
      </c>
      <c r="B1635" t="s">
        <v>73</v>
      </c>
      <c r="C1635" t="s">
        <v>74</v>
      </c>
      <c r="E1635" t="str">
        <f>"080065904793"</f>
        <v>080065904793</v>
      </c>
      <c r="F1635" s="3">
        <v>45819</v>
      </c>
      <c r="G1635">
        <v>202603</v>
      </c>
      <c r="H1635" t="s">
        <v>75</v>
      </c>
      <c r="I1635" t="s">
        <v>76</v>
      </c>
      <c r="J1635" t="s">
        <v>77</v>
      </c>
      <c r="K1635" t="s">
        <v>78</v>
      </c>
      <c r="L1635" t="s">
        <v>91</v>
      </c>
      <c r="M1635" t="s">
        <v>92</v>
      </c>
      <c r="N1635" t="s">
        <v>763</v>
      </c>
      <c r="O1635" t="s">
        <v>94</v>
      </c>
      <c r="P1635" t="str">
        <f>"4170043575                    "</f>
        <v xml:space="preserve">4170043575                    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>
        <v>42.08</v>
      </c>
      <c r="AR1635">
        <v>0</v>
      </c>
      <c r="AS1635">
        <v>0</v>
      </c>
      <c r="AT1635">
        <v>0</v>
      </c>
      <c r="AU1635">
        <v>0</v>
      </c>
      <c r="AV1635">
        <v>0</v>
      </c>
      <c r="AW1635">
        <v>0</v>
      </c>
      <c r="AX1635">
        <v>0</v>
      </c>
      <c r="AY1635">
        <v>0</v>
      </c>
      <c r="AZ1635">
        <v>0</v>
      </c>
      <c r="BA1635">
        <v>0</v>
      </c>
      <c r="BB1635">
        <v>0</v>
      </c>
      <c r="BC1635">
        <v>0</v>
      </c>
      <c r="BD1635">
        <v>0</v>
      </c>
      <c r="BE1635">
        <v>0</v>
      </c>
      <c r="BF1635">
        <v>0</v>
      </c>
      <c r="BG1635">
        <v>0</v>
      </c>
      <c r="BH1635">
        <v>1</v>
      </c>
      <c r="BI1635">
        <v>16</v>
      </c>
      <c r="BJ1635">
        <v>8.5</v>
      </c>
      <c r="BK1635">
        <v>16</v>
      </c>
      <c r="BL1635">
        <v>145.51</v>
      </c>
      <c r="BM1635">
        <v>21.83</v>
      </c>
      <c r="BN1635">
        <v>167.34</v>
      </c>
      <c r="BO1635">
        <v>167.34</v>
      </c>
      <c r="BQ1635" t="s">
        <v>764</v>
      </c>
      <c r="BR1635" t="s">
        <v>84</v>
      </c>
      <c r="BS1635" t="s">
        <v>189</v>
      </c>
      <c r="BV1635" t="s">
        <v>90</v>
      </c>
      <c r="BY1635">
        <v>42320</v>
      </c>
      <c r="CC1635" t="s">
        <v>92</v>
      </c>
      <c r="CD1635">
        <v>7550</v>
      </c>
      <c r="CE1635" t="s">
        <v>687</v>
      </c>
      <c r="CI1635">
        <v>3</v>
      </c>
      <c r="CJ1635" t="s">
        <v>189</v>
      </c>
      <c r="CK1635">
        <v>41</v>
      </c>
      <c r="CL1635" t="s">
        <v>90</v>
      </c>
    </row>
    <row r="1636" spans="1:90" x14ac:dyDescent="0.3">
      <c r="A1636" t="s">
        <v>72</v>
      </c>
      <c r="B1636" t="s">
        <v>73</v>
      </c>
      <c r="C1636" t="s">
        <v>74</v>
      </c>
      <c r="E1636" t="str">
        <f>"080065904851"</f>
        <v>080065904851</v>
      </c>
      <c r="F1636" s="3">
        <v>45819</v>
      </c>
      <c r="G1636">
        <v>202603</v>
      </c>
      <c r="H1636" t="s">
        <v>75</v>
      </c>
      <c r="I1636" t="s">
        <v>76</v>
      </c>
      <c r="J1636" t="s">
        <v>77</v>
      </c>
      <c r="K1636" t="s">
        <v>78</v>
      </c>
      <c r="L1636" t="s">
        <v>91</v>
      </c>
      <c r="M1636" t="s">
        <v>92</v>
      </c>
      <c r="N1636" t="s">
        <v>1602</v>
      </c>
      <c r="O1636" t="s">
        <v>94</v>
      </c>
      <c r="P1636" t="str">
        <f>"4170043611                    "</f>
        <v xml:space="preserve">4170043611                    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55.43</v>
      </c>
      <c r="AR1636">
        <v>0</v>
      </c>
      <c r="AS1636">
        <v>0</v>
      </c>
      <c r="AT1636">
        <v>0</v>
      </c>
      <c r="AU1636">
        <v>0</v>
      </c>
      <c r="AV1636">
        <v>0</v>
      </c>
      <c r="AW1636">
        <v>0</v>
      </c>
      <c r="AX1636">
        <v>0</v>
      </c>
      <c r="AY1636">
        <v>0</v>
      </c>
      <c r="AZ1636">
        <v>0</v>
      </c>
      <c r="BA1636">
        <v>0</v>
      </c>
      <c r="BB1636">
        <v>0</v>
      </c>
      <c r="BC1636">
        <v>0</v>
      </c>
      <c r="BD1636">
        <v>0</v>
      </c>
      <c r="BE1636">
        <v>0</v>
      </c>
      <c r="BF1636">
        <v>0</v>
      </c>
      <c r="BG1636">
        <v>0</v>
      </c>
      <c r="BH1636">
        <v>1</v>
      </c>
      <c r="BI1636">
        <v>17</v>
      </c>
      <c r="BJ1636">
        <v>23.7</v>
      </c>
      <c r="BK1636">
        <v>24</v>
      </c>
      <c r="BL1636">
        <v>189.9</v>
      </c>
      <c r="BM1636">
        <v>28.49</v>
      </c>
      <c r="BN1636">
        <v>218.39</v>
      </c>
      <c r="BO1636">
        <v>218.39</v>
      </c>
      <c r="BQ1636" t="s">
        <v>1603</v>
      </c>
      <c r="BR1636" t="s">
        <v>84</v>
      </c>
      <c r="BS1636" t="s">
        <v>189</v>
      </c>
      <c r="BV1636" t="s">
        <v>90</v>
      </c>
      <c r="BY1636">
        <v>118584</v>
      </c>
      <c r="CC1636" t="s">
        <v>92</v>
      </c>
      <c r="CD1636">
        <v>7530</v>
      </c>
      <c r="CE1636" t="s">
        <v>687</v>
      </c>
      <c r="CI1636">
        <v>3</v>
      </c>
      <c r="CJ1636" t="s">
        <v>189</v>
      </c>
      <c r="CK1636">
        <v>41</v>
      </c>
      <c r="CL1636" t="s">
        <v>90</v>
      </c>
    </row>
    <row r="1637" spans="1:90" x14ac:dyDescent="0.3">
      <c r="A1637" t="s">
        <v>72</v>
      </c>
      <c r="B1637" t="s">
        <v>73</v>
      </c>
      <c r="C1637" t="s">
        <v>74</v>
      </c>
      <c r="E1637" t="str">
        <f>"080065904865"</f>
        <v>080065904865</v>
      </c>
      <c r="F1637" s="3">
        <v>45819</v>
      </c>
      <c r="G1637">
        <v>202603</v>
      </c>
      <c r="H1637" t="s">
        <v>75</v>
      </c>
      <c r="I1637" t="s">
        <v>76</v>
      </c>
      <c r="J1637" t="s">
        <v>77</v>
      </c>
      <c r="K1637" t="s">
        <v>78</v>
      </c>
      <c r="L1637" t="s">
        <v>436</v>
      </c>
      <c r="M1637" t="s">
        <v>437</v>
      </c>
      <c r="N1637" t="s">
        <v>2143</v>
      </c>
      <c r="O1637" t="s">
        <v>276</v>
      </c>
      <c r="P1637" t="str">
        <f>"4170043577                    "</f>
        <v xml:space="preserve">4170043577                    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32.81</v>
      </c>
      <c r="AR1637">
        <v>0</v>
      </c>
      <c r="AS1637">
        <v>0</v>
      </c>
      <c r="AT1637">
        <v>0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  <c r="BE1637">
        <v>0</v>
      </c>
      <c r="BF1637">
        <v>0</v>
      </c>
      <c r="BG1637">
        <v>0</v>
      </c>
      <c r="BH1637">
        <v>1</v>
      </c>
      <c r="BI1637">
        <v>17</v>
      </c>
      <c r="BJ1637">
        <v>8.1</v>
      </c>
      <c r="BK1637">
        <v>17</v>
      </c>
      <c r="BL1637">
        <v>109.12</v>
      </c>
      <c r="BM1637">
        <v>16.37</v>
      </c>
      <c r="BN1637">
        <v>125.49</v>
      </c>
      <c r="BO1637">
        <v>125.49</v>
      </c>
      <c r="BQ1637" t="s">
        <v>2144</v>
      </c>
      <c r="BR1637" t="s">
        <v>84</v>
      </c>
      <c r="BS1637" t="s">
        <v>189</v>
      </c>
      <c r="BV1637" t="s">
        <v>90</v>
      </c>
      <c r="BY1637">
        <v>40320</v>
      </c>
      <c r="CC1637" t="s">
        <v>437</v>
      </c>
      <c r="CD1637">
        <v>1500</v>
      </c>
      <c r="CE1637" t="s">
        <v>687</v>
      </c>
      <c r="CI1637">
        <v>1</v>
      </c>
      <c r="CJ1637" t="s">
        <v>189</v>
      </c>
      <c r="CK1637">
        <v>32</v>
      </c>
      <c r="CL1637" t="s">
        <v>90</v>
      </c>
    </row>
    <row r="1638" spans="1:90" x14ac:dyDescent="0.3">
      <c r="A1638" t="s">
        <v>72</v>
      </c>
      <c r="B1638" t="s">
        <v>73</v>
      </c>
      <c r="C1638" t="s">
        <v>74</v>
      </c>
      <c r="E1638" t="str">
        <f>"080065904887"</f>
        <v>080065904887</v>
      </c>
      <c r="F1638" s="3">
        <v>45819</v>
      </c>
      <c r="G1638">
        <v>202603</v>
      </c>
      <c r="H1638" t="s">
        <v>75</v>
      </c>
      <c r="I1638" t="s">
        <v>76</v>
      </c>
      <c r="J1638" t="s">
        <v>77</v>
      </c>
      <c r="K1638" t="s">
        <v>78</v>
      </c>
      <c r="L1638" t="s">
        <v>375</v>
      </c>
      <c r="M1638" t="s">
        <v>376</v>
      </c>
      <c r="N1638" t="s">
        <v>1279</v>
      </c>
      <c r="O1638" t="s">
        <v>94</v>
      </c>
      <c r="P1638" t="str">
        <f>"4170043593                    "</f>
        <v xml:space="preserve">4170043593                    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61.27</v>
      </c>
      <c r="AR1638">
        <v>0</v>
      </c>
      <c r="AS1638">
        <v>0</v>
      </c>
      <c r="AT1638">
        <v>0</v>
      </c>
      <c r="AU1638">
        <v>0</v>
      </c>
      <c r="AV1638">
        <v>0</v>
      </c>
      <c r="AW1638">
        <v>0</v>
      </c>
      <c r="AX1638">
        <v>0</v>
      </c>
      <c r="AY1638">
        <v>0</v>
      </c>
      <c r="AZ1638">
        <v>0</v>
      </c>
      <c r="BA1638">
        <v>0</v>
      </c>
      <c r="BB1638">
        <v>0</v>
      </c>
      <c r="BC1638">
        <v>0</v>
      </c>
      <c r="BD1638">
        <v>0</v>
      </c>
      <c r="BE1638">
        <v>0</v>
      </c>
      <c r="BF1638">
        <v>0</v>
      </c>
      <c r="BG1638">
        <v>0</v>
      </c>
      <c r="BH1638">
        <v>1</v>
      </c>
      <c r="BI1638">
        <v>21</v>
      </c>
      <c r="BJ1638">
        <v>47.4</v>
      </c>
      <c r="BK1638">
        <v>48</v>
      </c>
      <c r="BL1638">
        <v>209.32</v>
      </c>
      <c r="BM1638">
        <v>31.4</v>
      </c>
      <c r="BN1638">
        <v>240.72</v>
      </c>
      <c r="BO1638">
        <v>240.72</v>
      </c>
      <c r="BQ1638" t="s">
        <v>1280</v>
      </c>
      <c r="BR1638" t="s">
        <v>84</v>
      </c>
      <c r="BS1638" t="s">
        <v>189</v>
      </c>
      <c r="BV1638" t="s">
        <v>90</v>
      </c>
      <c r="BY1638">
        <v>237168</v>
      </c>
      <c r="CC1638" t="s">
        <v>376</v>
      </c>
      <c r="CD1638">
        <v>1422</v>
      </c>
      <c r="CE1638" t="s">
        <v>687</v>
      </c>
      <c r="CI1638">
        <v>1</v>
      </c>
      <c r="CJ1638" t="s">
        <v>189</v>
      </c>
      <c r="CK1638">
        <v>42</v>
      </c>
      <c r="CL1638" t="s">
        <v>90</v>
      </c>
    </row>
    <row r="1639" spans="1:90" x14ac:dyDescent="0.3">
      <c r="A1639" t="s">
        <v>72</v>
      </c>
      <c r="B1639" t="s">
        <v>73</v>
      </c>
      <c r="C1639" t="s">
        <v>74</v>
      </c>
      <c r="E1639" t="str">
        <f>"080065904936"</f>
        <v>080065904936</v>
      </c>
      <c r="F1639" s="3">
        <v>45819</v>
      </c>
      <c r="G1639">
        <v>202603</v>
      </c>
      <c r="H1639" t="s">
        <v>75</v>
      </c>
      <c r="I1639" t="s">
        <v>76</v>
      </c>
      <c r="J1639" t="s">
        <v>77</v>
      </c>
      <c r="K1639" t="s">
        <v>78</v>
      </c>
      <c r="L1639" t="s">
        <v>2145</v>
      </c>
      <c r="M1639" t="s">
        <v>2146</v>
      </c>
      <c r="N1639" t="s">
        <v>2147</v>
      </c>
      <c r="O1639" t="s">
        <v>94</v>
      </c>
      <c r="P1639" t="str">
        <f>"4170043587                    "</f>
        <v xml:space="preserve">4170043587                    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>
        <v>71.55</v>
      </c>
      <c r="AR1639">
        <v>0</v>
      </c>
      <c r="AS1639">
        <v>0</v>
      </c>
      <c r="AT1639">
        <v>0</v>
      </c>
      <c r="AU1639">
        <v>0</v>
      </c>
      <c r="AV1639">
        <v>0</v>
      </c>
      <c r="AW1639">
        <v>0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>
        <v>0</v>
      </c>
      <c r="BD1639">
        <v>0</v>
      </c>
      <c r="BE1639">
        <v>0</v>
      </c>
      <c r="BF1639">
        <v>0</v>
      </c>
      <c r="BG1639">
        <v>0</v>
      </c>
      <c r="BH1639">
        <v>1</v>
      </c>
      <c r="BI1639">
        <v>20</v>
      </c>
      <c r="BJ1639">
        <v>20</v>
      </c>
      <c r="BK1639">
        <v>20</v>
      </c>
      <c r="BL1639">
        <v>243.52</v>
      </c>
      <c r="BM1639">
        <v>36.53</v>
      </c>
      <c r="BN1639">
        <v>280.05</v>
      </c>
      <c r="BO1639">
        <v>280.05</v>
      </c>
      <c r="BQ1639" t="s">
        <v>2148</v>
      </c>
      <c r="BR1639" t="s">
        <v>84</v>
      </c>
      <c r="BS1639" t="s">
        <v>189</v>
      </c>
      <c r="BV1639" t="s">
        <v>90</v>
      </c>
      <c r="BY1639">
        <v>100000</v>
      </c>
      <c r="CC1639" t="s">
        <v>2146</v>
      </c>
      <c r="CD1639">
        <v>8405</v>
      </c>
      <c r="CE1639" t="s">
        <v>687</v>
      </c>
      <c r="CI1639">
        <v>5</v>
      </c>
      <c r="CJ1639" t="s">
        <v>189</v>
      </c>
      <c r="CK1639">
        <v>43</v>
      </c>
      <c r="CL1639" t="s">
        <v>90</v>
      </c>
    </row>
    <row r="1640" spans="1:90" x14ac:dyDescent="0.3">
      <c r="A1640" t="s">
        <v>72</v>
      </c>
      <c r="B1640" t="s">
        <v>73</v>
      </c>
      <c r="C1640" t="s">
        <v>74</v>
      </c>
      <c r="E1640" t="str">
        <f>"080065905053"</f>
        <v>080065905053</v>
      </c>
      <c r="F1640" s="3">
        <v>45819</v>
      </c>
      <c r="G1640">
        <v>202603</v>
      </c>
      <c r="H1640" t="s">
        <v>75</v>
      </c>
      <c r="I1640" t="s">
        <v>76</v>
      </c>
      <c r="J1640" t="s">
        <v>77</v>
      </c>
      <c r="K1640" t="s">
        <v>78</v>
      </c>
      <c r="L1640" t="s">
        <v>130</v>
      </c>
      <c r="M1640" t="s">
        <v>131</v>
      </c>
      <c r="N1640" t="s">
        <v>451</v>
      </c>
      <c r="O1640" t="s">
        <v>82</v>
      </c>
      <c r="P1640" t="str">
        <f>"4170043560                    "</f>
        <v xml:space="preserve">4170043560                    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>
        <v>16.32</v>
      </c>
      <c r="AR1640">
        <v>0</v>
      </c>
      <c r="AS1640">
        <v>0</v>
      </c>
      <c r="AT1640">
        <v>0</v>
      </c>
      <c r="AU1640">
        <v>0</v>
      </c>
      <c r="AV1640">
        <v>0</v>
      </c>
      <c r="AW1640">
        <v>0</v>
      </c>
      <c r="AX1640">
        <v>0</v>
      </c>
      <c r="AY1640">
        <v>0</v>
      </c>
      <c r="AZ1640">
        <v>0</v>
      </c>
      <c r="BA1640">
        <v>0</v>
      </c>
      <c r="BB1640">
        <v>0</v>
      </c>
      <c r="BC1640">
        <v>0</v>
      </c>
      <c r="BD1640">
        <v>0</v>
      </c>
      <c r="BE1640">
        <v>0</v>
      </c>
      <c r="BF1640">
        <v>0</v>
      </c>
      <c r="BG1640">
        <v>0</v>
      </c>
      <c r="BH1640">
        <v>1</v>
      </c>
      <c r="BI1640">
        <v>1</v>
      </c>
      <c r="BJ1640">
        <v>0.2</v>
      </c>
      <c r="BK1640">
        <v>1</v>
      </c>
      <c r="BL1640">
        <v>54.28</v>
      </c>
      <c r="BM1640">
        <v>8.14</v>
      </c>
      <c r="BN1640">
        <v>62.42</v>
      </c>
      <c r="BO1640">
        <v>62.42</v>
      </c>
      <c r="BQ1640" t="s">
        <v>452</v>
      </c>
      <c r="BR1640" t="s">
        <v>84</v>
      </c>
      <c r="BS1640" t="s">
        <v>189</v>
      </c>
      <c r="BV1640" t="s">
        <v>90</v>
      </c>
      <c r="BY1640">
        <v>1200</v>
      </c>
      <c r="CC1640" t="s">
        <v>131</v>
      </c>
      <c r="CD1640">
        <v>1459</v>
      </c>
      <c r="CE1640" t="s">
        <v>215</v>
      </c>
      <c r="CI1640">
        <v>1</v>
      </c>
      <c r="CJ1640" t="s">
        <v>189</v>
      </c>
      <c r="CK1640">
        <v>22</v>
      </c>
      <c r="CL1640" t="s">
        <v>90</v>
      </c>
    </row>
    <row r="1641" spans="1:90" x14ac:dyDescent="0.3">
      <c r="A1641" t="s">
        <v>72</v>
      </c>
      <c r="B1641" t="s">
        <v>73</v>
      </c>
      <c r="C1641" t="s">
        <v>74</v>
      </c>
      <c r="E1641" t="str">
        <f>"080065905082"</f>
        <v>080065905082</v>
      </c>
      <c r="F1641" s="3">
        <v>45819</v>
      </c>
      <c r="G1641">
        <v>202603</v>
      </c>
      <c r="H1641" t="s">
        <v>75</v>
      </c>
      <c r="I1641" t="s">
        <v>76</v>
      </c>
      <c r="J1641" t="s">
        <v>77</v>
      </c>
      <c r="K1641" t="s">
        <v>78</v>
      </c>
      <c r="L1641" t="s">
        <v>331</v>
      </c>
      <c r="M1641" t="s">
        <v>332</v>
      </c>
      <c r="N1641" t="s">
        <v>1499</v>
      </c>
      <c r="O1641" t="s">
        <v>82</v>
      </c>
      <c r="P1641" t="str">
        <f>"4170043554                    "</f>
        <v xml:space="preserve">4170043554                    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20.9</v>
      </c>
      <c r="AR1641">
        <v>0</v>
      </c>
      <c r="AS1641">
        <v>0</v>
      </c>
      <c r="AT1641">
        <v>0</v>
      </c>
      <c r="AU1641">
        <v>0</v>
      </c>
      <c r="AV1641">
        <v>0</v>
      </c>
      <c r="AW1641">
        <v>0</v>
      </c>
      <c r="AX1641">
        <v>0</v>
      </c>
      <c r="AY1641">
        <v>0</v>
      </c>
      <c r="AZ1641">
        <v>0</v>
      </c>
      <c r="BA1641">
        <v>0</v>
      </c>
      <c r="BB1641">
        <v>0</v>
      </c>
      <c r="BC1641">
        <v>0</v>
      </c>
      <c r="BD1641">
        <v>0</v>
      </c>
      <c r="BE1641">
        <v>0</v>
      </c>
      <c r="BF1641">
        <v>0</v>
      </c>
      <c r="BG1641">
        <v>0</v>
      </c>
      <c r="BH1641">
        <v>1</v>
      </c>
      <c r="BI1641">
        <v>1</v>
      </c>
      <c r="BJ1641">
        <v>0.2</v>
      </c>
      <c r="BK1641">
        <v>1</v>
      </c>
      <c r="BL1641">
        <v>69.5</v>
      </c>
      <c r="BM1641">
        <v>10.43</v>
      </c>
      <c r="BN1641">
        <v>79.930000000000007</v>
      </c>
      <c r="BO1641">
        <v>79.930000000000007</v>
      </c>
      <c r="BQ1641" t="s">
        <v>1500</v>
      </c>
      <c r="BR1641" t="s">
        <v>84</v>
      </c>
      <c r="BS1641" s="3">
        <v>45820</v>
      </c>
      <c r="BT1641" s="4">
        <v>0.34166666666666667</v>
      </c>
      <c r="BU1641" t="s">
        <v>335</v>
      </c>
      <c r="BV1641" t="s">
        <v>86</v>
      </c>
      <c r="BY1641">
        <v>1200</v>
      </c>
      <c r="CA1641" t="s">
        <v>336</v>
      </c>
      <c r="CC1641" t="s">
        <v>332</v>
      </c>
      <c r="CD1641">
        <v>4051</v>
      </c>
      <c r="CE1641" t="s">
        <v>215</v>
      </c>
      <c r="CI1641">
        <v>1</v>
      </c>
      <c r="CJ1641">
        <v>1</v>
      </c>
      <c r="CK1641">
        <v>21</v>
      </c>
      <c r="CL1641" t="s">
        <v>90</v>
      </c>
    </row>
    <row r="1642" spans="1:90" x14ac:dyDescent="0.3">
      <c r="A1642" t="s">
        <v>72</v>
      </c>
      <c r="B1642" t="s">
        <v>73</v>
      </c>
      <c r="C1642" t="s">
        <v>74</v>
      </c>
      <c r="E1642" t="str">
        <f>"080065905178"</f>
        <v>080065905178</v>
      </c>
      <c r="F1642" s="3">
        <v>45819</v>
      </c>
      <c r="G1642">
        <v>202603</v>
      </c>
      <c r="H1642" t="s">
        <v>75</v>
      </c>
      <c r="I1642" t="s">
        <v>76</v>
      </c>
      <c r="J1642" t="s">
        <v>77</v>
      </c>
      <c r="K1642" t="s">
        <v>78</v>
      </c>
      <c r="L1642" t="s">
        <v>159</v>
      </c>
      <c r="M1642" t="s">
        <v>160</v>
      </c>
      <c r="N1642" t="s">
        <v>2149</v>
      </c>
      <c r="O1642" t="s">
        <v>82</v>
      </c>
      <c r="P1642" t="str">
        <f>"4170043582                    "</f>
        <v xml:space="preserve">4170043582                    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>
        <v>16.32</v>
      </c>
      <c r="AR1642">
        <v>0</v>
      </c>
      <c r="AS1642">
        <v>0</v>
      </c>
      <c r="AT1642">
        <v>0</v>
      </c>
      <c r="AU1642">
        <v>0</v>
      </c>
      <c r="AV1642">
        <v>0</v>
      </c>
      <c r="AW1642">
        <v>0</v>
      </c>
      <c r="AX1642">
        <v>0</v>
      </c>
      <c r="AY1642">
        <v>0</v>
      </c>
      <c r="AZ1642">
        <v>0</v>
      </c>
      <c r="BA1642">
        <v>0</v>
      </c>
      <c r="BB1642">
        <v>0</v>
      </c>
      <c r="BC1642">
        <v>0</v>
      </c>
      <c r="BD1642">
        <v>0</v>
      </c>
      <c r="BE1642">
        <v>0</v>
      </c>
      <c r="BF1642">
        <v>0</v>
      </c>
      <c r="BG1642">
        <v>0</v>
      </c>
      <c r="BH1642">
        <v>1</v>
      </c>
      <c r="BI1642">
        <v>1</v>
      </c>
      <c r="BJ1642">
        <v>0.2</v>
      </c>
      <c r="BK1642">
        <v>1</v>
      </c>
      <c r="BL1642">
        <v>54.28</v>
      </c>
      <c r="BM1642">
        <v>8.14</v>
      </c>
      <c r="BN1642">
        <v>62.42</v>
      </c>
      <c r="BO1642">
        <v>62.42</v>
      </c>
      <c r="BQ1642" t="s">
        <v>2150</v>
      </c>
      <c r="BR1642" t="s">
        <v>84</v>
      </c>
      <c r="BS1642" t="s">
        <v>189</v>
      </c>
      <c r="BV1642" t="s">
        <v>90</v>
      </c>
      <c r="BY1642">
        <v>1200</v>
      </c>
      <c r="CC1642" t="s">
        <v>160</v>
      </c>
      <c r="CD1642">
        <v>2091</v>
      </c>
      <c r="CE1642" t="s">
        <v>215</v>
      </c>
      <c r="CI1642">
        <v>1</v>
      </c>
      <c r="CJ1642" t="s">
        <v>189</v>
      </c>
      <c r="CK1642">
        <v>22</v>
      </c>
      <c r="CL1642" t="s">
        <v>90</v>
      </c>
    </row>
    <row r="1643" spans="1:90" x14ac:dyDescent="0.3">
      <c r="A1643" t="s">
        <v>72</v>
      </c>
      <c r="B1643" t="s">
        <v>73</v>
      </c>
      <c r="C1643" t="s">
        <v>74</v>
      </c>
      <c r="E1643" t="str">
        <f>"080065905233"</f>
        <v>080065905233</v>
      </c>
      <c r="F1643" s="3">
        <v>45819</v>
      </c>
      <c r="G1643">
        <v>202603</v>
      </c>
      <c r="H1643" t="s">
        <v>75</v>
      </c>
      <c r="I1643" t="s">
        <v>76</v>
      </c>
      <c r="J1643" t="s">
        <v>77</v>
      </c>
      <c r="K1643" t="s">
        <v>78</v>
      </c>
      <c r="L1643" t="s">
        <v>174</v>
      </c>
      <c r="M1643" t="s">
        <v>175</v>
      </c>
      <c r="N1643" t="s">
        <v>680</v>
      </c>
      <c r="O1643" t="s">
        <v>94</v>
      </c>
      <c r="P1643" t="str">
        <f>"4170043581                    "</f>
        <v xml:space="preserve">4170043581                    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53.76</v>
      </c>
      <c r="AR1643">
        <v>0</v>
      </c>
      <c r="AS1643">
        <v>0</v>
      </c>
      <c r="AT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  <c r="BE1643">
        <v>0</v>
      </c>
      <c r="BF1643">
        <v>0</v>
      </c>
      <c r="BG1643">
        <v>0</v>
      </c>
      <c r="BH1643">
        <v>1</v>
      </c>
      <c r="BI1643">
        <v>21</v>
      </c>
      <c r="BJ1643">
        <v>22.9</v>
      </c>
      <c r="BK1643">
        <v>23</v>
      </c>
      <c r="BL1643">
        <v>184.35</v>
      </c>
      <c r="BM1643">
        <v>27.65</v>
      </c>
      <c r="BN1643">
        <v>212</v>
      </c>
      <c r="BO1643">
        <v>212</v>
      </c>
      <c r="BQ1643" t="s">
        <v>681</v>
      </c>
      <c r="BR1643" t="s">
        <v>84</v>
      </c>
      <c r="BS1643" t="s">
        <v>189</v>
      </c>
      <c r="BV1643" t="s">
        <v>90</v>
      </c>
      <c r="BY1643">
        <v>114380</v>
      </c>
      <c r="CC1643" t="s">
        <v>175</v>
      </c>
      <c r="CD1643">
        <v>3610</v>
      </c>
      <c r="CE1643" t="s">
        <v>122</v>
      </c>
      <c r="CI1643">
        <v>1</v>
      </c>
      <c r="CJ1643" t="s">
        <v>189</v>
      </c>
      <c r="CK1643">
        <v>41</v>
      </c>
      <c r="CL1643" t="s">
        <v>90</v>
      </c>
    </row>
    <row r="1644" spans="1:90" x14ac:dyDescent="0.3">
      <c r="A1644" t="s">
        <v>72</v>
      </c>
      <c r="B1644" t="s">
        <v>73</v>
      </c>
      <c r="C1644" t="s">
        <v>74</v>
      </c>
      <c r="E1644" t="str">
        <f>"080065905328"</f>
        <v>080065905328</v>
      </c>
      <c r="F1644" s="3">
        <v>45819</v>
      </c>
      <c r="G1644">
        <v>202603</v>
      </c>
      <c r="H1644" t="s">
        <v>75</v>
      </c>
      <c r="I1644" t="s">
        <v>76</v>
      </c>
      <c r="J1644" t="s">
        <v>77</v>
      </c>
      <c r="K1644" t="s">
        <v>78</v>
      </c>
      <c r="L1644" t="s">
        <v>293</v>
      </c>
      <c r="M1644" t="s">
        <v>294</v>
      </c>
      <c r="N1644" t="s">
        <v>2151</v>
      </c>
      <c r="O1644" t="s">
        <v>94</v>
      </c>
      <c r="P1644" t="str">
        <f>"4170043571                    "</f>
        <v xml:space="preserve">4170043571                    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>
        <v>682.88</v>
      </c>
      <c r="AR1644">
        <v>0</v>
      </c>
      <c r="AS1644">
        <v>0</v>
      </c>
      <c r="AT1644">
        <v>0</v>
      </c>
      <c r="AU1644">
        <v>0</v>
      </c>
      <c r="AV1644">
        <v>0</v>
      </c>
      <c r="AW1644">
        <v>0</v>
      </c>
      <c r="AX1644">
        <v>0</v>
      </c>
      <c r="AY1644">
        <v>0</v>
      </c>
      <c r="AZ1644">
        <v>0</v>
      </c>
      <c r="BA1644">
        <v>0</v>
      </c>
      <c r="BB1644">
        <v>0</v>
      </c>
      <c r="BC1644">
        <v>0</v>
      </c>
      <c r="BD1644">
        <v>0</v>
      </c>
      <c r="BE1644">
        <v>0</v>
      </c>
      <c r="BF1644">
        <v>0</v>
      </c>
      <c r="BG1644">
        <v>0</v>
      </c>
      <c r="BH1644">
        <v>1</v>
      </c>
      <c r="BI1644">
        <v>139</v>
      </c>
      <c r="BJ1644">
        <v>229.9</v>
      </c>
      <c r="BK1644">
        <v>230</v>
      </c>
      <c r="BL1644">
        <v>2276.5500000000002</v>
      </c>
      <c r="BM1644">
        <v>341.48</v>
      </c>
      <c r="BN1644">
        <v>2618.0300000000002</v>
      </c>
      <c r="BO1644">
        <v>2618.0300000000002</v>
      </c>
      <c r="BQ1644" t="s">
        <v>2152</v>
      </c>
      <c r="BR1644" t="s">
        <v>84</v>
      </c>
      <c r="BS1644" t="s">
        <v>189</v>
      </c>
      <c r="BV1644" t="s">
        <v>90</v>
      </c>
      <c r="BY1644">
        <v>1149312</v>
      </c>
      <c r="CC1644" t="s">
        <v>294</v>
      </c>
      <c r="CD1644">
        <v>1939</v>
      </c>
      <c r="CE1644" t="s">
        <v>2153</v>
      </c>
      <c r="CI1644">
        <v>1</v>
      </c>
      <c r="CJ1644" t="s">
        <v>189</v>
      </c>
      <c r="CK1644">
        <v>43</v>
      </c>
      <c r="CL1644" t="s">
        <v>90</v>
      </c>
    </row>
    <row r="1645" spans="1:90" x14ac:dyDescent="0.3">
      <c r="A1645" t="s">
        <v>72</v>
      </c>
      <c r="B1645" t="s">
        <v>73</v>
      </c>
      <c r="C1645" t="s">
        <v>74</v>
      </c>
      <c r="E1645" t="str">
        <f>"080065905367"</f>
        <v>080065905367</v>
      </c>
      <c r="F1645" s="3">
        <v>45819</v>
      </c>
      <c r="G1645">
        <v>202603</v>
      </c>
      <c r="H1645" t="s">
        <v>75</v>
      </c>
      <c r="I1645" t="s">
        <v>76</v>
      </c>
      <c r="J1645" t="s">
        <v>77</v>
      </c>
      <c r="K1645" t="s">
        <v>78</v>
      </c>
      <c r="L1645" t="s">
        <v>174</v>
      </c>
      <c r="M1645" t="s">
        <v>175</v>
      </c>
      <c r="N1645" t="s">
        <v>680</v>
      </c>
      <c r="O1645" t="s">
        <v>82</v>
      </c>
      <c r="P1645" t="str">
        <f>"4170043562                    "</f>
        <v xml:space="preserve">4170043562                    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41.78</v>
      </c>
      <c r="AR1645">
        <v>0</v>
      </c>
      <c r="AS1645">
        <v>0</v>
      </c>
      <c r="AT1645">
        <v>0</v>
      </c>
      <c r="AU1645">
        <v>0</v>
      </c>
      <c r="AV1645">
        <v>0</v>
      </c>
      <c r="AW1645">
        <v>0</v>
      </c>
      <c r="AX1645">
        <v>0</v>
      </c>
      <c r="AY1645">
        <v>0</v>
      </c>
      <c r="AZ1645">
        <v>0</v>
      </c>
      <c r="BA1645">
        <v>0</v>
      </c>
      <c r="BB1645">
        <v>0</v>
      </c>
      <c r="BC1645">
        <v>0</v>
      </c>
      <c r="BD1645">
        <v>0</v>
      </c>
      <c r="BE1645">
        <v>0</v>
      </c>
      <c r="BF1645">
        <v>0</v>
      </c>
      <c r="BG1645">
        <v>0</v>
      </c>
      <c r="BH1645">
        <v>1</v>
      </c>
      <c r="BI1645">
        <v>4</v>
      </c>
      <c r="BJ1645">
        <v>1.9</v>
      </c>
      <c r="BK1645">
        <v>4</v>
      </c>
      <c r="BL1645">
        <v>138.94</v>
      </c>
      <c r="BM1645">
        <v>20.84</v>
      </c>
      <c r="BN1645">
        <v>159.78</v>
      </c>
      <c r="BO1645">
        <v>159.78</v>
      </c>
      <c r="BQ1645" t="s">
        <v>681</v>
      </c>
      <c r="BR1645" t="s">
        <v>84</v>
      </c>
      <c r="BS1645" t="s">
        <v>189</v>
      </c>
      <c r="BV1645" t="s">
        <v>90</v>
      </c>
      <c r="BY1645">
        <v>9600</v>
      </c>
      <c r="CC1645" t="s">
        <v>175</v>
      </c>
      <c r="CD1645">
        <v>3610</v>
      </c>
      <c r="CE1645" t="s">
        <v>687</v>
      </c>
      <c r="CI1645">
        <v>1</v>
      </c>
      <c r="CJ1645" t="s">
        <v>189</v>
      </c>
      <c r="CK1645">
        <v>21</v>
      </c>
      <c r="CL1645" t="s">
        <v>90</v>
      </c>
    </row>
    <row r="1646" spans="1:90" x14ac:dyDescent="0.3">
      <c r="A1646" t="s">
        <v>72</v>
      </c>
      <c r="B1646" t="s">
        <v>73</v>
      </c>
      <c r="C1646" t="s">
        <v>74</v>
      </c>
      <c r="E1646" t="str">
        <f>"080065905456"</f>
        <v>080065905456</v>
      </c>
      <c r="F1646" s="3">
        <v>45819</v>
      </c>
      <c r="G1646">
        <v>202603</v>
      </c>
      <c r="H1646" t="s">
        <v>75</v>
      </c>
      <c r="I1646" t="s">
        <v>76</v>
      </c>
      <c r="J1646" t="s">
        <v>77</v>
      </c>
      <c r="K1646" t="s">
        <v>78</v>
      </c>
      <c r="L1646" t="s">
        <v>116</v>
      </c>
      <c r="M1646" t="s">
        <v>117</v>
      </c>
      <c r="N1646" t="s">
        <v>1016</v>
      </c>
      <c r="O1646" t="s">
        <v>82</v>
      </c>
      <c r="P1646" t="str">
        <f>"4170043583                    "</f>
        <v xml:space="preserve">4170043583                    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31.34</v>
      </c>
      <c r="AR1646">
        <v>0</v>
      </c>
      <c r="AS1646">
        <v>0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  <c r="BE1646">
        <v>0</v>
      </c>
      <c r="BF1646">
        <v>0</v>
      </c>
      <c r="BG1646">
        <v>0</v>
      </c>
      <c r="BH1646">
        <v>1</v>
      </c>
      <c r="BI1646">
        <v>3</v>
      </c>
      <c r="BJ1646">
        <v>1.1000000000000001</v>
      </c>
      <c r="BK1646">
        <v>3</v>
      </c>
      <c r="BL1646">
        <v>104.22</v>
      </c>
      <c r="BM1646">
        <v>15.63</v>
      </c>
      <c r="BN1646">
        <v>119.85</v>
      </c>
      <c r="BO1646">
        <v>119.85</v>
      </c>
      <c r="BQ1646" t="s">
        <v>1017</v>
      </c>
      <c r="BR1646" t="s">
        <v>84</v>
      </c>
      <c r="BS1646" t="s">
        <v>189</v>
      </c>
      <c r="BV1646" t="s">
        <v>90</v>
      </c>
      <c r="BY1646">
        <v>5320</v>
      </c>
      <c r="CC1646" t="s">
        <v>117</v>
      </c>
      <c r="CD1646">
        <v>3201</v>
      </c>
      <c r="CE1646" t="s">
        <v>687</v>
      </c>
      <c r="CI1646">
        <v>1</v>
      </c>
      <c r="CJ1646" t="s">
        <v>189</v>
      </c>
      <c r="CK1646">
        <v>21</v>
      </c>
      <c r="CL1646" t="s">
        <v>90</v>
      </c>
    </row>
    <row r="1647" spans="1:90" x14ac:dyDescent="0.3">
      <c r="A1647" t="s">
        <v>72</v>
      </c>
      <c r="B1647" t="s">
        <v>73</v>
      </c>
      <c r="C1647" t="s">
        <v>74</v>
      </c>
      <c r="E1647" t="str">
        <f>"080065905529"</f>
        <v>080065905529</v>
      </c>
      <c r="F1647" s="3">
        <v>45819</v>
      </c>
      <c r="G1647">
        <v>202603</v>
      </c>
      <c r="H1647" t="s">
        <v>75</v>
      </c>
      <c r="I1647" t="s">
        <v>76</v>
      </c>
      <c r="J1647" t="s">
        <v>77</v>
      </c>
      <c r="K1647" t="s">
        <v>78</v>
      </c>
      <c r="L1647" t="s">
        <v>100</v>
      </c>
      <c r="M1647" t="s">
        <v>101</v>
      </c>
      <c r="N1647" t="s">
        <v>492</v>
      </c>
      <c r="O1647" t="s">
        <v>82</v>
      </c>
      <c r="P1647" t="str">
        <f>"4170043526                    "</f>
        <v xml:space="preserve">4170043526                    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>
        <v>20.9</v>
      </c>
      <c r="AR1647">
        <v>0</v>
      </c>
      <c r="AS1647">
        <v>0</v>
      </c>
      <c r="AT1647">
        <v>0</v>
      </c>
      <c r="AU1647">
        <v>0</v>
      </c>
      <c r="AV1647">
        <v>0</v>
      </c>
      <c r="AW1647">
        <v>0</v>
      </c>
      <c r="AX1647">
        <v>0</v>
      </c>
      <c r="AY1647">
        <v>0</v>
      </c>
      <c r="AZ1647">
        <v>0</v>
      </c>
      <c r="BA1647">
        <v>0</v>
      </c>
      <c r="BB1647">
        <v>0</v>
      </c>
      <c r="BC1647">
        <v>0</v>
      </c>
      <c r="BD1647">
        <v>0</v>
      </c>
      <c r="BE1647">
        <v>0</v>
      </c>
      <c r="BF1647">
        <v>0</v>
      </c>
      <c r="BG1647">
        <v>0</v>
      </c>
      <c r="BH1647">
        <v>1</v>
      </c>
      <c r="BI1647">
        <v>1</v>
      </c>
      <c r="BJ1647">
        <v>1.1000000000000001</v>
      </c>
      <c r="BK1647">
        <v>1.5</v>
      </c>
      <c r="BL1647">
        <v>69.5</v>
      </c>
      <c r="BM1647">
        <v>10.43</v>
      </c>
      <c r="BN1647">
        <v>79.930000000000007</v>
      </c>
      <c r="BO1647">
        <v>79.930000000000007</v>
      </c>
      <c r="BQ1647" t="s">
        <v>493</v>
      </c>
      <c r="BR1647" t="s">
        <v>84</v>
      </c>
      <c r="BS1647" t="s">
        <v>189</v>
      </c>
      <c r="BV1647" t="s">
        <v>90</v>
      </c>
      <c r="BY1647">
        <v>5320</v>
      </c>
      <c r="CC1647" t="s">
        <v>101</v>
      </c>
      <c r="CD1647">
        <v>6001</v>
      </c>
      <c r="CE1647" t="s">
        <v>687</v>
      </c>
      <c r="CI1647">
        <v>1</v>
      </c>
      <c r="CJ1647" t="s">
        <v>189</v>
      </c>
      <c r="CK1647">
        <v>21</v>
      </c>
      <c r="CL1647" t="s">
        <v>90</v>
      </c>
    </row>
    <row r="1648" spans="1:90" x14ac:dyDescent="0.3">
      <c r="A1648" t="s">
        <v>72</v>
      </c>
      <c r="B1648" t="s">
        <v>73</v>
      </c>
      <c r="C1648" t="s">
        <v>74</v>
      </c>
      <c r="E1648" t="str">
        <f>"080065905592"</f>
        <v>080065905592</v>
      </c>
      <c r="F1648" s="3">
        <v>45819</v>
      </c>
      <c r="G1648">
        <v>202603</v>
      </c>
      <c r="H1648" t="s">
        <v>75</v>
      </c>
      <c r="I1648" t="s">
        <v>76</v>
      </c>
      <c r="J1648" t="s">
        <v>77</v>
      </c>
      <c r="K1648" t="s">
        <v>78</v>
      </c>
      <c r="L1648" t="s">
        <v>266</v>
      </c>
      <c r="M1648" t="s">
        <v>267</v>
      </c>
      <c r="N1648" t="s">
        <v>2154</v>
      </c>
      <c r="O1648" t="s">
        <v>94</v>
      </c>
      <c r="P1648" t="str">
        <f>"4170043630                    "</f>
        <v xml:space="preserve">4170043630                    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1108.19</v>
      </c>
      <c r="AR1648">
        <v>0</v>
      </c>
      <c r="AS1648">
        <v>0</v>
      </c>
      <c r="AT1648">
        <v>0</v>
      </c>
      <c r="AU1648">
        <v>0</v>
      </c>
      <c r="AV1648">
        <v>0</v>
      </c>
      <c r="AW1648">
        <v>0</v>
      </c>
      <c r="AX1648">
        <v>0</v>
      </c>
      <c r="AY1648">
        <v>0</v>
      </c>
      <c r="AZ1648">
        <v>0</v>
      </c>
      <c r="BA1648">
        <v>0</v>
      </c>
      <c r="BB1648">
        <v>0</v>
      </c>
      <c r="BC1648">
        <v>0</v>
      </c>
      <c r="BD1648">
        <v>0</v>
      </c>
      <c r="BE1648">
        <v>0</v>
      </c>
      <c r="BF1648">
        <v>0</v>
      </c>
      <c r="BG1648">
        <v>0</v>
      </c>
      <c r="BH1648">
        <v>1</v>
      </c>
      <c r="BI1648">
        <v>438</v>
      </c>
      <c r="BJ1648">
        <v>654.4</v>
      </c>
      <c r="BK1648">
        <v>655</v>
      </c>
      <c r="BL1648">
        <v>3690.94</v>
      </c>
      <c r="BM1648">
        <v>553.64</v>
      </c>
      <c r="BN1648">
        <v>4244.58</v>
      </c>
      <c r="BO1648">
        <v>4244.58</v>
      </c>
      <c r="BQ1648" t="s">
        <v>2155</v>
      </c>
      <c r="BR1648" t="s">
        <v>84</v>
      </c>
      <c r="BS1648" t="s">
        <v>189</v>
      </c>
      <c r="BV1648" t="s">
        <v>90</v>
      </c>
      <c r="BY1648">
        <v>3271996</v>
      </c>
      <c r="CC1648" t="s">
        <v>267</v>
      </c>
      <c r="CD1648">
        <v>6230</v>
      </c>
      <c r="CE1648" t="s">
        <v>2156</v>
      </c>
      <c r="CI1648">
        <v>3</v>
      </c>
      <c r="CJ1648" t="s">
        <v>189</v>
      </c>
      <c r="CK1648">
        <v>41</v>
      </c>
      <c r="CL1648" t="s">
        <v>90</v>
      </c>
    </row>
    <row r="1649" spans="1:90" x14ac:dyDescent="0.3">
      <c r="A1649" t="s">
        <v>72</v>
      </c>
      <c r="B1649" t="s">
        <v>73</v>
      </c>
      <c r="C1649" t="s">
        <v>74</v>
      </c>
      <c r="E1649" t="str">
        <f>"080065905933"</f>
        <v>080065905933</v>
      </c>
      <c r="F1649" s="3">
        <v>45819</v>
      </c>
      <c r="G1649">
        <v>202603</v>
      </c>
      <c r="H1649" t="s">
        <v>75</v>
      </c>
      <c r="I1649" t="s">
        <v>76</v>
      </c>
      <c r="J1649" t="s">
        <v>77</v>
      </c>
      <c r="K1649" t="s">
        <v>78</v>
      </c>
      <c r="L1649" t="s">
        <v>100</v>
      </c>
      <c r="M1649" t="s">
        <v>101</v>
      </c>
      <c r="N1649" t="s">
        <v>123</v>
      </c>
      <c r="O1649" t="s">
        <v>82</v>
      </c>
      <c r="P1649" t="str">
        <f>"4170043483                    "</f>
        <v xml:space="preserve">4170043483                    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62.66</v>
      </c>
      <c r="AR1649">
        <v>0</v>
      </c>
      <c r="AS1649">
        <v>0</v>
      </c>
      <c r="AT1649">
        <v>0</v>
      </c>
      <c r="AU1649">
        <v>0</v>
      </c>
      <c r="AV1649">
        <v>0</v>
      </c>
      <c r="AW1649">
        <v>0</v>
      </c>
      <c r="AX1649">
        <v>0</v>
      </c>
      <c r="AY1649">
        <v>0</v>
      </c>
      <c r="AZ1649">
        <v>0</v>
      </c>
      <c r="BA1649">
        <v>0</v>
      </c>
      <c r="BB1649">
        <v>0</v>
      </c>
      <c r="BC1649">
        <v>0</v>
      </c>
      <c r="BD1649">
        <v>0</v>
      </c>
      <c r="BE1649">
        <v>0</v>
      </c>
      <c r="BF1649">
        <v>0</v>
      </c>
      <c r="BG1649">
        <v>0</v>
      </c>
      <c r="BH1649">
        <v>1</v>
      </c>
      <c r="BI1649">
        <v>6</v>
      </c>
      <c r="BJ1649">
        <v>4.0999999999999996</v>
      </c>
      <c r="BK1649">
        <v>6</v>
      </c>
      <c r="BL1649">
        <v>208.38</v>
      </c>
      <c r="BM1649">
        <v>31.26</v>
      </c>
      <c r="BN1649">
        <v>239.64</v>
      </c>
      <c r="BO1649">
        <v>239.64</v>
      </c>
      <c r="BQ1649" t="s">
        <v>124</v>
      </c>
      <c r="BR1649" t="s">
        <v>84</v>
      </c>
      <c r="BS1649" t="s">
        <v>189</v>
      </c>
      <c r="BV1649" t="s">
        <v>90</v>
      </c>
      <c r="BY1649">
        <v>20358</v>
      </c>
      <c r="CC1649" t="s">
        <v>101</v>
      </c>
      <c r="CD1649">
        <v>6001</v>
      </c>
      <c r="CE1649" t="s">
        <v>687</v>
      </c>
      <c r="CI1649">
        <v>1</v>
      </c>
      <c r="CJ1649" t="s">
        <v>189</v>
      </c>
      <c r="CK1649">
        <v>21</v>
      </c>
      <c r="CL1649" t="s">
        <v>90</v>
      </c>
    </row>
    <row r="1650" spans="1:90" x14ac:dyDescent="0.3">
      <c r="A1650" t="s">
        <v>72</v>
      </c>
      <c r="B1650" t="s">
        <v>73</v>
      </c>
      <c r="C1650" t="s">
        <v>74</v>
      </c>
      <c r="E1650" t="str">
        <f>"080065905979"</f>
        <v>080065905979</v>
      </c>
      <c r="F1650" s="3">
        <v>45819</v>
      </c>
      <c r="G1650">
        <v>202603</v>
      </c>
      <c r="H1650" t="s">
        <v>75</v>
      </c>
      <c r="I1650" t="s">
        <v>76</v>
      </c>
      <c r="J1650" t="s">
        <v>77</v>
      </c>
      <c r="K1650" t="s">
        <v>78</v>
      </c>
      <c r="L1650" t="s">
        <v>154</v>
      </c>
      <c r="M1650" t="s">
        <v>154</v>
      </c>
      <c r="N1650" t="s">
        <v>949</v>
      </c>
      <c r="O1650" t="s">
        <v>82</v>
      </c>
      <c r="P1650" t="str">
        <f>"4170043614                    "</f>
        <v xml:space="preserve">4170043614                    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>
        <v>86.2</v>
      </c>
      <c r="AR1650">
        <v>0</v>
      </c>
      <c r="AS1650">
        <v>0</v>
      </c>
      <c r="AT1650">
        <v>0</v>
      </c>
      <c r="AU1650">
        <v>0</v>
      </c>
      <c r="AV1650">
        <v>0</v>
      </c>
      <c r="AW1650">
        <v>0</v>
      </c>
      <c r="AX1650">
        <v>0</v>
      </c>
      <c r="AY1650">
        <v>0</v>
      </c>
      <c r="AZ1650">
        <v>0</v>
      </c>
      <c r="BA1650">
        <v>0</v>
      </c>
      <c r="BB1650">
        <v>0</v>
      </c>
      <c r="BC1650">
        <v>0</v>
      </c>
      <c r="BD1650">
        <v>0</v>
      </c>
      <c r="BE1650">
        <v>0</v>
      </c>
      <c r="BF1650">
        <v>0</v>
      </c>
      <c r="BG1650">
        <v>0</v>
      </c>
      <c r="BH1650">
        <v>1</v>
      </c>
      <c r="BI1650">
        <v>3</v>
      </c>
      <c r="BJ1650">
        <v>4.0999999999999996</v>
      </c>
      <c r="BK1650">
        <v>4.5</v>
      </c>
      <c r="BL1650">
        <v>286.66000000000003</v>
      </c>
      <c r="BM1650">
        <v>43</v>
      </c>
      <c r="BN1650">
        <v>329.66</v>
      </c>
      <c r="BO1650">
        <v>329.66</v>
      </c>
      <c r="BQ1650" t="s">
        <v>950</v>
      </c>
      <c r="BR1650" t="s">
        <v>84</v>
      </c>
      <c r="BS1650" t="s">
        <v>189</v>
      </c>
      <c r="BV1650" t="s">
        <v>90</v>
      </c>
      <c r="BY1650">
        <v>20358</v>
      </c>
      <c r="CC1650" t="s">
        <v>154</v>
      </c>
      <c r="CD1650">
        <v>7646</v>
      </c>
      <c r="CE1650" t="s">
        <v>687</v>
      </c>
      <c r="CI1650">
        <v>1</v>
      </c>
      <c r="CJ1650" t="s">
        <v>189</v>
      </c>
      <c r="CK1650">
        <v>23</v>
      </c>
      <c r="CL1650" t="s">
        <v>90</v>
      </c>
    </row>
    <row r="1651" spans="1:90" x14ac:dyDescent="0.3">
      <c r="A1651" t="s">
        <v>72</v>
      </c>
      <c r="B1651" t="s">
        <v>73</v>
      </c>
      <c r="C1651" t="s">
        <v>74</v>
      </c>
      <c r="E1651" t="str">
        <f>"080065906014"</f>
        <v>080065906014</v>
      </c>
      <c r="F1651" s="3">
        <v>45819</v>
      </c>
      <c r="G1651">
        <v>202603</v>
      </c>
      <c r="H1651" t="s">
        <v>75</v>
      </c>
      <c r="I1651" t="s">
        <v>76</v>
      </c>
      <c r="J1651" t="s">
        <v>77</v>
      </c>
      <c r="K1651" t="s">
        <v>78</v>
      </c>
      <c r="L1651" t="s">
        <v>628</v>
      </c>
      <c r="M1651" t="s">
        <v>629</v>
      </c>
      <c r="N1651" t="s">
        <v>1726</v>
      </c>
      <c r="O1651" t="s">
        <v>82</v>
      </c>
      <c r="P1651" t="str">
        <f>"4170043607                    "</f>
        <v xml:space="preserve">4170043607                    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20.9</v>
      </c>
      <c r="AR1651">
        <v>0</v>
      </c>
      <c r="AS1651">
        <v>0</v>
      </c>
      <c r="AT1651">
        <v>0</v>
      </c>
      <c r="AU1651">
        <v>0</v>
      </c>
      <c r="AV1651">
        <v>0</v>
      </c>
      <c r="AW1651">
        <v>0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>
        <v>0</v>
      </c>
      <c r="BD1651">
        <v>0</v>
      </c>
      <c r="BE1651">
        <v>0</v>
      </c>
      <c r="BF1651">
        <v>0</v>
      </c>
      <c r="BG1651">
        <v>0</v>
      </c>
      <c r="BH1651">
        <v>1</v>
      </c>
      <c r="BI1651">
        <v>1</v>
      </c>
      <c r="BJ1651">
        <v>2</v>
      </c>
      <c r="BK1651">
        <v>2</v>
      </c>
      <c r="BL1651">
        <v>69.5</v>
      </c>
      <c r="BM1651">
        <v>10.43</v>
      </c>
      <c r="BN1651">
        <v>79.930000000000007</v>
      </c>
      <c r="BO1651">
        <v>79.930000000000007</v>
      </c>
      <c r="BQ1651" t="s">
        <v>1727</v>
      </c>
      <c r="BR1651" t="s">
        <v>84</v>
      </c>
      <c r="BS1651" t="s">
        <v>189</v>
      </c>
      <c r="BV1651" t="s">
        <v>90</v>
      </c>
      <c r="BY1651">
        <v>9918</v>
      </c>
      <c r="CC1651" t="s">
        <v>629</v>
      </c>
      <c r="CD1651">
        <v>6220</v>
      </c>
      <c r="CE1651" t="s">
        <v>687</v>
      </c>
      <c r="CI1651">
        <v>1</v>
      </c>
      <c r="CJ1651" t="s">
        <v>189</v>
      </c>
      <c r="CK1651">
        <v>21</v>
      </c>
      <c r="CL1651" t="s">
        <v>90</v>
      </c>
    </row>
    <row r="1652" spans="1:90" x14ac:dyDescent="0.3">
      <c r="A1652" t="s">
        <v>72</v>
      </c>
      <c r="B1652" t="s">
        <v>73</v>
      </c>
      <c r="C1652" t="s">
        <v>74</v>
      </c>
      <c r="E1652" t="str">
        <f>"080065906054"</f>
        <v>080065906054</v>
      </c>
      <c r="F1652" s="3">
        <v>45819</v>
      </c>
      <c r="G1652">
        <v>202603</v>
      </c>
      <c r="H1652" t="s">
        <v>75</v>
      </c>
      <c r="I1652" t="s">
        <v>76</v>
      </c>
      <c r="J1652" t="s">
        <v>77</v>
      </c>
      <c r="K1652" t="s">
        <v>78</v>
      </c>
      <c r="L1652" t="s">
        <v>628</v>
      </c>
      <c r="M1652" t="s">
        <v>629</v>
      </c>
      <c r="N1652" t="s">
        <v>630</v>
      </c>
      <c r="O1652" t="s">
        <v>82</v>
      </c>
      <c r="P1652" t="str">
        <f>"4170043551                    "</f>
        <v xml:space="preserve">4170043551                    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>
        <v>20.9</v>
      </c>
      <c r="AR1652">
        <v>0</v>
      </c>
      <c r="AS1652">
        <v>0</v>
      </c>
      <c r="AT1652">
        <v>0</v>
      </c>
      <c r="AU1652">
        <v>0</v>
      </c>
      <c r="AV1652">
        <v>0</v>
      </c>
      <c r="AW1652">
        <v>0</v>
      </c>
      <c r="AX1652">
        <v>0</v>
      </c>
      <c r="AY1652">
        <v>0</v>
      </c>
      <c r="AZ1652">
        <v>0</v>
      </c>
      <c r="BA1652">
        <v>0</v>
      </c>
      <c r="BB1652">
        <v>0</v>
      </c>
      <c r="BC1652">
        <v>0</v>
      </c>
      <c r="BD1652">
        <v>0</v>
      </c>
      <c r="BE1652">
        <v>0</v>
      </c>
      <c r="BF1652">
        <v>0</v>
      </c>
      <c r="BG1652">
        <v>0</v>
      </c>
      <c r="BH1652">
        <v>1</v>
      </c>
      <c r="BI1652">
        <v>1</v>
      </c>
      <c r="BJ1652">
        <v>2</v>
      </c>
      <c r="BK1652">
        <v>2</v>
      </c>
      <c r="BL1652">
        <v>69.5</v>
      </c>
      <c r="BM1652">
        <v>10.43</v>
      </c>
      <c r="BN1652">
        <v>79.930000000000007</v>
      </c>
      <c r="BO1652">
        <v>79.930000000000007</v>
      </c>
      <c r="BQ1652" t="s">
        <v>631</v>
      </c>
      <c r="BR1652" t="s">
        <v>84</v>
      </c>
      <c r="BS1652" t="s">
        <v>189</v>
      </c>
      <c r="BV1652" t="s">
        <v>90</v>
      </c>
      <c r="BY1652">
        <v>9918</v>
      </c>
      <c r="CC1652" t="s">
        <v>629</v>
      </c>
      <c r="CD1652">
        <v>6220</v>
      </c>
      <c r="CE1652" t="s">
        <v>687</v>
      </c>
      <c r="CI1652">
        <v>1</v>
      </c>
      <c r="CJ1652" t="s">
        <v>189</v>
      </c>
      <c r="CK1652">
        <v>21</v>
      </c>
      <c r="CL1652" t="s">
        <v>90</v>
      </c>
    </row>
    <row r="1653" spans="1:90" x14ac:dyDescent="0.3">
      <c r="A1653" t="s">
        <v>72</v>
      </c>
      <c r="B1653" t="s">
        <v>73</v>
      </c>
      <c r="C1653" t="s">
        <v>74</v>
      </c>
      <c r="E1653" t="str">
        <f>"080065906109"</f>
        <v>080065906109</v>
      </c>
      <c r="F1653" s="3">
        <v>45819</v>
      </c>
      <c r="G1653">
        <v>202603</v>
      </c>
      <c r="H1653" t="s">
        <v>75</v>
      </c>
      <c r="I1653" t="s">
        <v>76</v>
      </c>
      <c r="J1653" t="s">
        <v>77</v>
      </c>
      <c r="K1653" t="s">
        <v>78</v>
      </c>
      <c r="L1653" t="s">
        <v>266</v>
      </c>
      <c r="M1653" t="s">
        <v>267</v>
      </c>
      <c r="N1653" t="s">
        <v>946</v>
      </c>
      <c r="O1653" t="s">
        <v>82</v>
      </c>
      <c r="P1653" t="str">
        <f>"4170043553                    "</f>
        <v xml:space="preserve">4170043553                    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>
        <v>78.319999999999993</v>
      </c>
      <c r="AR1653">
        <v>0</v>
      </c>
      <c r="AS1653">
        <v>0</v>
      </c>
      <c r="AT1653">
        <v>0</v>
      </c>
      <c r="AU1653">
        <v>0</v>
      </c>
      <c r="AV1653">
        <v>0</v>
      </c>
      <c r="AW1653">
        <v>0</v>
      </c>
      <c r="AX1653">
        <v>0</v>
      </c>
      <c r="AY1653">
        <v>0</v>
      </c>
      <c r="AZ1653">
        <v>0</v>
      </c>
      <c r="BA1653">
        <v>0</v>
      </c>
      <c r="BB1653">
        <v>0</v>
      </c>
      <c r="BC1653">
        <v>0</v>
      </c>
      <c r="BD1653">
        <v>0</v>
      </c>
      <c r="BE1653">
        <v>0</v>
      </c>
      <c r="BF1653">
        <v>0</v>
      </c>
      <c r="BG1653">
        <v>0</v>
      </c>
      <c r="BH1653">
        <v>1</v>
      </c>
      <c r="BI1653">
        <v>4</v>
      </c>
      <c r="BJ1653">
        <v>7.1</v>
      </c>
      <c r="BK1653">
        <v>7.5</v>
      </c>
      <c r="BL1653">
        <v>260.45999999999998</v>
      </c>
      <c r="BM1653">
        <v>39.07</v>
      </c>
      <c r="BN1653">
        <v>299.52999999999997</v>
      </c>
      <c r="BO1653">
        <v>299.52999999999997</v>
      </c>
      <c r="BQ1653" t="s">
        <v>947</v>
      </c>
      <c r="BR1653" t="s">
        <v>84</v>
      </c>
      <c r="BS1653" t="s">
        <v>189</v>
      </c>
      <c r="BV1653" t="s">
        <v>90</v>
      </c>
      <c r="BY1653">
        <v>35670</v>
      </c>
      <c r="CC1653" t="s">
        <v>267</v>
      </c>
      <c r="CD1653">
        <v>6229</v>
      </c>
      <c r="CE1653" t="s">
        <v>166</v>
      </c>
      <c r="CI1653">
        <v>1</v>
      </c>
      <c r="CJ1653" t="s">
        <v>189</v>
      </c>
      <c r="CK1653">
        <v>21</v>
      </c>
      <c r="CL1653" t="s">
        <v>90</v>
      </c>
    </row>
    <row r="1654" spans="1:90" x14ac:dyDescent="0.3">
      <c r="A1654" t="s">
        <v>72</v>
      </c>
      <c r="B1654" t="s">
        <v>73</v>
      </c>
      <c r="C1654" t="s">
        <v>74</v>
      </c>
      <c r="E1654" t="str">
        <f>"080065906118"</f>
        <v>080065906118</v>
      </c>
      <c r="F1654" s="3">
        <v>45819</v>
      </c>
      <c r="G1654">
        <v>202603</v>
      </c>
      <c r="H1654" t="s">
        <v>75</v>
      </c>
      <c r="I1654" t="s">
        <v>76</v>
      </c>
      <c r="J1654" t="s">
        <v>77</v>
      </c>
      <c r="K1654" t="s">
        <v>78</v>
      </c>
      <c r="L1654" t="s">
        <v>91</v>
      </c>
      <c r="M1654" t="s">
        <v>92</v>
      </c>
      <c r="N1654" t="s">
        <v>2157</v>
      </c>
      <c r="O1654" t="s">
        <v>82</v>
      </c>
      <c r="P1654" t="str">
        <f>"4170043557                    "</f>
        <v xml:space="preserve">4170043557                    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20.9</v>
      </c>
      <c r="AR1654">
        <v>0</v>
      </c>
      <c r="AS1654">
        <v>0</v>
      </c>
      <c r="AT1654">
        <v>0</v>
      </c>
      <c r="AU1654">
        <v>0</v>
      </c>
      <c r="AV1654">
        <v>0</v>
      </c>
      <c r="AW1654">
        <v>0</v>
      </c>
      <c r="AX1654">
        <v>0</v>
      </c>
      <c r="AY1654">
        <v>0</v>
      </c>
      <c r="AZ1654">
        <v>0</v>
      </c>
      <c r="BA1654">
        <v>0</v>
      </c>
      <c r="BB1654">
        <v>0</v>
      </c>
      <c r="BC1654">
        <v>0</v>
      </c>
      <c r="BD1654">
        <v>0</v>
      </c>
      <c r="BE1654">
        <v>0</v>
      </c>
      <c r="BF1654">
        <v>0</v>
      </c>
      <c r="BG1654">
        <v>0</v>
      </c>
      <c r="BH1654">
        <v>1</v>
      </c>
      <c r="BI1654">
        <v>1</v>
      </c>
      <c r="BJ1654">
        <v>0.2</v>
      </c>
      <c r="BK1654">
        <v>1</v>
      </c>
      <c r="BL1654">
        <v>69.5</v>
      </c>
      <c r="BM1654">
        <v>10.43</v>
      </c>
      <c r="BN1654">
        <v>79.930000000000007</v>
      </c>
      <c r="BO1654">
        <v>79.930000000000007</v>
      </c>
      <c r="BQ1654" t="s">
        <v>2158</v>
      </c>
      <c r="BR1654" t="s">
        <v>84</v>
      </c>
      <c r="BS1654" t="s">
        <v>189</v>
      </c>
      <c r="BV1654" t="s">
        <v>90</v>
      </c>
      <c r="BY1654">
        <v>1200</v>
      </c>
      <c r="CC1654" t="s">
        <v>92</v>
      </c>
      <c r="CD1654">
        <v>7945</v>
      </c>
      <c r="CE1654" t="s">
        <v>215</v>
      </c>
      <c r="CI1654">
        <v>1</v>
      </c>
      <c r="CJ1654" t="s">
        <v>189</v>
      </c>
      <c r="CK1654">
        <v>21</v>
      </c>
      <c r="CL1654" t="s">
        <v>90</v>
      </c>
    </row>
    <row r="1655" spans="1:90" x14ac:dyDescent="0.3">
      <c r="A1655" t="s">
        <v>72</v>
      </c>
      <c r="B1655" t="s">
        <v>73</v>
      </c>
      <c r="C1655" t="s">
        <v>74</v>
      </c>
      <c r="E1655" t="str">
        <f>"080065906150"</f>
        <v>080065906150</v>
      </c>
      <c r="F1655" s="3">
        <v>45819</v>
      </c>
      <c r="G1655">
        <v>202603</v>
      </c>
      <c r="H1655" t="s">
        <v>75</v>
      </c>
      <c r="I1655" t="s">
        <v>76</v>
      </c>
      <c r="J1655" t="s">
        <v>77</v>
      </c>
      <c r="K1655" t="s">
        <v>78</v>
      </c>
      <c r="L1655" t="s">
        <v>2159</v>
      </c>
      <c r="M1655" t="s">
        <v>2160</v>
      </c>
      <c r="N1655" t="s">
        <v>2161</v>
      </c>
      <c r="O1655" t="s">
        <v>82</v>
      </c>
      <c r="P1655" t="str">
        <f>"4170043537                    "</f>
        <v xml:space="preserve">4170043537                    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>
        <v>40.49</v>
      </c>
      <c r="AR1655">
        <v>0</v>
      </c>
      <c r="AS1655">
        <v>0</v>
      </c>
      <c r="AT1655">
        <v>0</v>
      </c>
      <c r="AU1655">
        <v>0</v>
      </c>
      <c r="AV1655">
        <v>0</v>
      </c>
      <c r="AW1655">
        <v>0</v>
      </c>
      <c r="AX1655">
        <v>0</v>
      </c>
      <c r="AY1655">
        <v>0</v>
      </c>
      <c r="AZ1655">
        <v>0</v>
      </c>
      <c r="BA1655">
        <v>0</v>
      </c>
      <c r="BB1655">
        <v>0</v>
      </c>
      <c r="BC1655">
        <v>0</v>
      </c>
      <c r="BD1655">
        <v>0</v>
      </c>
      <c r="BE1655">
        <v>0</v>
      </c>
      <c r="BF1655">
        <v>0</v>
      </c>
      <c r="BG1655">
        <v>0</v>
      </c>
      <c r="BH1655">
        <v>1</v>
      </c>
      <c r="BI1655">
        <v>1</v>
      </c>
      <c r="BJ1655">
        <v>0.2</v>
      </c>
      <c r="BK1655">
        <v>1</v>
      </c>
      <c r="BL1655">
        <v>134.65</v>
      </c>
      <c r="BM1655">
        <v>20.2</v>
      </c>
      <c r="BN1655">
        <v>154.85</v>
      </c>
      <c r="BO1655">
        <v>154.85</v>
      </c>
      <c r="BQ1655" t="s">
        <v>2162</v>
      </c>
      <c r="BR1655" t="s">
        <v>84</v>
      </c>
      <c r="BS1655" t="s">
        <v>189</v>
      </c>
      <c r="BV1655" t="s">
        <v>90</v>
      </c>
      <c r="BY1655">
        <v>1200</v>
      </c>
      <c r="CC1655" t="s">
        <v>2160</v>
      </c>
      <c r="CD1655">
        <v>6740</v>
      </c>
      <c r="CE1655" t="s">
        <v>215</v>
      </c>
      <c r="CI1655">
        <v>2</v>
      </c>
      <c r="CJ1655" t="s">
        <v>189</v>
      </c>
      <c r="CK1655">
        <v>23</v>
      </c>
      <c r="CL1655" t="s">
        <v>90</v>
      </c>
    </row>
    <row r="1656" spans="1:90" x14ac:dyDescent="0.3">
      <c r="A1656" t="s">
        <v>72</v>
      </c>
      <c r="B1656" t="s">
        <v>73</v>
      </c>
      <c r="C1656" t="s">
        <v>74</v>
      </c>
      <c r="E1656" t="str">
        <f>"080065906166"</f>
        <v>080065906166</v>
      </c>
      <c r="F1656" s="3">
        <v>45819</v>
      </c>
      <c r="G1656">
        <v>202603</v>
      </c>
      <c r="H1656" t="s">
        <v>75</v>
      </c>
      <c r="I1656" t="s">
        <v>76</v>
      </c>
      <c r="J1656" t="s">
        <v>77</v>
      </c>
      <c r="K1656" t="s">
        <v>78</v>
      </c>
      <c r="L1656" t="s">
        <v>159</v>
      </c>
      <c r="M1656" t="s">
        <v>160</v>
      </c>
      <c r="N1656" t="s">
        <v>2163</v>
      </c>
      <c r="O1656" t="s">
        <v>82</v>
      </c>
      <c r="P1656" t="str">
        <f>"4170043542                    "</f>
        <v xml:space="preserve">4170043542                    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16.32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0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>
        <v>0</v>
      </c>
      <c r="BD1656">
        <v>0</v>
      </c>
      <c r="BE1656">
        <v>0</v>
      </c>
      <c r="BF1656">
        <v>0</v>
      </c>
      <c r="BG1656">
        <v>0</v>
      </c>
      <c r="BH1656">
        <v>1</v>
      </c>
      <c r="BI1656">
        <v>1</v>
      </c>
      <c r="BJ1656">
        <v>0.2</v>
      </c>
      <c r="BK1656">
        <v>1</v>
      </c>
      <c r="BL1656">
        <v>54.28</v>
      </c>
      <c r="BM1656">
        <v>8.14</v>
      </c>
      <c r="BN1656">
        <v>62.42</v>
      </c>
      <c r="BO1656">
        <v>62.42</v>
      </c>
      <c r="BQ1656" t="s">
        <v>2164</v>
      </c>
      <c r="BR1656" t="s">
        <v>84</v>
      </c>
      <c r="BS1656" t="s">
        <v>189</v>
      </c>
      <c r="BV1656" t="s">
        <v>90</v>
      </c>
      <c r="BY1656">
        <v>1200</v>
      </c>
      <c r="CC1656" t="s">
        <v>160</v>
      </c>
      <c r="CD1656">
        <v>2056</v>
      </c>
      <c r="CE1656" t="s">
        <v>1823</v>
      </c>
      <c r="CI1656">
        <v>1</v>
      </c>
      <c r="CJ1656" t="s">
        <v>189</v>
      </c>
      <c r="CK1656">
        <v>22</v>
      </c>
      <c r="CL1656" t="s">
        <v>90</v>
      </c>
    </row>
    <row r="1657" spans="1:90" x14ac:dyDescent="0.3">
      <c r="A1657" t="s">
        <v>72</v>
      </c>
      <c r="B1657" t="s">
        <v>73</v>
      </c>
      <c r="C1657" t="s">
        <v>74</v>
      </c>
      <c r="E1657" t="str">
        <f>"080065906191"</f>
        <v>080065906191</v>
      </c>
      <c r="F1657" s="3">
        <v>45819</v>
      </c>
      <c r="G1657">
        <v>202603</v>
      </c>
      <c r="H1657" t="s">
        <v>75</v>
      </c>
      <c r="I1657" t="s">
        <v>76</v>
      </c>
      <c r="J1657" t="s">
        <v>77</v>
      </c>
      <c r="K1657" t="s">
        <v>78</v>
      </c>
      <c r="L1657" t="s">
        <v>331</v>
      </c>
      <c r="M1657" t="s">
        <v>332</v>
      </c>
      <c r="N1657" t="s">
        <v>484</v>
      </c>
      <c r="O1657" t="s">
        <v>82</v>
      </c>
      <c r="P1657" t="str">
        <f>"4170043544                    "</f>
        <v xml:space="preserve">4170043544                    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20.9</v>
      </c>
      <c r="AR1657">
        <v>0</v>
      </c>
      <c r="AS1657">
        <v>0</v>
      </c>
      <c r="AT1657">
        <v>0</v>
      </c>
      <c r="AU1657">
        <v>0</v>
      </c>
      <c r="AV1657">
        <v>0</v>
      </c>
      <c r="AW1657">
        <v>0</v>
      </c>
      <c r="AX1657">
        <v>0</v>
      </c>
      <c r="AY1657">
        <v>0</v>
      </c>
      <c r="AZ1657">
        <v>0</v>
      </c>
      <c r="BA1657">
        <v>0</v>
      </c>
      <c r="BB1657">
        <v>0</v>
      </c>
      <c r="BC1657">
        <v>0</v>
      </c>
      <c r="BD1657">
        <v>0</v>
      </c>
      <c r="BE1657">
        <v>0</v>
      </c>
      <c r="BF1657">
        <v>0</v>
      </c>
      <c r="BG1657">
        <v>0</v>
      </c>
      <c r="BH1657">
        <v>1</v>
      </c>
      <c r="BI1657">
        <v>1</v>
      </c>
      <c r="BJ1657">
        <v>0.2</v>
      </c>
      <c r="BK1657">
        <v>1</v>
      </c>
      <c r="BL1657">
        <v>69.5</v>
      </c>
      <c r="BM1657">
        <v>10.43</v>
      </c>
      <c r="BN1657">
        <v>79.930000000000007</v>
      </c>
      <c r="BO1657">
        <v>79.930000000000007</v>
      </c>
      <c r="BQ1657" t="s">
        <v>485</v>
      </c>
      <c r="BR1657" t="s">
        <v>84</v>
      </c>
      <c r="BS1657" t="s">
        <v>189</v>
      </c>
      <c r="BV1657" t="s">
        <v>90</v>
      </c>
      <c r="BY1657">
        <v>1200</v>
      </c>
      <c r="CC1657" t="s">
        <v>332</v>
      </c>
      <c r="CD1657">
        <v>4052</v>
      </c>
      <c r="CE1657" t="s">
        <v>215</v>
      </c>
      <c r="CI1657">
        <v>1</v>
      </c>
      <c r="CJ1657" t="s">
        <v>189</v>
      </c>
      <c r="CK1657">
        <v>21</v>
      </c>
      <c r="CL1657" t="s">
        <v>90</v>
      </c>
    </row>
    <row r="1658" spans="1:90" x14ac:dyDescent="0.3">
      <c r="A1658" t="s">
        <v>72</v>
      </c>
      <c r="B1658" t="s">
        <v>73</v>
      </c>
      <c r="C1658" t="s">
        <v>74</v>
      </c>
      <c r="E1658" t="str">
        <f>"080065906220"</f>
        <v>080065906220</v>
      </c>
      <c r="F1658" s="3">
        <v>45819</v>
      </c>
      <c r="G1658">
        <v>202603</v>
      </c>
      <c r="H1658" t="s">
        <v>75</v>
      </c>
      <c r="I1658" t="s">
        <v>76</v>
      </c>
      <c r="J1658" t="s">
        <v>77</v>
      </c>
      <c r="K1658" t="s">
        <v>78</v>
      </c>
      <c r="L1658" t="s">
        <v>91</v>
      </c>
      <c r="M1658" t="s">
        <v>92</v>
      </c>
      <c r="N1658" t="s">
        <v>327</v>
      </c>
      <c r="O1658" t="s">
        <v>82</v>
      </c>
      <c r="P1658" t="str">
        <f>"4170043563                    "</f>
        <v xml:space="preserve">4170043563                    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20.9</v>
      </c>
      <c r="AR1658">
        <v>0</v>
      </c>
      <c r="AS1658">
        <v>0</v>
      </c>
      <c r="AT1658">
        <v>0</v>
      </c>
      <c r="AU1658">
        <v>0</v>
      </c>
      <c r="AV1658">
        <v>0</v>
      </c>
      <c r="AW1658">
        <v>0</v>
      </c>
      <c r="AX1658">
        <v>0</v>
      </c>
      <c r="AY1658">
        <v>0</v>
      </c>
      <c r="AZ1658">
        <v>0</v>
      </c>
      <c r="BA1658">
        <v>0</v>
      </c>
      <c r="BB1658">
        <v>0</v>
      </c>
      <c r="BC1658">
        <v>0</v>
      </c>
      <c r="BD1658">
        <v>0</v>
      </c>
      <c r="BE1658">
        <v>0</v>
      </c>
      <c r="BF1658">
        <v>0</v>
      </c>
      <c r="BG1658">
        <v>0</v>
      </c>
      <c r="BH1658">
        <v>1</v>
      </c>
      <c r="BI1658">
        <v>1</v>
      </c>
      <c r="BJ1658">
        <v>0.2</v>
      </c>
      <c r="BK1658">
        <v>1</v>
      </c>
      <c r="BL1658">
        <v>69.5</v>
      </c>
      <c r="BM1658">
        <v>10.43</v>
      </c>
      <c r="BN1658">
        <v>79.930000000000007</v>
      </c>
      <c r="BO1658">
        <v>79.930000000000007</v>
      </c>
      <c r="BQ1658" t="s">
        <v>328</v>
      </c>
      <c r="BR1658" t="s">
        <v>84</v>
      </c>
      <c r="BS1658" s="3">
        <v>45820</v>
      </c>
      <c r="BT1658" s="4">
        <v>0.33541666666666664</v>
      </c>
      <c r="BU1658" t="s">
        <v>1035</v>
      </c>
      <c r="BV1658" t="s">
        <v>86</v>
      </c>
      <c r="BY1658">
        <v>1200</v>
      </c>
      <c r="CA1658" t="s">
        <v>330</v>
      </c>
      <c r="CC1658" t="s">
        <v>92</v>
      </c>
      <c r="CD1658">
        <v>7530</v>
      </c>
      <c r="CE1658" t="s">
        <v>215</v>
      </c>
      <c r="CI1658">
        <v>1</v>
      </c>
      <c r="CJ1658">
        <v>1</v>
      </c>
      <c r="CK1658">
        <v>21</v>
      </c>
      <c r="CL1658" t="s">
        <v>90</v>
      </c>
    </row>
    <row r="1659" spans="1:90" x14ac:dyDescent="0.3">
      <c r="A1659" t="s">
        <v>72</v>
      </c>
      <c r="B1659" t="s">
        <v>73</v>
      </c>
      <c r="C1659" t="s">
        <v>74</v>
      </c>
      <c r="E1659" t="str">
        <f>"080065906238"</f>
        <v>080065906238</v>
      </c>
      <c r="F1659" s="3">
        <v>45819</v>
      </c>
      <c r="G1659">
        <v>202603</v>
      </c>
      <c r="H1659" t="s">
        <v>75</v>
      </c>
      <c r="I1659" t="s">
        <v>76</v>
      </c>
      <c r="J1659" t="s">
        <v>77</v>
      </c>
      <c r="K1659" t="s">
        <v>78</v>
      </c>
      <c r="L1659" t="s">
        <v>106</v>
      </c>
      <c r="M1659" t="s">
        <v>107</v>
      </c>
      <c r="N1659" t="s">
        <v>1141</v>
      </c>
      <c r="O1659" t="s">
        <v>82</v>
      </c>
      <c r="P1659" t="str">
        <f>"4170043356                    "</f>
        <v xml:space="preserve">4170043356                    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Q1659">
        <v>20.9</v>
      </c>
      <c r="AR1659">
        <v>0</v>
      </c>
      <c r="AS1659">
        <v>0</v>
      </c>
      <c r="AT1659">
        <v>0</v>
      </c>
      <c r="AU1659">
        <v>0</v>
      </c>
      <c r="AV1659">
        <v>0</v>
      </c>
      <c r="AW1659">
        <v>0</v>
      </c>
      <c r="AX1659">
        <v>0</v>
      </c>
      <c r="AY1659">
        <v>0</v>
      </c>
      <c r="AZ1659">
        <v>0</v>
      </c>
      <c r="BA1659">
        <v>0</v>
      </c>
      <c r="BB1659">
        <v>0</v>
      </c>
      <c r="BC1659">
        <v>0</v>
      </c>
      <c r="BD1659">
        <v>0</v>
      </c>
      <c r="BE1659">
        <v>0</v>
      </c>
      <c r="BF1659">
        <v>0</v>
      </c>
      <c r="BG1659">
        <v>0</v>
      </c>
      <c r="BH1659">
        <v>1</v>
      </c>
      <c r="BI1659">
        <v>1</v>
      </c>
      <c r="BJ1659">
        <v>0.2</v>
      </c>
      <c r="BK1659">
        <v>1</v>
      </c>
      <c r="BL1659">
        <v>69.5</v>
      </c>
      <c r="BM1659">
        <v>10.43</v>
      </c>
      <c r="BN1659">
        <v>79.930000000000007</v>
      </c>
      <c r="BO1659">
        <v>79.930000000000007</v>
      </c>
      <c r="BQ1659" t="s">
        <v>1142</v>
      </c>
      <c r="BR1659" t="s">
        <v>84</v>
      </c>
      <c r="BS1659" t="s">
        <v>189</v>
      </c>
      <c r="BV1659" t="s">
        <v>90</v>
      </c>
      <c r="BY1659">
        <v>1200</v>
      </c>
      <c r="CC1659" t="s">
        <v>107</v>
      </c>
      <c r="CD1659">
        <v>184</v>
      </c>
      <c r="CE1659" t="s">
        <v>215</v>
      </c>
      <c r="CI1659">
        <v>1</v>
      </c>
      <c r="CJ1659" t="s">
        <v>189</v>
      </c>
      <c r="CK1659">
        <v>21</v>
      </c>
      <c r="CL1659" t="s">
        <v>90</v>
      </c>
    </row>
    <row r="1660" spans="1:90" x14ac:dyDescent="0.3">
      <c r="A1660" t="s">
        <v>72</v>
      </c>
      <c r="B1660" t="s">
        <v>73</v>
      </c>
      <c r="C1660" t="s">
        <v>74</v>
      </c>
      <c r="E1660" t="str">
        <f>"080065906287"</f>
        <v>080065906287</v>
      </c>
      <c r="F1660" s="3">
        <v>45819</v>
      </c>
      <c r="G1660">
        <v>202603</v>
      </c>
      <c r="H1660" t="s">
        <v>75</v>
      </c>
      <c r="I1660" t="s">
        <v>76</v>
      </c>
      <c r="J1660" t="s">
        <v>77</v>
      </c>
      <c r="K1660" t="s">
        <v>78</v>
      </c>
      <c r="L1660" t="s">
        <v>1939</v>
      </c>
      <c r="M1660" t="s">
        <v>1940</v>
      </c>
      <c r="N1660" t="s">
        <v>1941</v>
      </c>
      <c r="O1660" t="s">
        <v>82</v>
      </c>
      <c r="P1660" t="str">
        <f>"4170043603                    "</f>
        <v xml:space="preserve">4170043603                    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>
        <v>86.2</v>
      </c>
      <c r="AR1660">
        <v>0</v>
      </c>
      <c r="AS1660">
        <v>0</v>
      </c>
      <c r="AT1660">
        <v>0</v>
      </c>
      <c r="AU1660">
        <v>0</v>
      </c>
      <c r="AV1660">
        <v>0</v>
      </c>
      <c r="AW1660">
        <v>0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>
        <v>0</v>
      </c>
      <c r="BD1660">
        <v>0</v>
      </c>
      <c r="BE1660">
        <v>0</v>
      </c>
      <c r="BF1660">
        <v>0</v>
      </c>
      <c r="BG1660">
        <v>0</v>
      </c>
      <c r="BH1660">
        <v>1</v>
      </c>
      <c r="BI1660">
        <v>2</v>
      </c>
      <c r="BJ1660">
        <v>4.5</v>
      </c>
      <c r="BK1660">
        <v>4.5</v>
      </c>
      <c r="BL1660">
        <v>286.66000000000003</v>
      </c>
      <c r="BM1660">
        <v>43</v>
      </c>
      <c r="BN1660">
        <v>329.66</v>
      </c>
      <c r="BO1660">
        <v>329.66</v>
      </c>
      <c r="BQ1660" t="s">
        <v>1942</v>
      </c>
      <c r="BR1660" t="s">
        <v>84</v>
      </c>
      <c r="BS1660" t="s">
        <v>189</v>
      </c>
      <c r="BV1660" t="s">
        <v>90</v>
      </c>
      <c r="BY1660">
        <v>22620</v>
      </c>
      <c r="CC1660" t="s">
        <v>1940</v>
      </c>
      <c r="CD1660">
        <v>2380</v>
      </c>
      <c r="CE1660" t="s">
        <v>687</v>
      </c>
      <c r="CI1660">
        <v>1</v>
      </c>
      <c r="CJ1660" t="s">
        <v>189</v>
      </c>
      <c r="CK1660">
        <v>23</v>
      </c>
      <c r="CL1660" t="s">
        <v>90</v>
      </c>
    </row>
    <row r="1661" spans="1:90" x14ac:dyDescent="0.3">
      <c r="A1661" t="s">
        <v>72</v>
      </c>
      <c r="B1661" t="s">
        <v>73</v>
      </c>
      <c r="C1661" t="s">
        <v>74</v>
      </c>
      <c r="E1661" t="str">
        <f>"080065906295"</f>
        <v>080065906295</v>
      </c>
      <c r="F1661" s="3">
        <v>45819</v>
      </c>
      <c r="G1661">
        <v>202603</v>
      </c>
      <c r="H1661" t="s">
        <v>75</v>
      </c>
      <c r="I1661" t="s">
        <v>76</v>
      </c>
      <c r="J1661" t="s">
        <v>77</v>
      </c>
      <c r="K1661" t="s">
        <v>78</v>
      </c>
      <c r="L1661" t="s">
        <v>302</v>
      </c>
      <c r="M1661" t="s">
        <v>303</v>
      </c>
      <c r="N1661" t="s">
        <v>649</v>
      </c>
      <c r="O1661" t="s">
        <v>82</v>
      </c>
      <c r="P1661" t="str">
        <f>"4170043511                    "</f>
        <v xml:space="preserve">4170043511                    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40.49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0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>
        <v>0</v>
      </c>
      <c r="BD1661">
        <v>0</v>
      </c>
      <c r="BE1661">
        <v>0</v>
      </c>
      <c r="BF1661">
        <v>0</v>
      </c>
      <c r="BG1661">
        <v>0</v>
      </c>
      <c r="BH1661">
        <v>1</v>
      </c>
      <c r="BI1661">
        <v>1</v>
      </c>
      <c r="BJ1661">
        <v>2</v>
      </c>
      <c r="BK1661">
        <v>2</v>
      </c>
      <c r="BL1661">
        <v>134.65</v>
      </c>
      <c r="BM1661">
        <v>20.2</v>
      </c>
      <c r="BN1661">
        <v>154.85</v>
      </c>
      <c r="BO1661">
        <v>154.85</v>
      </c>
      <c r="BQ1661" t="s">
        <v>650</v>
      </c>
      <c r="BR1661" t="s">
        <v>84</v>
      </c>
      <c r="BS1661" t="s">
        <v>189</v>
      </c>
      <c r="BV1661" t="s">
        <v>90</v>
      </c>
      <c r="BY1661">
        <v>9918</v>
      </c>
      <c r="CC1661" t="s">
        <v>303</v>
      </c>
      <c r="CD1661">
        <v>300</v>
      </c>
      <c r="CE1661" t="s">
        <v>687</v>
      </c>
      <c r="CI1661">
        <v>1</v>
      </c>
      <c r="CJ1661" t="s">
        <v>189</v>
      </c>
      <c r="CK1661">
        <v>23</v>
      </c>
      <c r="CL1661" t="s">
        <v>90</v>
      </c>
    </row>
    <row r="1662" spans="1:90" x14ac:dyDescent="0.3">
      <c r="A1662" t="s">
        <v>72</v>
      </c>
      <c r="B1662" t="s">
        <v>73</v>
      </c>
      <c r="C1662" t="s">
        <v>74</v>
      </c>
      <c r="E1662" t="str">
        <f>"080065906332"</f>
        <v>080065906332</v>
      </c>
      <c r="F1662" s="3">
        <v>45819</v>
      </c>
      <c r="G1662">
        <v>202603</v>
      </c>
      <c r="H1662" t="s">
        <v>75</v>
      </c>
      <c r="I1662" t="s">
        <v>76</v>
      </c>
      <c r="J1662" t="s">
        <v>77</v>
      </c>
      <c r="K1662" t="s">
        <v>78</v>
      </c>
      <c r="L1662" t="s">
        <v>331</v>
      </c>
      <c r="M1662" t="s">
        <v>332</v>
      </c>
      <c r="N1662" t="s">
        <v>1084</v>
      </c>
      <c r="O1662" t="s">
        <v>82</v>
      </c>
      <c r="P1662" t="str">
        <f>"4170043540                    "</f>
        <v xml:space="preserve">4170043540                    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20.9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0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>
        <v>0</v>
      </c>
      <c r="BD1662">
        <v>0</v>
      </c>
      <c r="BE1662">
        <v>0</v>
      </c>
      <c r="BF1662">
        <v>0</v>
      </c>
      <c r="BG1662">
        <v>0</v>
      </c>
      <c r="BH1662">
        <v>1</v>
      </c>
      <c r="BI1662">
        <v>1</v>
      </c>
      <c r="BJ1662">
        <v>0.2</v>
      </c>
      <c r="BK1662">
        <v>1</v>
      </c>
      <c r="BL1662">
        <v>69.5</v>
      </c>
      <c r="BM1662">
        <v>10.43</v>
      </c>
      <c r="BN1662">
        <v>79.930000000000007</v>
      </c>
      <c r="BO1662">
        <v>79.930000000000007</v>
      </c>
      <c r="BQ1662" t="s">
        <v>1085</v>
      </c>
      <c r="BR1662" t="s">
        <v>84</v>
      </c>
      <c r="BS1662" t="s">
        <v>189</v>
      </c>
      <c r="BV1662" t="s">
        <v>90</v>
      </c>
      <c r="BY1662">
        <v>1200</v>
      </c>
      <c r="CC1662" t="s">
        <v>332</v>
      </c>
      <c r="CD1662">
        <v>4000</v>
      </c>
      <c r="CE1662" t="s">
        <v>215</v>
      </c>
      <c r="CI1662">
        <v>1</v>
      </c>
      <c r="CJ1662" t="s">
        <v>189</v>
      </c>
      <c r="CK1662">
        <v>21</v>
      </c>
      <c r="CL1662" t="s">
        <v>90</v>
      </c>
    </row>
    <row r="1663" spans="1:90" x14ac:dyDescent="0.3">
      <c r="A1663" t="s">
        <v>72</v>
      </c>
      <c r="B1663" t="s">
        <v>73</v>
      </c>
      <c r="C1663" t="s">
        <v>74</v>
      </c>
      <c r="E1663" t="str">
        <f>"080065906334"</f>
        <v>080065906334</v>
      </c>
      <c r="F1663" s="3">
        <v>45819</v>
      </c>
      <c r="G1663">
        <v>202603</v>
      </c>
      <c r="H1663" t="s">
        <v>75</v>
      </c>
      <c r="I1663" t="s">
        <v>76</v>
      </c>
      <c r="J1663" t="s">
        <v>77</v>
      </c>
      <c r="K1663" t="s">
        <v>78</v>
      </c>
      <c r="L1663" t="s">
        <v>136</v>
      </c>
      <c r="M1663" t="s">
        <v>137</v>
      </c>
      <c r="N1663" t="s">
        <v>317</v>
      </c>
      <c r="O1663" t="s">
        <v>82</v>
      </c>
      <c r="P1663" t="str">
        <f>"4170043525                    "</f>
        <v xml:space="preserve">4170043525                    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20.9</v>
      </c>
      <c r="AR1663">
        <v>0</v>
      </c>
      <c r="AS1663">
        <v>0</v>
      </c>
      <c r="AT1663">
        <v>0</v>
      </c>
      <c r="AU1663">
        <v>0</v>
      </c>
      <c r="AV1663">
        <v>0</v>
      </c>
      <c r="AW1663">
        <v>0</v>
      </c>
      <c r="AX1663">
        <v>0</v>
      </c>
      <c r="AY1663">
        <v>0</v>
      </c>
      <c r="AZ1663">
        <v>0</v>
      </c>
      <c r="BA1663">
        <v>0</v>
      </c>
      <c r="BB1663">
        <v>0</v>
      </c>
      <c r="BC1663">
        <v>0</v>
      </c>
      <c r="BD1663">
        <v>0</v>
      </c>
      <c r="BE1663">
        <v>0</v>
      </c>
      <c r="BF1663">
        <v>0</v>
      </c>
      <c r="BG1663">
        <v>0</v>
      </c>
      <c r="BH1663">
        <v>1</v>
      </c>
      <c r="BI1663">
        <v>2</v>
      </c>
      <c r="BJ1663">
        <v>0.9</v>
      </c>
      <c r="BK1663">
        <v>2</v>
      </c>
      <c r="BL1663">
        <v>69.5</v>
      </c>
      <c r="BM1663">
        <v>10.43</v>
      </c>
      <c r="BN1663">
        <v>79.930000000000007</v>
      </c>
      <c r="BO1663">
        <v>79.930000000000007</v>
      </c>
      <c r="BQ1663" t="s">
        <v>318</v>
      </c>
      <c r="BR1663" t="s">
        <v>84</v>
      </c>
      <c r="BS1663" t="s">
        <v>189</v>
      </c>
      <c r="BV1663" t="s">
        <v>90</v>
      </c>
      <c r="BY1663">
        <v>4680</v>
      </c>
      <c r="CC1663" t="s">
        <v>137</v>
      </c>
      <c r="CD1663">
        <v>5201</v>
      </c>
      <c r="CE1663" t="s">
        <v>687</v>
      </c>
      <c r="CI1663">
        <v>1</v>
      </c>
      <c r="CJ1663" t="s">
        <v>189</v>
      </c>
      <c r="CK1663">
        <v>21</v>
      </c>
      <c r="CL1663" t="s">
        <v>90</v>
      </c>
    </row>
    <row r="1664" spans="1:90" x14ac:dyDescent="0.3">
      <c r="A1664" t="s">
        <v>72</v>
      </c>
      <c r="B1664" t="s">
        <v>73</v>
      </c>
      <c r="C1664" t="s">
        <v>74</v>
      </c>
      <c r="E1664" t="str">
        <f>"080065906355"</f>
        <v>080065906355</v>
      </c>
      <c r="F1664" s="3">
        <v>45819</v>
      </c>
      <c r="G1664">
        <v>202603</v>
      </c>
      <c r="H1664" t="s">
        <v>75</v>
      </c>
      <c r="I1664" t="s">
        <v>76</v>
      </c>
      <c r="J1664" t="s">
        <v>77</v>
      </c>
      <c r="K1664" t="s">
        <v>78</v>
      </c>
      <c r="L1664" t="s">
        <v>75</v>
      </c>
      <c r="M1664" t="s">
        <v>76</v>
      </c>
      <c r="N1664" t="s">
        <v>112</v>
      </c>
      <c r="O1664" t="s">
        <v>82</v>
      </c>
      <c r="P1664" t="str">
        <f>"4170043499                    "</f>
        <v xml:space="preserve">4170043499                    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16.32</v>
      </c>
      <c r="AR1664">
        <v>0</v>
      </c>
      <c r="AS1664">
        <v>0</v>
      </c>
      <c r="AT1664">
        <v>0</v>
      </c>
      <c r="AU1664">
        <v>0</v>
      </c>
      <c r="AV1664">
        <v>0</v>
      </c>
      <c r="AW1664">
        <v>0</v>
      </c>
      <c r="AX1664">
        <v>0</v>
      </c>
      <c r="AY1664">
        <v>0</v>
      </c>
      <c r="AZ1664">
        <v>0</v>
      </c>
      <c r="BA1664">
        <v>0</v>
      </c>
      <c r="BB1664">
        <v>0</v>
      </c>
      <c r="BC1664">
        <v>0</v>
      </c>
      <c r="BD1664">
        <v>0</v>
      </c>
      <c r="BE1664">
        <v>0</v>
      </c>
      <c r="BF1664">
        <v>0</v>
      </c>
      <c r="BG1664">
        <v>0</v>
      </c>
      <c r="BH1664">
        <v>1</v>
      </c>
      <c r="BI1664">
        <v>1</v>
      </c>
      <c r="BJ1664">
        <v>0.2</v>
      </c>
      <c r="BK1664">
        <v>1</v>
      </c>
      <c r="BL1664">
        <v>54.28</v>
      </c>
      <c r="BM1664">
        <v>8.14</v>
      </c>
      <c r="BN1664">
        <v>62.42</v>
      </c>
      <c r="BO1664">
        <v>62.42</v>
      </c>
      <c r="BQ1664" t="s">
        <v>113</v>
      </c>
      <c r="BR1664" t="s">
        <v>84</v>
      </c>
      <c r="BS1664" t="s">
        <v>189</v>
      </c>
      <c r="BV1664" t="s">
        <v>90</v>
      </c>
      <c r="BY1664">
        <v>1200</v>
      </c>
      <c r="CC1664" t="s">
        <v>76</v>
      </c>
      <c r="CD1664">
        <v>1600</v>
      </c>
      <c r="CE1664" t="s">
        <v>215</v>
      </c>
      <c r="CI1664">
        <v>1</v>
      </c>
      <c r="CJ1664" t="s">
        <v>189</v>
      </c>
      <c r="CK1664">
        <v>22</v>
      </c>
      <c r="CL1664" t="s">
        <v>90</v>
      </c>
    </row>
    <row r="1665" spans="1:90" x14ac:dyDescent="0.3">
      <c r="A1665" t="s">
        <v>72</v>
      </c>
      <c r="B1665" t="s">
        <v>73</v>
      </c>
      <c r="C1665" t="s">
        <v>74</v>
      </c>
      <c r="E1665" t="str">
        <f>"080065906368"</f>
        <v>080065906368</v>
      </c>
      <c r="F1665" s="3">
        <v>45819</v>
      </c>
      <c r="G1665">
        <v>202603</v>
      </c>
      <c r="H1665" t="s">
        <v>75</v>
      </c>
      <c r="I1665" t="s">
        <v>76</v>
      </c>
      <c r="J1665" t="s">
        <v>77</v>
      </c>
      <c r="K1665" t="s">
        <v>78</v>
      </c>
      <c r="L1665" t="s">
        <v>1097</v>
      </c>
      <c r="M1665" t="s">
        <v>1098</v>
      </c>
      <c r="N1665" t="s">
        <v>236</v>
      </c>
      <c r="O1665" t="s">
        <v>82</v>
      </c>
      <c r="P1665" t="str">
        <f>"4170043497                    "</f>
        <v xml:space="preserve">4170043497                    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16.32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0</v>
      </c>
      <c r="AX1665">
        <v>0</v>
      </c>
      <c r="AY1665">
        <v>0</v>
      </c>
      <c r="AZ1665">
        <v>0</v>
      </c>
      <c r="BA1665">
        <v>0</v>
      </c>
      <c r="BB1665">
        <v>0</v>
      </c>
      <c r="BC1665">
        <v>0</v>
      </c>
      <c r="BD1665">
        <v>0</v>
      </c>
      <c r="BE1665">
        <v>0</v>
      </c>
      <c r="BF1665">
        <v>0</v>
      </c>
      <c r="BG1665">
        <v>0</v>
      </c>
      <c r="BH1665">
        <v>1</v>
      </c>
      <c r="BI1665">
        <v>1</v>
      </c>
      <c r="BJ1665">
        <v>0.2</v>
      </c>
      <c r="BK1665">
        <v>1</v>
      </c>
      <c r="BL1665">
        <v>54.28</v>
      </c>
      <c r="BM1665">
        <v>8.14</v>
      </c>
      <c r="BN1665">
        <v>62.42</v>
      </c>
      <c r="BO1665">
        <v>62.42</v>
      </c>
      <c r="BQ1665" t="s">
        <v>237</v>
      </c>
      <c r="BR1665" t="s">
        <v>84</v>
      </c>
      <c r="BS1665" t="s">
        <v>189</v>
      </c>
      <c r="BV1665" t="s">
        <v>90</v>
      </c>
      <c r="BY1665">
        <v>1200</v>
      </c>
      <c r="CC1665" t="s">
        <v>1098</v>
      </c>
      <c r="CD1665">
        <v>1451</v>
      </c>
      <c r="CE1665" t="s">
        <v>215</v>
      </c>
      <c r="CI1665">
        <v>1</v>
      </c>
      <c r="CJ1665" t="s">
        <v>189</v>
      </c>
      <c r="CK1665">
        <v>22</v>
      </c>
      <c r="CL1665" t="s">
        <v>90</v>
      </c>
    </row>
    <row r="1666" spans="1:90" x14ac:dyDescent="0.3">
      <c r="A1666" t="s">
        <v>72</v>
      </c>
      <c r="B1666" t="s">
        <v>73</v>
      </c>
      <c r="C1666" t="s">
        <v>74</v>
      </c>
      <c r="E1666" t="str">
        <f>"080065906371"</f>
        <v>080065906371</v>
      </c>
      <c r="F1666" s="3">
        <v>45819</v>
      </c>
      <c r="G1666">
        <v>202603</v>
      </c>
      <c r="H1666" t="s">
        <v>75</v>
      </c>
      <c r="I1666" t="s">
        <v>76</v>
      </c>
      <c r="J1666" t="s">
        <v>77</v>
      </c>
      <c r="K1666" t="s">
        <v>78</v>
      </c>
      <c r="L1666" t="s">
        <v>91</v>
      </c>
      <c r="M1666" t="s">
        <v>92</v>
      </c>
      <c r="N1666" t="s">
        <v>93</v>
      </c>
      <c r="O1666" t="s">
        <v>82</v>
      </c>
      <c r="P1666" t="str">
        <f>"4170043549                    "</f>
        <v xml:space="preserve">4170043549                    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>
        <v>20.9</v>
      </c>
      <c r="AR1666">
        <v>0</v>
      </c>
      <c r="AS1666">
        <v>0</v>
      </c>
      <c r="AT1666">
        <v>0</v>
      </c>
      <c r="AU1666">
        <v>0</v>
      </c>
      <c r="AV1666">
        <v>0</v>
      </c>
      <c r="AW1666">
        <v>0</v>
      </c>
      <c r="AX1666">
        <v>0</v>
      </c>
      <c r="AY1666">
        <v>0</v>
      </c>
      <c r="AZ1666">
        <v>0</v>
      </c>
      <c r="BA1666">
        <v>0</v>
      </c>
      <c r="BB1666">
        <v>0</v>
      </c>
      <c r="BC1666">
        <v>0</v>
      </c>
      <c r="BD1666">
        <v>0</v>
      </c>
      <c r="BE1666">
        <v>0</v>
      </c>
      <c r="BF1666">
        <v>0</v>
      </c>
      <c r="BG1666">
        <v>0</v>
      </c>
      <c r="BH1666">
        <v>1</v>
      </c>
      <c r="BI1666">
        <v>1</v>
      </c>
      <c r="BJ1666">
        <v>0.2</v>
      </c>
      <c r="BK1666">
        <v>1</v>
      </c>
      <c r="BL1666">
        <v>69.5</v>
      </c>
      <c r="BM1666">
        <v>10.43</v>
      </c>
      <c r="BN1666">
        <v>79.930000000000007</v>
      </c>
      <c r="BO1666">
        <v>79.930000000000007</v>
      </c>
      <c r="BQ1666" t="s">
        <v>95</v>
      </c>
      <c r="BR1666" t="s">
        <v>84</v>
      </c>
      <c r="BS1666" t="s">
        <v>189</v>
      </c>
      <c r="BV1666" t="s">
        <v>90</v>
      </c>
      <c r="BY1666">
        <v>1200</v>
      </c>
      <c r="CC1666" t="s">
        <v>92</v>
      </c>
      <c r="CD1666">
        <v>7441</v>
      </c>
      <c r="CE1666" t="s">
        <v>215</v>
      </c>
      <c r="CI1666">
        <v>1</v>
      </c>
      <c r="CJ1666" t="s">
        <v>189</v>
      </c>
      <c r="CK1666">
        <v>21</v>
      </c>
      <c r="CL1666" t="s">
        <v>90</v>
      </c>
    </row>
    <row r="1667" spans="1:90" x14ac:dyDescent="0.3">
      <c r="A1667" t="s">
        <v>72</v>
      </c>
      <c r="B1667" t="s">
        <v>73</v>
      </c>
      <c r="C1667" t="s">
        <v>74</v>
      </c>
      <c r="E1667" t="str">
        <f>"080065906394"</f>
        <v>080065906394</v>
      </c>
      <c r="F1667" s="3">
        <v>45819</v>
      </c>
      <c r="G1667">
        <v>202603</v>
      </c>
      <c r="H1667" t="s">
        <v>75</v>
      </c>
      <c r="I1667" t="s">
        <v>76</v>
      </c>
      <c r="J1667" t="s">
        <v>77</v>
      </c>
      <c r="K1667" t="s">
        <v>78</v>
      </c>
      <c r="L1667" t="s">
        <v>369</v>
      </c>
      <c r="M1667" t="s">
        <v>370</v>
      </c>
      <c r="N1667" t="s">
        <v>371</v>
      </c>
      <c r="O1667" t="s">
        <v>82</v>
      </c>
      <c r="P1667" t="str">
        <f>"4170043484                    "</f>
        <v xml:space="preserve">4170043484                    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113.62</v>
      </c>
      <c r="AR1667">
        <v>0</v>
      </c>
      <c r="AS1667">
        <v>0</v>
      </c>
      <c r="AT1667">
        <v>0</v>
      </c>
      <c r="AU1667">
        <v>0</v>
      </c>
      <c r="AV1667">
        <v>0</v>
      </c>
      <c r="AW1667">
        <v>0</v>
      </c>
      <c r="AX1667">
        <v>0</v>
      </c>
      <c r="AY1667">
        <v>0</v>
      </c>
      <c r="AZ1667">
        <v>0</v>
      </c>
      <c r="BA1667">
        <v>0</v>
      </c>
      <c r="BB1667">
        <v>0</v>
      </c>
      <c r="BC1667">
        <v>0</v>
      </c>
      <c r="BD1667">
        <v>0</v>
      </c>
      <c r="BE1667">
        <v>0</v>
      </c>
      <c r="BF1667">
        <v>0</v>
      </c>
      <c r="BG1667">
        <v>0</v>
      </c>
      <c r="BH1667">
        <v>1</v>
      </c>
      <c r="BI1667">
        <v>6</v>
      </c>
      <c r="BJ1667">
        <v>1.6</v>
      </c>
      <c r="BK1667">
        <v>6</v>
      </c>
      <c r="BL1667">
        <v>377.86</v>
      </c>
      <c r="BM1667">
        <v>56.68</v>
      </c>
      <c r="BN1667">
        <v>434.54</v>
      </c>
      <c r="BO1667">
        <v>434.54</v>
      </c>
      <c r="BQ1667" t="s">
        <v>372</v>
      </c>
      <c r="BR1667" t="s">
        <v>84</v>
      </c>
      <c r="BS1667" t="s">
        <v>189</v>
      </c>
      <c r="BV1667" t="s">
        <v>90</v>
      </c>
      <c r="BY1667">
        <v>8100</v>
      </c>
      <c r="CC1667" t="s">
        <v>370</v>
      </c>
      <c r="CD1667">
        <v>7130</v>
      </c>
      <c r="CE1667" t="s">
        <v>166</v>
      </c>
      <c r="CI1667">
        <v>1</v>
      </c>
      <c r="CJ1667" t="s">
        <v>189</v>
      </c>
      <c r="CK1667">
        <v>23</v>
      </c>
      <c r="CL1667" t="s">
        <v>90</v>
      </c>
    </row>
    <row r="1668" spans="1:90" x14ac:dyDescent="0.3">
      <c r="A1668" t="s">
        <v>72</v>
      </c>
      <c r="B1668" t="s">
        <v>73</v>
      </c>
      <c r="C1668" t="s">
        <v>74</v>
      </c>
      <c r="E1668" t="str">
        <f>"080065906402"</f>
        <v>080065906402</v>
      </c>
      <c r="F1668" s="3">
        <v>45819</v>
      </c>
      <c r="G1668">
        <v>202603</v>
      </c>
      <c r="H1668" t="s">
        <v>75</v>
      </c>
      <c r="I1668" t="s">
        <v>76</v>
      </c>
      <c r="J1668" t="s">
        <v>77</v>
      </c>
      <c r="K1668" t="s">
        <v>78</v>
      </c>
      <c r="L1668" t="s">
        <v>106</v>
      </c>
      <c r="M1668" t="s">
        <v>107</v>
      </c>
      <c r="N1668" t="s">
        <v>1141</v>
      </c>
      <c r="O1668" t="s">
        <v>82</v>
      </c>
      <c r="P1668" t="str">
        <f>"4170043564                    "</f>
        <v xml:space="preserve">4170043564                    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>
        <v>20.9</v>
      </c>
      <c r="AR1668">
        <v>0</v>
      </c>
      <c r="AS1668">
        <v>0</v>
      </c>
      <c r="AT1668">
        <v>0</v>
      </c>
      <c r="AU1668">
        <v>0</v>
      </c>
      <c r="AV1668">
        <v>0</v>
      </c>
      <c r="AW1668">
        <v>0</v>
      </c>
      <c r="AX1668">
        <v>0</v>
      </c>
      <c r="AY1668">
        <v>0</v>
      </c>
      <c r="AZ1668">
        <v>0</v>
      </c>
      <c r="BA1668">
        <v>0</v>
      </c>
      <c r="BB1668">
        <v>0</v>
      </c>
      <c r="BC1668">
        <v>0</v>
      </c>
      <c r="BD1668">
        <v>0</v>
      </c>
      <c r="BE1668">
        <v>0</v>
      </c>
      <c r="BF1668">
        <v>0</v>
      </c>
      <c r="BG1668">
        <v>0</v>
      </c>
      <c r="BH1668">
        <v>1</v>
      </c>
      <c r="BI1668">
        <v>1</v>
      </c>
      <c r="BJ1668">
        <v>0.2</v>
      </c>
      <c r="BK1668">
        <v>1</v>
      </c>
      <c r="BL1668">
        <v>69.5</v>
      </c>
      <c r="BM1668">
        <v>10.43</v>
      </c>
      <c r="BN1668">
        <v>79.930000000000007</v>
      </c>
      <c r="BO1668">
        <v>79.930000000000007</v>
      </c>
      <c r="BQ1668" t="s">
        <v>1142</v>
      </c>
      <c r="BR1668" t="s">
        <v>84</v>
      </c>
      <c r="BS1668" t="s">
        <v>189</v>
      </c>
      <c r="BV1668" t="s">
        <v>90</v>
      </c>
      <c r="BY1668">
        <v>1200</v>
      </c>
      <c r="CC1668" t="s">
        <v>107</v>
      </c>
      <c r="CD1668">
        <v>184</v>
      </c>
      <c r="CE1668" t="s">
        <v>215</v>
      </c>
      <c r="CI1668">
        <v>1</v>
      </c>
      <c r="CJ1668" t="s">
        <v>189</v>
      </c>
      <c r="CK1668">
        <v>21</v>
      </c>
      <c r="CL1668" t="s">
        <v>90</v>
      </c>
    </row>
    <row r="1669" spans="1:90" x14ac:dyDescent="0.3">
      <c r="A1669" t="s">
        <v>72</v>
      </c>
      <c r="B1669" t="s">
        <v>73</v>
      </c>
      <c r="C1669" t="s">
        <v>74</v>
      </c>
      <c r="E1669" t="str">
        <f>"080065906624"</f>
        <v>080065906624</v>
      </c>
      <c r="F1669" s="3">
        <v>45819</v>
      </c>
      <c r="G1669">
        <v>202603</v>
      </c>
      <c r="H1669" t="s">
        <v>75</v>
      </c>
      <c r="I1669" t="s">
        <v>76</v>
      </c>
      <c r="J1669" t="s">
        <v>77</v>
      </c>
      <c r="K1669" t="s">
        <v>78</v>
      </c>
      <c r="L1669" t="s">
        <v>136</v>
      </c>
      <c r="M1669" t="s">
        <v>137</v>
      </c>
      <c r="N1669" t="s">
        <v>317</v>
      </c>
      <c r="O1669" t="s">
        <v>82</v>
      </c>
      <c r="P1669" t="str">
        <f>"4170043508                    "</f>
        <v xml:space="preserve">4170043508                    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26.12</v>
      </c>
      <c r="AR1669">
        <v>0</v>
      </c>
      <c r="AS1669">
        <v>0</v>
      </c>
      <c r="AT1669">
        <v>0</v>
      </c>
      <c r="AU1669">
        <v>0</v>
      </c>
      <c r="AV1669">
        <v>0</v>
      </c>
      <c r="AW1669">
        <v>0</v>
      </c>
      <c r="AX1669">
        <v>0</v>
      </c>
      <c r="AY1669">
        <v>0</v>
      </c>
      <c r="AZ1669">
        <v>0</v>
      </c>
      <c r="BA1669">
        <v>0</v>
      </c>
      <c r="BB1669">
        <v>0</v>
      </c>
      <c r="BC1669">
        <v>0</v>
      </c>
      <c r="BD1669">
        <v>0</v>
      </c>
      <c r="BE1669">
        <v>0</v>
      </c>
      <c r="BF1669">
        <v>0</v>
      </c>
      <c r="BG1669">
        <v>0</v>
      </c>
      <c r="BH1669">
        <v>1</v>
      </c>
      <c r="BI1669">
        <v>1</v>
      </c>
      <c r="BJ1669">
        <v>2.4</v>
      </c>
      <c r="BK1669">
        <v>2.5</v>
      </c>
      <c r="BL1669">
        <v>86.86</v>
      </c>
      <c r="BM1669">
        <v>13.03</v>
      </c>
      <c r="BN1669">
        <v>99.89</v>
      </c>
      <c r="BO1669">
        <v>99.89</v>
      </c>
      <c r="BQ1669" t="s">
        <v>318</v>
      </c>
      <c r="BR1669" t="s">
        <v>84</v>
      </c>
      <c r="BS1669" t="s">
        <v>189</v>
      </c>
      <c r="BV1669" t="s">
        <v>90</v>
      </c>
      <c r="BY1669">
        <v>12000</v>
      </c>
      <c r="CC1669" t="s">
        <v>137</v>
      </c>
      <c r="CD1669">
        <v>5201</v>
      </c>
      <c r="CE1669" t="s">
        <v>215</v>
      </c>
      <c r="CI1669">
        <v>1</v>
      </c>
      <c r="CJ1669" t="s">
        <v>189</v>
      </c>
      <c r="CK1669">
        <v>21</v>
      </c>
      <c r="CL1669" t="s">
        <v>90</v>
      </c>
    </row>
    <row r="1670" spans="1:90" x14ac:dyDescent="0.3">
      <c r="A1670" t="s">
        <v>72</v>
      </c>
      <c r="B1670" t="s">
        <v>73</v>
      </c>
      <c r="C1670" t="s">
        <v>74</v>
      </c>
      <c r="E1670" t="str">
        <f>"080065906634"</f>
        <v>080065906634</v>
      </c>
      <c r="F1670" s="3">
        <v>45819</v>
      </c>
      <c r="G1670">
        <v>202603</v>
      </c>
      <c r="H1670" t="s">
        <v>75</v>
      </c>
      <c r="I1670" t="s">
        <v>76</v>
      </c>
      <c r="J1670" t="s">
        <v>77</v>
      </c>
      <c r="K1670" t="s">
        <v>78</v>
      </c>
      <c r="L1670" t="s">
        <v>302</v>
      </c>
      <c r="M1670" t="s">
        <v>303</v>
      </c>
      <c r="N1670" t="s">
        <v>2056</v>
      </c>
      <c r="O1670" t="s">
        <v>82</v>
      </c>
      <c r="P1670" t="str">
        <f>"4170043602                    "</f>
        <v xml:space="preserve">4170043602                    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150.19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0</v>
      </c>
      <c r="AX1670">
        <v>0</v>
      </c>
      <c r="AY1670">
        <v>0</v>
      </c>
      <c r="AZ1670">
        <v>0</v>
      </c>
      <c r="BA1670">
        <v>0</v>
      </c>
      <c r="BB1670">
        <v>0</v>
      </c>
      <c r="BC1670">
        <v>0</v>
      </c>
      <c r="BD1670">
        <v>0</v>
      </c>
      <c r="BE1670">
        <v>0</v>
      </c>
      <c r="BF1670">
        <v>0</v>
      </c>
      <c r="BG1670">
        <v>0</v>
      </c>
      <c r="BH1670">
        <v>1</v>
      </c>
      <c r="BI1670">
        <v>3</v>
      </c>
      <c r="BJ1670">
        <v>7.7</v>
      </c>
      <c r="BK1670">
        <v>8</v>
      </c>
      <c r="BL1670">
        <v>499.47</v>
      </c>
      <c r="BM1670">
        <v>74.92</v>
      </c>
      <c r="BN1670">
        <v>574.39</v>
      </c>
      <c r="BO1670">
        <v>574.39</v>
      </c>
      <c r="BQ1670" t="s">
        <v>2057</v>
      </c>
      <c r="BR1670" t="s">
        <v>84</v>
      </c>
      <c r="BS1670" t="s">
        <v>189</v>
      </c>
      <c r="BV1670" t="s">
        <v>90</v>
      </c>
      <c r="BY1670">
        <v>38454</v>
      </c>
      <c r="CC1670" t="s">
        <v>303</v>
      </c>
      <c r="CD1670">
        <v>299</v>
      </c>
      <c r="CE1670" t="s">
        <v>166</v>
      </c>
      <c r="CI1670">
        <v>1</v>
      </c>
      <c r="CJ1670" t="s">
        <v>189</v>
      </c>
      <c r="CK1670">
        <v>23</v>
      </c>
      <c r="CL1670" t="s">
        <v>90</v>
      </c>
    </row>
    <row r="1671" spans="1:90" x14ac:dyDescent="0.3">
      <c r="A1671" t="s">
        <v>72</v>
      </c>
      <c r="B1671" t="s">
        <v>73</v>
      </c>
      <c r="C1671" t="s">
        <v>74</v>
      </c>
      <c r="E1671" t="str">
        <f>"080065906642"</f>
        <v>080065906642</v>
      </c>
      <c r="F1671" s="3">
        <v>45819</v>
      </c>
      <c r="G1671">
        <v>202603</v>
      </c>
      <c r="H1671" t="s">
        <v>75</v>
      </c>
      <c r="I1671" t="s">
        <v>76</v>
      </c>
      <c r="J1671" t="s">
        <v>77</v>
      </c>
      <c r="K1671" t="s">
        <v>78</v>
      </c>
      <c r="L1671" t="s">
        <v>100</v>
      </c>
      <c r="M1671" t="s">
        <v>101</v>
      </c>
      <c r="N1671" t="s">
        <v>1754</v>
      </c>
      <c r="O1671" t="s">
        <v>82</v>
      </c>
      <c r="P1671" t="str">
        <f>"4170043514                    "</f>
        <v xml:space="preserve">4170043514                    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20.9</v>
      </c>
      <c r="AR1671">
        <v>0</v>
      </c>
      <c r="AS1671">
        <v>0</v>
      </c>
      <c r="AT1671">
        <v>0</v>
      </c>
      <c r="AU1671">
        <v>0</v>
      </c>
      <c r="AV1671">
        <v>0</v>
      </c>
      <c r="AW1671">
        <v>0</v>
      </c>
      <c r="AX1671">
        <v>0</v>
      </c>
      <c r="AY1671">
        <v>0</v>
      </c>
      <c r="AZ1671">
        <v>0</v>
      </c>
      <c r="BA1671">
        <v>0</v>
      </c>
      <c r="BB1671">
        <v>0</v>
      </c>
      <c r="BC1671">
        <v>0</v>
      </c>
      <c r="BD1671">
        <v>0</v>
      </c>
      <c r="BE1671">
        <v>0</v>
      </c>
      <c r="BF1671">
        <v>0</v>
      </c>
      <c r="BG1671">
        <v>0</v>
      </c>
      <c r="BH1671">
        <v>1</v>
      </c>
      <c r="BI1671">
        <v>1</v>
      </c>
      <c r="BJ1671">
        <v>0.2</v>
      </c>
      <c r="BK1671">
        <v>1</v>
      </c>
      <c r="BL1671">
        <v>69.5</v>
      </c>
      <c r="BM1671">
        <v>10.43</v>
      </c>
      <c r="BN1671">
        <v>79.930000000000007</v>
      </c>
      <c r="BO1671">
        <v>79.930000000000007</v>
      </c>
      <c r="BQ1671" t="s">
        <v>1755</v>
      </c>
      <c r="BR1671" t="s">
        <v>84</v>
      </c>
      <c r="BS1671" t="s">
        <v>189</v>
      </c>
      <c r="BV1671" t="s">
        <v>90</v>
      </c>
      <c r="BY1671">
        <v>1200</v>
      </c>
      <c r="CC1671" t="s">
        <v>101</v>
      </c>
      <c r="CD1671">
        <v>6001</v>
      </c>
      <c r="CE1671" t="s">
        <v>215</v>
      </c>
      <c r="CI1671">
        <v>1</v>
      </c>
      <c r="CJ1671" t="s">
        <v>189</v>
      </c>
      <c r="CK1671">
        <v>21</v>
      </c>
      <c r="CL1671" t="s">
        <v>90</v>
      </c>
    </row>
    <row r="1672" spans="1:90" x14ac:dyDescent="0.3">
      <c r="A1672" t="s">
        <v>72</v>
      </c>
      <c r="B1672" t="s">
        <v>73</v>
      </c>
      <c r="C1672" t="s">
        <v>74</v>
      </c>
      <c r="E1672" t="str">
        <f>"080065906653"</f>
        <v>080065906653</v>
      </c>
      <c r="F1672" s="3">
        <v>45819</v>
      </c>
      <c r="G1672">
        <v>202603</v>
      </c>
      <c r="H1672" t="s">
        <v>75</v>
      </c>
      <c r="I1672" t="s">
        <v>76</v>
      </c>
      <c r="J1672" t="s">
        <v>77</v>
      </c>
      <c r="K1672" t="s">
        <v>78</v>
      </c>
      <c r="L1672" t="s">
        <v>100</v>
      </c>
      <c r="M1672" t="s">
        <v>101</v>
      </c>
      <c r="N1672" t="s">
        <v>585</v>
      </c>
      <c r="O1672" t="s">
        <v>82</v>
      </c>
      <c r="P1672" t="str">
        <f>"4170043516                    "</f>
        <v xml:space="preserve">4170043516                    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>
        <v>20.9</v>
      </c>
      <c r="AR1672">
        <v>0</v>
      </c>
      <c r="AS1672">
        <v>0</v>
      </c>
      <c r="AT1672">
        <v>0</v>
      </c>
      <c r="AU1672">
        <v>0</v>
      </c>
      <c r="AV1672">
        <v>0</v>
      </c>
      <c r="AW1672">
        <v>0</v>
      </c>
      <c r="AX1672">
        <v>0</v>
      </c>
      <c r="AY1672">
        <v>0</v>
      </c>
      <c r="AZ1672">
        <v>0</v>
      </c>
      <c r="BA1672">
        <v>0</v>
      </c>
      <c r="BB1672">
        <v>0</v>
      </c>
      <c r="BC1672">
        <v>0</v>
      </c>
      <c r="BD1672">
        <v>0</v>
      </c>
      <c r="BE1672">
        <v>0</v>
      </c>
      <c r="BF1672">
        <v>0</v>
      </c>
      <c r="BG1672">
        <v>0</v>
      </c>
      <c r="BH1672">
        <v>1</v>
      </c>
      <c r="BI1672">
        <v>1</v>
      </c>
      <c r="BJ1672">
        <v>0.2</v>
      </c>
      <c r="BK1672">
        <v>1</v>
      </c>
      <c r="BL1672">
        <v>69.5</v>
      </c>
      <c r="BM1672">
        <v>10.43</v>
      </c>
      <c r="BN1672">
        <v>79.930000000000007</v>
      </c>
      <c r="BO1672">
        <v>79.930000000000007</v>
      </c>
      <c r="BQ1672" t="s">
        <v>586</v>
      </c>
      <c r="BR1672" t="s">
        <v>84</v>
      </c>
      <c r="BS1672" t="s">
        <v>189</v>
      </c>
      <c r="BV1672" t="s">
        <v>90</v>
      </c>
      <c r="BY1672">
        <v>1200</v>
      </c>
      <c r="CC1672" t="s">
        <v>101</v>
      </c>
      <c r="CD1672">
        <v>6001</v>
      </c>
      <c r="CE1672" t="s">
        <v>215</v>
      </c>
      <c r="CI1672">
        <v>1</v>
      </c>
      <c r="CJ1672" t="s">
        <v>189</v>
      </c>
      <c r="CK1672">
        <v>21</v>
      </c>
      <c r="CL1672" t="s">
        <v>90</v>
      </c>
    </row>
    <row r="1673" spans="1:90" x14ac:dyDescent="0.3">
      <c r="A1673" t="s">
        <v>72</v>
      </c>
      <c r="B1673" t="s">
        <v>73</v>
      </c>
      <c r="C1673" t="s">
        <v>74</v>
      </c>
      <c r="E1673" t="str">
        <f>"080065906656"</f>
        <v>080065906656</v>
      </c>
      <c r="F1673" s="3">
        <v>45819</v>
      </c>
      <c r="G1673">
        <v>202603</v>
      </c>
      <c r="H1673" t="s">
        <v>75</v>
      </c>
      <c r="I1673" t="s">
        <v>76</v>
      </c>
      <c r="J1673" t="s">
        <v>77</v>
      </c>
      <c r="K1673" t="s">
        <v>78</v>
      </c>
      <c r="L1673" t="s">
        <v>2165</v>
      </c>
      <c r="M1673" t="s">
        <v>2166</v>
      </c>
      <c r="N1673" t="s">
        <v>2167</v>
      </c>
      <c r="O1673" t="s">
        <v>82</v>
      </c>
      <c r="P1673" t="str">
        <f>"4170043608                    "</f>
        <v xml:space="preserve">4170043608                    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47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0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>
        <v>0</v>
      </c>
      <c r="BD1673">
        <v>0</v>
      </c>
      <c r="BE1673">
        <v>0</v>
      </c>
      <c r="BF1673">
        <v>0</v>
      </c>
      <c r="BG1673">
        <v>0</v>
      </c>
      <c r="BH1673">
        <v>1</v>
      </c>
      <c r="BI1673">
        <v>1</v>
      </c>
      <c r="BJ1673">
        <v>4.0999999999999996</v>
      </c>
      <c r="BK1673">
        <v>4.5</v>
      </c>
      <c r="BL1673">
        <v>156.30000000000001</v>
      </c>
      <c r="BM1673">
        <v>23.45</v>
      </c>
      <c r="BN1673">
        <v>179.75</v>
      </c>
      <c r="BO1673">
        <v>179.75</v>
      </c>
      <c r="BQ1673" t="s">
        <v>2168</v>
      </c>
      <c r="BR1673" t="s">
        <v>84</v>
      </c>
      <c r="BS1673" t="s">
        <v>189</v>
      </c>
      <c r="BV1673" t="s">
        <v>90</v>
      </c>
      <c r="BY1673">
        <v>20358</v>
      </c>
      <c r="CC1673" t="s">
        <v>2166</v>
      </c>
      <c r="CD1673">
        <v>1200</v>
      </c>
      <c r="CE1673" t="s">
        <v>687</v>
      </c>
      <c r="CI1673">
        <v>1</v>
      </c>
      <c r="CJ1673" t="s">
        <v>189</v>
      </c>
      <c r="CK1673">
        <v>21</v>
      </c>
      <c r="CL1673" t="s">
        <v>90</v>
      </c>
    </row>
    <row r="1674" spans="1:90" x14ac:dyDescent="0.3">
      <c r="A1674" t="s">
        <v>72</v>
      </c>
      <c r="B1674" t="s">
        <v>73</v>
      </c>
      <c r="C1674" t="s">
        <v>74</v>
      </c>
      <c r="E1674" t="str">
        <f>"080065906667"</f>
        <v>080065906667</v>
      </c>
      <c r="F1674" s="3">
        <v>45819</v>
      </c>
      <c r="G1674">
        <v>202603</v>
      </c>
      <c r="H1674" t="s">
        <v>75</v>
      </c>
      <c r="I1674" t="s">
        <v>76</v>
      </c>
      <c r="J1674" t="s">
        <v>77</v>
      </c>
      <c r="K1674" t="s">
        <v>78</v>
      </c>
      <c r="L1674" t="s">
        <v>174</v>
      </c>
      <c r="M1674" t="s">
        <v>175</v>
      </c>
      <c r="N1674" t="s">
        <v>680</v>
      </c>
      <c r="O1674" t="s">
        <v>82</v>
      </c>
      <c r="P1674" t="str">
        <f>"4170043522                    "</f>
        <v xml:space="preserve">4170043522                    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>
        <v>20.9</v>
      </c>
      <c r="AR1674">
        <v>0</v>
      </c>
      <c r="AS1674">
        <v>0</v>
      </c>
      <c r="AT1674">
        <v>0</v>
      </c>
      <c r="AU1674">
        <v>0</v>
      </c>
      <c r="AV1674">
        <v>0</v>
      </c>
      <c r="AW1674">
        <v>0</v>
      </c>
      <c r="AX1674">
        <v>0</v>
      </c>
      <c r="AY1674">
        <v>0</v>
      </c>
      <c r="AZ1674">
        <v>0</v>
      </c>
      <c r="BA1674">
        <v>0</v>
      </c>
      <c r="BB1674">
        <v>0</v>
      </c>
      <c r="BC1674">
        <v>0</v>
      </c>
      <c r="BD1674">
        <v>0</v>
      </c>
      <c r="BE1674">
        <v>0</v>
      </c>
      <c r="BF1674">
        <v>0</v>
      </c>
      <c r="BG1674">
        <v>0</v>
      </c>
      <c r="BH1674">
        <v>1</v>
      </c>
      <c r="BI1674">
        <v>1</v>
      </c>
      <c r="BJ1674">
        <v>0.2</v>
      </c>
      <c r="BK1674">
        <v>1</v>
      </c>
      <c r="BL1674">
        <v>69.5</v>
      </c>
      <c r="BM1674">
        <v>10.43</v>
      </c>
      <c r="BN1674">
        <v>79.930000000000007</v>
      </c>
      <c r="BO1674">
        <v>79.930000000000007</v>
      </c>
      <c r="BQ1674" t="s">
        <v>681</v>
      </c>
      <c r="BR1674" t="s">
        <v>84</v>
      </c>
      <c r="BS1674" t="s">
        <v>189</v>
      </c>
      <c r="BV1674" t="s">
        <v>90</v>
      </c>
      <c r="BY1674">
        <v>1200</v>
      </c>
      <c r="CC1674" t="s">
        <v>175</v>
      </c>
      <c r="CD1674">
        <v>3610</v>
      </c>
      <c r="CE1674" t="s">
        <v>215</v>
      </c>
      <c r="CI1674">
        <v>1</v>
      </c>
      <c r="CJ1674" t="s">
        <v>189</v>
      </c>
      <c r="CK1674">
        <v>21</v>
      </c>
      <c r="CL1674" t="s">
        <v>90</v>
      </c>
    </row>
    <row r="1675" spans="1:90" x14ac:dyDescent="0.3">
      <c r="A1675" t="s">
        <v>72</v>
      </c>
      <c r="B1675" t="s">
        <v>73</v>
      </c>
      <c r="C1675" t="s">
        <v>74</v>
      </c>
      <c r="E1675" t="str">
        <f>"080065906686"</f>
        <v>080065906686</v>
      </c>
      <c r="F1675" s="3">
        <v>45819</v>
      </c>
      <c r="G1675">
        <v>202603</v>
      </c>
      <c r="H1675" t="s">
        <v>75</v>
      </c>
      <c r="I1675" t="s">
        <v>76</v>
      </c>
      <c r="J1675" t="s">
        <v>77</v>
      </c>
      <c r="K1675" t="s">
        <v>78</v>
      </c>
      <c r="L1675" t="s">
        <v>91</v>
      </c>
      <c r="M1675" t="s">
        <v>92</v>
      </c>
      <c r="N1675" t="s">
        <v>540</v>
      </c>
      <c r="O1675" t="s">
        <v>82</v>
      </c>
      <c r="P1675" t="str">
        <f>"4170043503                    "</f>
        <v xml:space="preserve">4170043503                    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20.9</v>
      </c>
      <c r="AR1675">
        <v>0</v>
      </c>
      <c r="AS1675">
        <v>0</v>
      </c>
      <c r="AT1675">
        <v>0</v>
      </c>
      <c r="AU1675">
        <v>0</v>
      </c>
      <c r="AV1675">
        <v>0</v>
      </c>
      <c r="AW1675">
        <v>0</v>
      </c>
      <c r="AX1675">
        <v>0</v>
      </c>
      <c r="AY1675">
        <v>0</v>
      </c>
      <c r="AZ1675">
        <v>0</v>
      </c>
      <c r="BA1675">
        <v>0</v>
      </c>
      <c r="BB1675">
        <v>0</v>
      </c>
      <c r="BC1675">
        <v>0</v>
      </c>
      <c r="BD1675">
        <v>0</v>
      </c>
      <c r="BE1675">
        <v>0</v>
      </c>
      <c r="BF1675">
        <v>0</v>
      </c>
      <c r="BG1675">
        <v>0</v>
      </c>
      <c r="BH1675">
        <v>1</v>
      </c>
      <c r="BI1675">
        <v>1</v>
      </c>
      <c r="BJ1675">
        <v>0.2</v>
      </c>
      <c r="BK1675">
        <v>1</v>
      </c>
      <c r="BL1675">
        <v>69.5</v>
      </c>
      <c r="BM1675">
        <v>10.43</v>
      </c>
      <c r="BN1675">
        <v>79.930000000000007</v>
      </c>
      <c r="BO1675">
        <v>79.930000000000007</v>
      </c>
      <c r="BQ1675" t="s">
        <v>541</v>
      </c>
      <c r="BR1675" t="s">
        <v>84</v>
      </c>
      <c r="BS1675" t="s">
        <v>189</v>
      </c>
      <c r="BV1675" t="s">
        <v>90</v>
      </c>
      <c r="BY1675">
        <v>1200</v>
      </c>
      <c r="CC1675" t="s">
        <v>92</v>
      </c>
      <c r="CD1675">
        <v>7441</v>
      </c>
      <c r="CE1675" t="s">
        <v>2169</v>
      </c>
      <c r="CI1675">
        <v>1</v>
      </c>
      <c r="CJ1675" t="s">
        <v>189</v>
      </c>
      <c r="CK1675">
        <v>21</v>
      </c>
      <c r="CL1675" t="s">
        <v>90</v>
      </c>
    </row>
    <row r="1676" spans="1:90" x14ac:dyDescent="0.3">
      <c r="A1676" t="s">
        <v>72</v>
      </c>
      <c r="B1676" t="s">
        <v>73</v>
      </c>
      <c r="C1676" t="s">
        <v>74</v>
      </c>
      <c r="E1676" t="str">
        <f>"080065906683"</f>
        <v>080065906683</v>
      </c>
      <c r="F1676" s="3">
        <v>45819</v>
      </c>
      <c r="G1676">
        <v>202603</v>
      </c>
      <c r="H1676" t="s">
        <v>75</v>
      </c>
      <c r="I1676" t="s">
        <v>76</v>
      </c>
      <c r="J1676" t="s">
        <v>77</v>
      </c>
      <c r="K1676" t="s">
        <v>78</v>
      </c>
      <c r="L1676" t="s">
        <v>136</v>
      </c>
      <c r="M1676" t="s">
        <v>137</v>
      </c>
      <c r="N1676" t="s">
        <v>2170</v>
      </c>
      <c r="O1676" t="s">
        <v>82</v>
      </c>
      <c r="P1676" t="str">
        <f>"4170043605                    "</f>
        <v xml:space="preserve">4170043605                    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20.9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>
        <v>0</v>
      </c>
      <c r="BD1676">
        <v>0</v>
      </c>
      <c r="BE1676">
        <v>0</v>
      </c>
      <c r="BF1676">
        <v>0</v>
      </c>
      <c r="BG1676">
        <v>0</v>
      </c>
      <c r="BH1676">
        <v>1</v>
      </c>
      <c r="BI1676">
        <v>1</v>
      </c>
      <c r="BJ1676">
        <v>1.1000000000000001</v>
      </c>
      <c r="BK1676">
        <v>1.5</v>
      </c>
      <c r="BL1676">
        <v>69.5</v>
      </c>
      <c r="BM1676">
        <v>10.43</v>
      </c>
      <c r="BN1676">
        <v>79.930000000000007</v>
      </c>
      <c r="BO1676">
        <v>79.930000000000007</v>
      </c>
      <c r="BQ1676" t="s">
        <v>2171</v>
      </c>
      <c r="BR1676" t="s">
        <v>84</v>
      </c>
      <c r="BS1676" t="s">
        <v>189</v>
      </c>
      <c r="BV1676" t="s">
        <v>90</v>
      </c>
      <c r="BY1676">
        <v>5320</v>
      </c>
      <c r="CC1676" t="s">
        <v>137</v>
      </c>
      <c r="CD1676">
        <v>5201</v>
      </c>
      <c r="CE1676" t="s">
        <v>687</v>
      </c>
      <c r="CI1676">
        <v>1</v>
      </c>
      <c r="CJ1676" t="s">
        <v>189</v>
      </c>
      <c r="CK1676">
        <v>21</v>
      </c>
      <c r="CL1676" t="s">
        <v>90</v>
      </c>
    </row>
    <row r="1677" spans="1:90" x14ac:dyDescent="0.3">
      <c r="A1677" t="s">
        <v>72</v>
      </c>
      <c r="B1677" t="s">
        <v>73</v>
      </c>
      <c r="C1677" t="s">
        <v>74</v>
      </c>
      <c r="E1677" t="str">
        <f>"080065906701"</f>
        <v>080065906701</v>
      </c>
      <c r="F1677" s="3">
        <v>45819</v>
      </c>
      <c r="G1677">
        <v>202603</v>
      </c>
      <c r="H1677" t="s">
        <v>75</v>
      </c>
      <c r="I1677" t="s">
        <v>76</v>
      </c>
      <c r="J1677" t="s">
        <v>77</v>
      </c>
      <c r="K1677" t="s">
        <v>78</v>
      </c>
      <c r="L1677" t="s">
        <v>1939</v>
      </c>
      <c r="M1677" t="s">
        <v>1940</v>
      </c>
      <c r="N1677" t="s">
        <v>1941</v>
      </c>
      <c r="O1677" t="s">
        <v>82</v>
      </c>
      <c r="P1677" t="str">
        <f>"4170043610                    "</f>
        <v xml:space="preserve">4170043610                    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40.49</v>
      </c>
      <c r="AR1677">
        <v>0</v>
      </c>
      <c r="AS1677">
        <v>0</v>
      </c>
      <c r="AT1677">
        <v>0</v>
      </c>
      <c r="AU1677">
        <v>0</v>
      </c>
      <c r="AV1677">
        <v>0</v>
      </c>
      <c r="AW1677">
        <v>0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>
        <v>0</v>
      </c>
      <c r="BD1677">
        <v>0</v>
      </c>
      <c r="BE1677">
        <v>0</v>
      </c>
      <c r="BF1677">
        <v>0</v>
      </c>
      <c r="BG1677">
        <v>0</v>
      </c>
      <c r="BH1677">
        <v>1</v>
      </c>
      <c r="BI1677">
        <v>1</v>
      </c>
      <c r="BJ1677">
        <v>2</v>
      </c>
      <c r="BK1677">
        <v>2</v>
      </c>
      <c r="BL1677">
        <v>134.65</v>
      </c>
      <c r="BM1677">
        <v>20.2</v>
      </c>
      <c r="BN1677">
        <v>154.85</v>
      </c>
      <c r="BO1677">
        <v>154.85</v>
      </c>
      <c r="BQ1677" t="s">
        <v>1942</v>
      </c>
      <c r="BR1677" t="s">
        <v>84</v>
      </c>
      <c r="BS1677" t="s">
        <v>189</v>
      </c>
      <c r="BV1677" t="s">
        <v>90</v>
      </c>
      <c r="BY1677">
        <v>9918</v>
      </c>
      <c r="CC1677" t="s">
        <v>1940</v>
      </c>
      <c r="CD1677">
        <v>2380</v>
      </c>
      <c r="CE1677" t="s">
        <v>687</v>
      </c>
      <c r="CI1677">
        <v>1</v>
      </c>
      <c r="CJ1677" t="s">
        <v>189</v>
      </c>
      <c r="CK1677">
        <v>23</v>
      </c>
      <c r="CL1677" t="s">
        <v>90</v>
      </c>
    </row>
    <row r="1678" spans="1:90" x14ac:dyDescent="0.3">
      <c r="A1678" t="s">
        <v>72</v>
      </c>
      <c r="B1678" t="s">
        <v>73</v>
      </c>
      <c r="C1678" t="s">
        <v>74</v>
      </c>
      <c r="E1678" t="str">
        <f>"080065906748"</f>
        <v>080065906748</v>
      </c>
      <c r="F1678" s="3">
        <v>45819</v>
      </c>
      <c r="G1678">
        <v>202603</v>
      </c>
      <c r="H1678" t="s">
        <v>75</v>
      </c>
      <c r="I1678" t="s">
        <v>76</v>
      </c>
      <c r="J1678" t="s">
        <v>77</v>
      </c>
      <c r="K1678" t="s">
        <v>78</v>
      </c>
      <c r="L1678" t="s">
        <v>239</v>
      </c>
      <c r="M1678" t="s">
        <v>240</v>
      </c>
      <c r="N1678" t="s">
        <v>241</v>
      </c>
      <c r="O1678" t="s">
        <v>82</v>
      </c>
      <c r="P1678" t="str">
        <f>"4170043509                    "</f>
        <v xml:space="preserve">4170043509                    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>
        <v>40.49</v>
      </c>
      <c r="AR1678">
        <v>0</v>
      </c>
      <c r="AS1678">
        <v>0</v>
      </c>
      <c r="AT1678">
        <v>0</v>
      </c>
      <c r="AU1678">
        <v>0</v>
      </c>
      <c r="AV1678">
        <v>0</v>
      </c>
      <c r="AW1678">
        <v>0</v>
      </c>
      <c r="AX1678">
        <v>0</v>
      </c>
      <c r="AY1678">
        <v>0</v>
      </c>
      <c r="AZ1678">
        <v>0</v>
      </c>
      <c r="BA1678">
        <v>0</v>
      </c>
      <c r="BB1678">
        <v>0</v>
      </c>
      <c r="BC1678">
        <v>0</v>
      </c>
      <c r="BD1678">
        <v>0</v>
      </c>
      <c r="BE1678">
        <v>0</v>
      </c>
      <c r="BF1678">
        <v>0</v>
      </c>
      <c r="BG1678">
        <v>0</v>
      </c>
      <c r="BH1678">
        <v>1</v>
      </c>
      <c r="BI1678">
        <v>1</v>
      </c>
      <c r="BJ1678">
        <v>0.2</v>
      </c>
      <c r="BK1678">
        <v>1</v>
      </c>
      <c r="BL1678">
        <v>134.65</v>
      </c>
      <c r="BM1678">
        <v>20.2</v>
      </c>
      <c r="BN1678">
        <v>154.85</v>
      </c>
      <c r="BO1678">
        <v>154.85</v>
      </c>
      <c r="BQ1678" t="s">
        <v>242</v>
      </c>
      <c r="BR1678" t="s">
        <v>84</v>
      </c>
      <c r="BS1678" t="s">
        <v>189</v>
      </c>
      <c r="BV1678" t="s">
        <v>90</v>
      </c>
      <c r="BY1678">
        <v>1200</v>
      </c>
      <c r="CC1678" t="s">
        <v>240</v>
      </c>
      <c r="CD1678">
        <v>2531</v>
      </c>
      <c r="CE1678" t="s">
        <v>215</v>
      </c>
      <c r="CI1678">
        <v>1</v>
      </c>
      <c r="CJ1678" t="s">
        <v>189</v>
      </c>
      <c r="CK1678">
        <v>23</v>
      </c>
      <c r="CL1678" t="s">
        <v>90</v>
      </c>
    </row>
    <row r="1679" spans="1:90" x14ac:dyDescent="0.3">
      <c r="A1679" t="s">
        <v>72</v>
      </c>
      <c r="B1679" t="s">
        <v>73</v>
      </c>
      <c r="C1679" t="s">
        <v>74</v>
      </c>
      <c r="E1679" t="str">
        <f>"080065906760"</f>
        <v>080065906760</v>
      </c>
      <c r="F1679" s="3">
        <v>45819</v>
      </c>
      <c r="G1679">
        <v>202603</v>
      </c>
      <c r="H1679" t="s">
        <v>75</v>
      </c>
      <c r="I1679" t="s">
        <v>76</v>
      </c>
      <c r="J1679" t="s">
        <v>77</v>
      </c>
      <c r="K1679" t="s">
        <v>78</v>
      </c>
      <c r="L1679" t="s">
        <v>75</v>
      </c>
      <c r="M1679" t="s">
        <v>76</v>
      </c>
      <c r="N1679" t="s">
        <v>112</v>
      </c>
      <c r="O1679" t="s">
        <v>276</v>
      </c>
      <c r="P1679" t="str">
        <f>"4170043601                    "</f>
        <v xml:space="preserve">4170043601                    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21.82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0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>
        <v>0</v>
      </c>
      <c r="BD1679">
        <v>0</v>
      </c>
      <c r="BE1679">
        <v>0</v>
      </c>
      <c r="BF1679">
        <v>0</v>
      </c>
      <c r="BG1679">
        <v>0</v>
      </c>
      <c r="BH1679">
        <v>1</v>
      </c>
      <c r="BI1679">
        <v>4</v>
      </c>
      <c r="BJ1679">
        <v>10.199999999999999</v>
      </c>
      <c r="BK1679">
        <v>11</v>
      </c>
      <c r="BL1679">
        <v>72.569999999999993</v>
      </c>
      <c r="BM1679">
        <v>10.89</v>
      </c>
      <c r="BN1679">
        <v>83.46</v>
      </c>
      <c r="BO1679">
        <v>83.46</v>
      </c>
      <c r="BQ1679" t="s">
        <v>113</v>
      </c>
      <c r="BR1679" t="s">
        <v>84</v>
      </c>
      <c r="BS1679" t="s">
        <v>189</v>
      </c>
      <c r="BV1679" t="s">
        <v>90</v>
      </c>
      <c r="BY1679">
        <v>51240</v>
      </c>
      <c r="CC1679" t="s">
        <v>76</v>
      </c>
      <c r="CD1679">
        <v>1600</v>
      </c>
      <c r="CE1679" t="s">
        <v>687</v>
      </c>
      <c r="CI1679">
        <v>1</v>
      </c>
      <c r="CJ1679" t="s">
        <v>189</v>
      </c>
      <c r="CK1679">
        <v>32</v>
      </c>
      <c r="CL1679" t="s">
        <v>90</v>
      </c>
    </row>
    <row r="1680" spans="1:90" x14ac:dyDescent="0.3">
      <c r="A1680" t="s">
        <v>72</v>
      </c>
      <c r="B1680" t="s">
        <v>73</v>
      </c>
      <c r="C1680" t="s">
        <v>74</v>
      </c>
      <c r="E1680" t="str">
        <f>"080065906784"</f>
        <v>080065906784</v>
      </c>
      <c r="F1680" s="3">
        <v>45819</v>
      </c>
      <c r="G1680">
        <v>202603</v>
      </c>
      <c r="H1680" t="s">
        <v>75</v>
      </c>
      <c r="I1680" t="s">
        <v>76</v>
      </c>
      <c r="J1680" t="s">
        <v>77</v>
      </c>
      <c r="K1680" t="s">
        <v>78</v>
      </c>
      <c r="L1680" t="s">
        <v>100</v>
      </c>
      <c r="M1680" t="s">
        <v>101</v>
      </c>
      <c r="N1680" t="s">
        <v>581</v>
      </c>
      <c r="O1680" t="s">
        <v>94</v>
      </c>
      <c r="P1680" t="str">
        <f>"4170043600                    "</f>
        <v xml:space="preserve">4170043600                    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>
        <v>67.11</v>
      </c>
      <c r="AR1680">
        <v>0</v>
      </c>
      <c r="AS1680">
        <v>0</v>
      </c>
      <c r="AT1680">
        <v>0</v>
      </c>
      <c r="AU1680">
        <v>0</v>
      </c>
      <c r="AV1680">
        <v>0</v>
      </c>
      <c r="AW1680">
        <v>0</v>
      </c>
      <c r="AX1680">
        <v>0</v>
      </c>
      <c r="AY1680">
        <v>0</v>
      </c>
      <c r="AZ1680">
        <v>0</v>
      </c>
      <c r="BA1680">
        <v>0</v>
      </c>
      <c r="BB1680">
        <v>0</v>
      </c>
      <c r="BC1680">
        <v>0</v>
      </c>
      <c r="BD1680">
        <v>0</v>
      </c>
      <c r="BE1680">
        <v>0</v>
      </c>
      <c r="BF1680">
        <v>0</v>
      </c>
      <c r="BG1680">
        <v>0</v>
      </c>
      <c r="BH1680">
        <v>2</v>
      </c>
      <c r="BI1680">
        <v>31</v>
      </c>
      <c r="BJ1680">
        <v>20.5</v>
      </c>
      <c r="BK1680">
        <v>31</v>
      </c>
      <c r="BL1680">
        <v>228.74</v>
      </c>
      <c r="BM1680">
        <v>34.31</v>
      </c>
      <c r="BN1680">
        <v>263.05</v>
      </c>
      <c r="BO1680">
        <v>263.05</v>
      </c>
      <c r="BQ1680" t="s">
        <v>582</v>
      </c>
      <c r="BR1680" t="s">
        <v>84</v>
      </c>
      <c r="BS1680" t="s">
        <v>189</v>
      </c>
      <c r="BV1680" t="s">
        <v>90</v>
      </c>
      <c r="BY1680">
        <v>102720</v>
      </c>
      <c r="CC1680" t="s">
        <v>101</v>
      </c>
      <c r="CD1680">
        <v>6056</v>
      </c>
      <c r="CE1680" t="s">
        <v>687</v>
      </c>
      <c r="CI1680">
        <v>3</v>
      </c>
      <c r="CJ1680" t="s">
        <v>189</v>
      </c>
      <c r="CK1680">
        <v>41</v>
      </c>
      <c r="CL1680" t="s">
        <v>90</v>
      </c>
    </row>
    <row r="1681" spans="1:90" x14ac:dyDescent="0.3">
      <c r="A1681" t="s">
        <v>72</v>
      </c>
      <c r="B1681" t="s">
        <v>73</v>
      </c>
      <c r="C1681" t="s">
        <v>74</v>
      </c>
      <c r="E1681" t="str">
        <f>"080065906871"</f>
        <v>080065906871</v>
      </c>
      <c r="F1681" s="3">
        <v>45819</v>
      </c>
      <c r="G1681">
        <v>202603</v>
      </c>
      <c r="H1681" t="s">
        <v>75</v>
      </c>
      <c r="I1681" t="s">
        <v>76</v>
      </c>
      <c r="J1681" t="s">
        <v>77</v>
      </c>
      <c r="K1681" t="s">
        <v>78</v>
      </c>
      <c r="L1681" t="s">
        <v>284</v>
      </c>
      <c r="M1681" t="s">
        <v>285</v>
      </c>
      <c r="N1681" t="s">
        <v>498</v>
      </c>
      <c r="O1681" t="s">
        <v>82</v>
      </c>
      <c r="P1681" t="str">
        <f>"4170043533                    "</f>
        <v xml:space="preserve">4170043533                    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16.32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0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>
        <v>0</v>
      </c>
      <c r="BD1681">
        <v>0</v>
      </c>
      <c r="BE1681">
        <v>0</v>
      </c>
      <c r="BF1681">
        <v>0</v>
      </c>
      <c r="BG1681">
        <v>0</v>
      </c>
      <c r="BH1681">
        <v>1</v>
      </c>
      <c r="BI1681">
        <v>1</v>
      </c>
      <c r="BJ1681">
        <v>0.8</v>
      </c>
      <c r="BK1681">
        <v>1</v>
      </c>
      <c r="BL1681">
        <v>54.28</v>
      </c>
      <c r="BM1681">
        <v>8.14</v>
      </c>
      <c r="BN1681">
        <v>62.42</v>
      </c>
      <c r="BO1681">
        <v>62.42</v>
      </c>
      <c r="BQ1681" t="s">
        <v>499</v>
      </c>
      <c r="BR1681" t="s">
        <v>84</v>
      </c>
      <c r="BS1681" t="s">
        <v>189</v>
      </c>
      <c r="BV1681" t="s">
        <v>90</v>
      </c>
      <c r="BY1681">
        <v>4000</v>
      </c>
      <c r="CC1681" t="s">
        <v>285</v>
      </c>
      <c r="CD1681">
        <v>1559</v>
      </c>
      <c r="CE1681" t="s">
        <v>166</v>
      </c>
      <c r="CI1681">
        <v>1</v>
      </c>
      <c r="CJ1681" t="s">
        <v>189</v>
      </c>
      <c r="CK1681">
        <v>22</v>
      </c>
      <c r="CL1681" t="s">
        <v>90</v>
      </c>
    </row>
    <row r="1682" spans="1:90" x14ac:dyDescent="0.3">
      <c r="A1682" t="s">
        <v>72</v>
      </c>
      <c r="B1682" t="s">
        <v>73</v>
      </c>
      <c r="C1682" t="s">
        <v>74</v>
      </c>
      <c r="E1682" t="str">
        <f>"080065906869"</f>
        <v>080065906869</v>
      </c>
      <c r="F1682" s="3">
        <v>45819</v>
      </c>
      <c r="G1682">
        <v>202603</v>
      </c>
      <c r="H1682" t="s">
        <v>75</v>
      </c>
      <c r="I1682" t="s">
        <v>76</v>
      </c>
      <c r="J1682" t="s">
        <v>77</v>
      </c>
      <c r="K1682" t="s">
        <v>78</v>
      </c>
      <c r="L1682" t="s">
        <v>331</v>
      </c>
      <c r="M1682" t="s">
        <v>332</v>
      </c>
      <c r="N1682" t="s">
        <v>1499</v>
      </c>
      <c r="O1682" t="s">
        <v>82</v>
      </c>
      <c r="P1682" t="str">
        <f>"4170043507                    "</f>
        <v xml:space="preserve">4170043507                    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>
        <v>62.66</v>
      </c>
      <c r="AR1682">
        <v>0</v>
      </c>
      <c r="AS1682">
        <v>0</v>
      </c>
      <c r="AT1682">
        <v>0</v>
      </c>
      <c r="AU1682">
        <v>0</v>
      </c>
      <c r="AV1682">
        <v>0</v>
      </c>
      <c r="AW1682">
        <v>0</v>
      </c>
      <c r="AX1682">
        <v>0</v>
      </c>
      <c r="AY1682">
        <v>0</v>
      </c>
      <c r="AZ1682">
        <v>0</v>
      </c>
      <c r="BA1682">
        <v>0</v>
      </c>
      <c r="BB1682">
        <v>0</v>
      </c>
      <c r="BC1682">
        <v>0</v>
      </c>
      <c r="BD1682">
        <v>0</v>
      </c>
      <c r="BE1682">
        <v>0</v>
      </c>
      <c r="BF1682">
        <v>0</v>
      </c>
      <c r="BG1682">
        <v>0</v>
      </c>
      <c r="BH1682">
        <v>1</v>
      </c>
      <c r="BI1682">
        <v>6</v>
      </c>
      <c r="BJ1682">
        <v>4.0999999999999996</v>
      </c>
      <c r="BK1682">
        <v>6</v>
      </c>
      <c r="BL1682">
        <v>208.38</v>
      </c>
      <c r="BM1682">
        <v>31.26</v>
      </c>
      <c r="BN1682">
        <v>239.64</v>
      </c>
      <c r="BO1682">
        <v>239.64</v>
      </c>
      <c r="BQ1682" t="s">
        <v>1500</v>
      </c>
      <c r="BR1682" t="s">
        <v>84</v>
      </c>
      <c r="BS1682" s="3">
        <v>45820</v>
      </c>
      <c r="BT1682" s="4">
        <v>0.34166666666666667</v>
      </c>
      <c r="BU1682" t="s">
        <v>335</v>
      </c>
      <c r="BV1682" t="s">
        <v>86</v>
      </c>
      <c r="BY1682">
        <v>20358</v>
      </c>
      <c r="CA1682" t="s">
        <v>336</v>
      </c>
      <c r="CC1682" t="s">
        <v>332</v>
      </c>
      <c r="CD1682">
        <v>4000</v>
      </c>
      <c r="CE1682" t="s">
        <v>687</v>
      </c>
      <c r="CI1682">
        <v>1</v>
      </c>
      <c r="CJ1682">
        <v>1</v>
      </c>
      <c r="CK1682">
        <v>21</v>
      </c>
      <c r="CL1682" t="s">
        <v>90</v>
      </c>
    </row>
    <row r="1683" spans="1:90" x14ac:dyDescent="0.3">
      <c r="A1683" t="s">
        <v>72</v>
      </c>
      <c r="B1683" t="s">
        <v>73</v>
      </c>
      <c r="C1683" t="s">
        <v>74</v>
      </c>
      <c r="E1683" t="str">
        <f>"080065906897"</f>
        <v>080065906897</v>
      </c>
      <c r="F1683" s="3">
        <v>45819</v>
      </c>
      <c r="G1683">
        <v>202603</v>
      </c>
      <c r="H1683" t="s">
        <v>75</v>
      </c>
      <c r="I1683" t="s">
        <v>76</v>
      </c>
      <c r="J1683" t="s">
        <v>77</v>
      </c>
      <c r="K1683" t="s">
        <v>78</v>
      </c>
      <c r="L1683" t="s">
        <v>100</v>
      </c>
      <c r="M1683" t="s">
        <v>101</v>
      </c>
      <c r="N1683" t="s">
        <v>123</v>
      </c>
      <c r="O1683" t="s">
        <v>94</v>
      </c>
      <c r="P1683" t="str">
        <f>"4170043590                    "</f>
        <v xml:space="preserve">4170043590                    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55.43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0</v>
      </c>
      <c r="AX1683">
        <v>0</v>
      </c>
      <c r="AY1683">
        <v>0</v>
      </c>
      <c r="AZ1683">
        <v>0</v>
      </c>
      <c r="BA1683">
        <v>0</v>
      </c>
      <c r="BB1683">
        <v>0</v>
      </c>
      <c r="BC1683">
        <v>0</v>
      </c>
      <c r="BD1683">
        <v>0</v>
      </c>
      <c r="BE1683">
        <v>0</v>
      </c>
      <c r="BF1683">
        <v>0</v>
      </c>
      <c r="BG1683">
        <v>0</v>
      </c>
      <c r="BH1683">
        <v>1</v>
      </c>
      <c r="BI1683">
        <v>11</v>
      </c>
      <c r="BJ1683">
        <v>23.2</v>
      </c>
      <c r="BK1683">
        <v>24</v>
      </c>
      <c r="BL1683">
        <v>189.9</v>
      </c>
      <c r="BM1683">
        <v>28.49</v>
      </c>
      <c r="BN1683">
        <v>218.39</v>
      </c>
      <c r="BO1683">
        <v>218.39</v>
      </c>
      <c r="BQ1683" t="s">
        <v>124</v>
      </c>
      <c r="BR1683" t="s">
        <v>84</v>
      </c>
      <c r="BS1683" t="s">
        <v>189</v>
      </c>
      <c r="BV1683" t="s">
        <v>90</v>
      </c>
      <c r="BY1683">
        <v>116000</v>
      </c>
      <c r="CC1683" t="s">
        <v>101</v>
      </c>
      <c r="CD1683">
        <v>6001</v>
      </c>
      <c r="CE1683" t="s">
        <v>687</v>
      </c>
      <c r="CI1683">
        <v>3</v>
      </c>
      <c r="CJ1683" t="s">
        <v>189</v>
      </c>
      <c r="CK1683">
        <v>41</v>
      </c>
      <c r="CL1683" t="s">
        <v>90</v>
      </c>
    </row>
    <row r="1684" spans="1:90" x14ac:dyDescent="0.3">
      <c r="A1684" t="s">
        <v>72</v>
      </c>
      <c r="B1684" t="s">
        <v>73</v>
      </c>
      <c r="C1684" t="s">
        <v>74</v>
      </c>
      <c r="E1684" t="str">
        <f>"080065906908"</f>
        <v>080065906908</v>
      </c>
      <c r="F1684" s="3">
        <v>45819</v>
      </c>
      <c r="G1684">
        <v>202603</v>
      </c>
      <c r="H1684" t="s">
        <v>75</v>
      </c>
      <c r="I1684" t="s">
        <v>76</v>
      </c>
      <c r="J1684" t="s">
        <v>77</v>
      </c>
      <c r="K1684" t="s">
        <v>78</v>
      </c>
      <c r="L1684" t="s">
        <v>1073</v>
      </c>
      <c r="M1684" t="s">
        <v>1074</v>
      </c>
      <c r="N1684" t="s">
        <v>2172</v>
      </c>
      <c r="O1684" t="s">
        <v>94</v>
      </c>
      <c r="P1684" t="str">
        <f>"4170043548                    "</f>
        <v xml:space="preserve">4170043548                    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>
        <v>57</v>
      </c>
      <c r="AR1684">
        <v>0</v>
      </c>
      <c r="AS1684">
        <v>0</v>
      </c>
      <c r="AT1684">
        <v>0</v>
      </c>
      <c r="AU1684">
        <v>0</v>
      </c>
      <c r="AV1684">
        <v>0</v>
      </c>
      <c r="AW1684">
        <v>16.739999999999998</v>
      </c>
      <c r="AX1684">
        <v>0</v>
      </c>
      <c r="AY1684">
        <v>0</v>
      </c>
      <c r="AZ1684">
        <v>0</v>
      </c>
      <c r="BA1684">
        <v>0</v>
      </c>
      <c r="BB1684">
        <v>0</v>
      </c>
      <c r="BC1684">
        <v>0</v>
      </c>
      <c r="BD1684">
        <v>0</v>
      </c>
      <c r="BE1684">
        <v>0</v>
      </c>
      <c r="BF1684">
        <v>0</v>
      </c>
      <c r="BG1684">
        <v>0</v>
      </c>
      <c r="BH1684">
        <v>2</v>
      </c>
      <c r="BI1684">
        <v>9</v>
      </c>
      <c r="BJ1684">
        <v>8.8000000000000007</v>
      </c>
      <c r="BK1684">
        <v>9</v>
      </c>
      <c r="BL1684">
        <v>211.86</v>
      </c>
      <c r="BM1684">
        <v>31.78</v>
      </c>
      <c r="BN1684">
        <v>243.64</v>
      </c>
      <c r="BO1684">
        <v>243.64</v>
      </c>
      <c r="BQ1684" t="s">
        <v>2173</v>
      </c>
      <c r="BR1684" t="s">
        <v>84</v>
      </c>
      <c r="BS1684" t="s">
        <v>189</v>
      </c>
      <c r="BV1684" t="s">
        <v>90</v>
      </c>
      <c r="BY1684">
        <v>44118</v>
      </c>
      <c r="BZ1684" t="s">
        <v>30</v>
      </c>
      <c r="CC1684" t="s">
        <v>1074</v>
      </c>
      <c r="CD1684">
        <v>221</v>
      </c>
      <c r="CE1684" t="s">
        <v>292</v>
      </c>
      <c r="CI1684">
        <v>1</v>
      </c>
      <c r="CJ1684" t="s">
        <v>189</v>
      </c>
      <c r="CK1684">
        <v>43</v>
      </c>
      <c r="CL1684" t="s">
        <v>90</v>
      </c>
    </row>
    <row r="1685" spans="1:90" x14ac:dyDescent="0.3">
      <c r="A1685" t="s">
        <v>72</v>
      </c>
      <c r="B1685" t="s">
        <v>73</v>
      </c>
      <c r="C1685" t="s">
        <v>74</v>
      </c>
      <c r="E1685" t="str">
        <f>"080065906961"</f>
        <v>080065906961</v>
      </c>
      <c r="F1685" s="3">
        <v>45819</v>
      </c>
      <c r="G1685">
        <v>202603</v>
      </c>
      <c r="H1685" t="s">
        <v>75</v>
      </c>
      <c r="I1685" t="s">
        <v>76</v>
      </c>
      <c r="J1685" t="s">
        <v>77</v>
      </c>
      <c r="K1685" t="s">
        <v>78</v>
      </c>
      <c r="L1685" t="s">
        <v>75</v>
      </c>
      <c r="M1685" t="s">
        <v>76</v>
      </c>
      <c r="N1685" t="s">
        <v>1518</v>
      </c>
      <c r="O1685" t="s">
        <v>276</v>
      </c>
      <c r="P1685" t="str">
        <f>"4170043591                    "</f>
        <v xml:space="preserve">4170043591                    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Q1685">
        <v>27.32</v>
      </c>
      <c r="AR1685">
        <v>0</v>
      </c>
      <c r="AS1685">
        <v>0</v>
      </c>
      <c r="AT1685">
        <v>0</v>
      </c>
      <c r="AU1685">
        <v>0</v>
      </c>
      <c r="AV1685">
        <v>0</v>
      </c>
      <c r="AW1685">
        <v>0</v>
      </c>
      <c r="AX1685">
        <v>0</v>
      </c>
      <c r="AY1685">
        <v>0</v>
      </c>
      <c r="AZ1685">
        <v>0</v>
      </c>
      <c r="BA1685">
        <v>0</v>
      </c>
      <c r="BB1685">
        <v>0</v>
      </c>
      <c r="BC1685">
        <v>0</v>
      </c>
      <c r="BD1685">
        <v>0</v>
      </c>
      <c r="BE1685">
        <v>0</v>
      </c>
      <c r="BF1685">
        <v>0</v>
      </c>
      <c r="BG1685">
        <v>0</v>
      </c>
      <c r="BH1685">
        <v>1</v>
      </c>
      <c r="BI1685">
        <v>14</v>
      </c>
      <c r="BJ1685">
        <v>12</v>
      </c>
      <c r="BK1685">
        <v>14</v>
      </c>
      <c r="BL1685">
        <v>90.85</v>
      </c>
      <c r="BM1685">
        <v>13.63</v>
      </c>
      <c r="BN1685">
        <v>104.48</v>
      </c>
      <c r="BO1685">
        <v>104.48</v>
      </c>
      <c r="BQ1685" t="s">
        <v>1519</v>
      </c>
      <c r="BR1685" t="s">
        <v>84</v>
      </c>
      <c r="BS1685" t="s">
        <v>189</v>
      </c>
      <c r="BV1685" t="s">
        <v>90</v>
      </c>
      <c r="BY1685">
        <v>60000</v>
      </c>
      <c r="CC1685" t="s">
        <v>76</v>
      </c>
      <c r="CD1685">
        <v>1601</v>
      </c>
      <c r="CE1685" t="s">
        <v>687</v>
      </c>
      <c r="CI1685">
        <v>1</v>
      </c>
      <c r="CJ1685" t="s">
        <v>189</v>
      </c>
      <c r="CK1685">
        <v>32</v>
      </c>
      <c r="CL1685" t="s">
        <v>90</v>
      </c>
    </row>
    <row r="1686" spans="1:90" x14ac:dyDescent="0.3">
      <c r="A1686" t="s">
        <v>72</v>
      </c>
      <c r="B1686" t="s">
        <v>73</v>
      </c>
      <c r="C1686" t="s">
        <v>74</v>
      </c>
      <c r="E1686" t="str">
        <f>"080065906979"</f>
        <v>080065906979</v>
      </c>
      <c r="F1686" s="3">
        <v>45819</v>
      </c>
      <c r="G1686">
        <v>202603</v>
      </c>
      <c r="H1686" t="s">
        <v>75</v>
      </c>
      <c r="I1686" t="s">
        <v>76</v>
      </c>
      <c r="J1686" t="s">
        <v>77</v>
      </c>
      <c r="K1686" t="s">
        <v>78</v>
      </c>
      <c r="L1686" t="s">
        <v>555</v>
      </c>
      <c r="M1686" t="s">
        <v>556</v>
      </c>
      <c r="N1686" t="s">
        <v>2174</v>
      </c>
      <c r="O1686" t="s">
        <v>82</v>
      </c>
      <c r="P1686" t="str">
        <f>"4170043539                    "</f>
        <v xml:space="preserve">4170043539                    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40.49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  <c r="BE1686">
        <v>0</v>
      </c>
      <c r="BF1686">
        <v>0</v>
      </c>
      <c r="BG1686">
        <v>0</v>
      </c>
      <c r="BH1686">
        <v>1</v>
      </c>
      <c r="BI1686">
        <v>1</v>
      </c>
      <c r="BJ1686">
        <v>0.2</v>
      </c>
      <c r="BK1686">
        <v>1</v>
      </c>
      <c r="BL1686">
        <v>134.65</v>
      </c>
      <c r="BM1686">
        <v>20.2</v>
      </c>
      <c r="BN1686">
        <v>154.85</v>
      </c>
      <c r="BO1686">
        <v>154.85</v>
      </c>
      <c r="BQ1686" t="s">
        <v>2175</v>
      </c>
      <c r="BR1686" t="s">
        <v>84</v>
      </c>
      <c r="BS1686" t="s">
        <v>189</v>
      </c>
      <c r="BV1686" t="s">
        <v>90</v>
      </c>
      <c r="BY1686">
        <v>1200</v>
      </c>
      <c r="CC1686" t="s">
        <v>556</v>
      </c>
      <c r="CD1686">
        <v>250</v>
      </c>
      <c r="CE1686" t="s">
        <v>215</v>
      </c>
      <c r="CI1686">
        <v>1</v>
      </c>
      <c r="CJ1686" t="s">
        <v>189</v>
      </c>
      <c r="CK1686">
        <v>23</v>
      </c>
      <c r="CL1686" t="s">
        <v>90</v>
      </c>
    </row>
    <row r="1687" spans="1:90" x14ac:dyDescent="0.3">
      <c r="A1687" t="s">
        <v>72</v>
      </c>
      <c r="B1687" t="s">
        <v>73</v>
      </c>
      <c r="C1687" t="s">
        <v>74</v>
      </c>
      <c r="E1687" t="str">
        <f>"080065907000"</f>
        <v>080065907000</v>
      </c>
      <c r="F1687" s="3">
        <v>45819</v>
      </c>
      <c r="G1687">
        <v>202603</v>
      </c>
      <c r="H1687" t="s">
        <v>75</v>
      </c>
      <c r="I1687" t="s">
        <v>76</v>
      </c>
      <c r="J1687" t="s">
        <v>77</v>
      </c>
      <c r="K1687" t="s">
        <v>78</v>
      </c>
      <c r="L1687" t="s">
        <v>159</v>
      </c>
      <c r="M1687" t="s">
        <v>160</v>
      </c>
      <c r="N1687" t="s">
        <v>230</v>
      </c>
      <c r="O1687" t="s">
        <v>82</v>
      </c>
      <c r="P1687" t="str">
        <f>"4170043624                    "</f>
        <v xml:space="preserve">4170043624                    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16.32</v>
      </c>
      <c r="AR1687">
        <v>0</v>
      </c>
      <c r="AS1687">
        <v>0</v>
      </c>
      <c r="AT1687">
        <v>0</v>
      </c>
      <c r="AU1687">
        <v>0</v>
      </c>
      <c r="AV1687">
        <v>0</v>
      </c>
      <c r="AW1687">
        <v>0</v>
      </c>
      <c r="AX1687">
        <v>0</v>
      </c>
      <c r="AY1687">
        <v>0</v>
      </c>
      <c r="AZ1687">
        <v>0</v>
      </c>
      <c r="BA1687">
        <v>0</v>
      </c>
      <c r="BB1687">
        <v>0</v>
      </c>
      <c r="BC1687">
        <v>0</v>
      </c>
      <c r="BD1687">
        <v>0</v>
      </c>
      <c r="BE1687">
        <v>0</v>
      </c>
      <c r="BF1687">
        <v>0</v>
      </c>
      <c r="BG1687">
        <v>0</v>
      </c>
      <c r="BH1687">
        <v>1</v>
      </c>
      <c r="BI1687">
        <v>1</v>
      </c>
      <c r="BJ1687">
        <v>0.2</v>
      </c>
      <c r="BK1687">
        <v>1</v>
      </c>
      <c r="BL1687">
        <v>54.28</v>
      </c>
      <c r="BM1687">
        <v>8.14</v>
      </c>
      <c r="BN1687">
        <v>62.42</v>
      </c>
      <c r="BO1687">
        <v>62.42</v>
      </c>
      <c r="BQ1687" t="s">
        <v>231</v>
      </c>
      <c r="BR1687" t="s">
        <v>84</v>
      </c>
      <c r="BS1687" t="s">
        <v>189</v>
      </c>
      <c r="BV1687" t="s">
        <v>90</v>
      </c>
      <c r="BY1687">
        <v>1200</v>
      </c>
      <c r="CC1687" t="s">
        <v>160</v>
      </c>
      <c r="CD1687">
        <v>2094</v>
      </c>
      <c r="CE1687" t="s">
        <v>215</v>
      </c>
      <c r="CI1687">
        <v>1</v>
      </c>
      <c r="CJ1687" t="s">
        <v>189</v>
      </c>
      <c r="CK1687">
        <v>22</v>
      </c>
      <c r="CL1687" t="s">
        <v>90</v>
      </c>
    </row>
    <row r="1688" spans="1:90" x14ac:dyDescent="0.3">
      <c r="A1688" t="s">
        <v>72</v>
      </c>
      <c r="B1688" t="s">
        <v>73</v>
      </c>
      <c r="C1688" t="s">
        <v>74</v>
      </c>
      <c r="E1688" t="str">
        <f>"080065907114"</f>
        <v>080065907114</v>
      </c>
      <c r="F1688" s="3">
        <v>45819</v>
      </c>
      <c r="G1688">
        <v>202603</v>
      </c>
      <c r="H1688" t="s">
        <v>75</v>
      </c>
      <c r="I1688" t="s">
        <v>76</v>
      </c>
      <c r="J1688" t="s">
        <v>77</v>
      </c>
      <c r="K1688" t="s">
        <v>78</v>
      </c>
      <c r="L1688" t="s">
        <v>331</v>
      </c>
      <c r="M1688" t="s">
        <v>332</v>
      </c>
      <c r="N1688" t="s">
        <v>2176</v>
      </c>
      <c r="O1688" t="s">
        <v>82</v>
      </c>
      <c r="P1688" t="str">
        <f>"4170043545                    "</f>
        <v xml:space="preserve">4170043545                    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20.9</v>
      </c>
      <c r="AR1688">
        <v>0</v>
      </c>
      <c r="AS1688">
        <v>0</v>
      </c>
      <c r="AT1688">
        <v>0</v>
      </c>
      <c r="AU1688">
        <v>0</v>
      </c>
      <c r="AV1688">
        <v>0</v>
      </c>
      <c r="AW1688">
        <v>0</v>
      </c>
      <c r="AX1688">
        <v>0</v>
      </c>
      <c r="AY1688">
        <v>0</v>
      </c>
      <c r="AZ1688">
        <v>0</v>
      </c>
      <c r="BA1688">
        <v>0</v>
      </c>
      <c r="BB1688">
        <v>0</v>
      </c>
      <c r="BC1688">
        <v>0</v>
      </c>
      <c r="BD1688">
        <v>0</v>
      </c>
      <c r="BE1688">
        <v>0</v>
      </c>
      <c r="BF1688">
        <v>0</v>
      </c>
      <c r="BG1688">
        <v>0</v>
      </c>
      <c r="BH1688">
        <v>1</v>
      </c>
      <c r="BI1688">
        <v>1</v>
      </c>
      <c r="BJ1688">
        <v>0.2</v>
      </c>
      <c r="BK1688">
        <v>1</v>
      </c>
      <c r="BL1688">
        <v>69.5</v>
      </c>
      <c r="BM1688">
        <v>10.43</v>
      </c>
      <c r="BN1688">
        <v>79.930000000000007</v>
      </c>
      <c r="BO1688">
        <v>79.930000000000007</v>
      </c>
      <c r="BQ1688" t="s">
        <v>2177</v>
      </c>
      <c r="BR1688" t="s">
        <v>84</v>
      </c>
      <c r="BS1688" t="s">
        <v>189</v>
      </c>
      <c r="BV1688" t="s">
        <v>90</v>
      </c>
      <c r="BY1688">
        <v>1200</v>
      </c>
      <c r="CC1688" t="s">
        <v>332</v>
      </c>
      <c r="CD1688">
        <v>4068</v>
      </c>
      <c r="CE1688" t="s">
        <v>215</v>
      </c>
      <c r="CI1688">
        <v>1</v>
      </c>
      <c r="CJ1688" t="s">
        <v>189</v>
      </c>
      <c r="CK1688">
        <v>21</v>
      </c>
      <c r="CL1688" t="s">
        <v>90</v>
      </c>
    </row>
    <row r="1689" spans="1:90" x14ac:dyDescent="0.3">
      <c r="A1689" t="s">
        <v>72</v>
      </c>
      <c r="B1689" t="s">
        <v>73</v>
      </c>
      <c r="C1689" t="s">
        <v>74</v>
      </c>
      <c r="E1689" t="str">
        <f>"080065907132"</f>
        <v>080065907132</v>
      </c>
      <c r="F1689" s="3">
        <v>45819</v>
      </c>
      <c r="G1689">
        <v>202603</v>
      </c>
      <c r="H1689" t="s">
        <v>75</v>
      </c>
      <c r="I1689" t="s">
        <v>76</v>
      </c>
      <c r="J1689" t="s">
        <v>77</v>
      </c>
      <c r="K1689" t="s">
        <v>78</v>
      </c>
      <c r="L1689" t="s">
        <v>100</v>
      </c>
      <c r="M1689" t="s">
        <v>101</v>
      </c>
      <c r="N1689" t="s">
        <v>123</v>
      </c>
      <c r="O1689" t="s">
        <v>94</v>
      </c>
      <c r="P1689" t="str">
        <f>"4170043604                    "</f>
        <v xml:space="preserve">4170043604                    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Q1689">
        <v>62.1</v>
      </c>
      <c r="AR1689">
        <v>0</v>
      </c>
      <c r="AS1689">
        <v>0</v>
      </c>
      <c r="AT1689">
        <v>0</v>
      </c>
      <c r="AU1689">
        <v>0</v>
      </c>
      <c r="AV1689">
        <v>0</v>
      </c>
      <c r="AW1689">
        <v>0</v>
      </c>
      <c r="AX1689">
        <v>0</v>
      </c>
      <c r="AY1689">
        <v>0</v>
      </c>
      <c r="AZ1689">
        <v>0</v>
      </c>
      <c r="BA1689">
        <v>0</v>
      </c>
      <c r="BB1689">
        <v>0</v>
      </c>
      <c r="BC1689">
        <v>0</v>
      </c>
      <c r="BD1689">
        <v>0</v>
      </c>
      <c r="BE1689">
        <v>0</v>
      </c>
      <c r="BF1689">
        <v>0</v>
      </c>
      <c r="BG1689">
        <v>0</v>
      </c>
      <c r="BH1689">
        <v>3</v>
      </c>
      <c r="BI1689">
        <v>13</v>
      </c>
      <c r="BJ1689">
        <v>27.5</v>
      </c>
      <c r="BK1689">
        <v>28</v>
      </c>
      <c r="BL1689">
        <v>212.09</v>
      </c>
      <c r="BM1689">
        <v>31.81</v>
      </c>
      <c r="BN1689">
        <v>243.9</v>
      </c>
      <c r="BO1689">
        <v>243.9</v>
      </c>
      <c r="BQ1689" t="s">
        <v>124</v>
      </c>
      <c r="BR1689" t="s">
        <v>84</v>
      </c>
      <c r="BS1689" t="s">
        <v>189</v>
      </c>
      <c r="BV1689" t="s">
        <v>90</v>
      </c>
      <c r="BY1689">
        <v>137536</v>
      </c>
      <c r="CC1689" t="s">
        <v>101</v>
      </c>
      <c r="CD1689">
        <v>6001</v>
      </c>
      <c r="CE1689" t="s">
        <v>687</v>
      </c>
      <c r="CI1689">
        <v>3</v>
      </c>
      <c r="CJ1689" t="s">
        <v>189</v>
      </c>
      <c r="CK1689">
        <v>41</v>
      </c>
      <c r="CL1689" t="s">
        <v>90</v>
      </c>
    </row>
    <row r="1690" spans="1:90" x14ac:dyDescent="0.3">
      <c r="A1690" t="s">
        <v>72</v>
      </c>
      <c r="B1690" t="s">
        <v>73</v>
      </c>
      <c r="C1690" t="s">
        <v>74</v>
      </c>
      <c r="E1690" t="str">
        <f>"080065907163"</f>
        <v>080065907163</v>
      </c>
      <c r="F1690" s="3">
        <v>45819</v>
      </c>
      <c r="G1690">
        <v>202603</v>
      </c>
      <c r="H1690" t="s">
        <v>75</v>
      </c>
      <c r="I1690" t="s">
        <v>76</v>
      </c>
      <c r="J1690" t="s">
        <v>77</v>
      </c>
      <c r="K1690" t="s">
        <v>78</v>
      </c>
      <c r="L1690" t="s">
        <v>628</v>
      </c>
      <c r="M1690" t="s">
        <v>629</v>
      </c>
      <c r="N1690" t="s">
        <v>1981</v>
      </c>
      <c r="O1690" t="s">
        <v>82</v>
      </c>
      <c r="P1690" t="str">
        <f>"4170043594                    "</f>
        <v xml:space="preserve">4170043594                    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187.94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0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>
        <v>0</v>
      </c>
      <c r="BD1690">
        <v>0</v>
      </c>
      <c r="BE1690">
        <v>0</v>
      </c>
      <c r="BF1690">
        <v>0</v>
      </c>
      <c r="BG1690">
        <v>0</v>
      </c>
      <c r="BH1690">
        <v>1</v>
      </c>
      <c r="BI1690">
        <v>18</v>
      </c>
      <c r="BJ1690">
        <v>7</v>
      </c>
      <c r="BK1690">
        <v>18</v>
      </c>
      <c r="BL1690">
        <v>625.02</v>
      </c>
      <c r="BM1690">
        <v>93.75</v>
      </c>
      <c r="BN1690">
        <v>718.77</v>
      </c>
      <c r="BO1690">
        <v>718.77</v>
      </c>
      <c r="BQ1690" t="s">
        <v>1982</v>
      </c>
      <c r="BR1690" t="s">
        <v>84</v>
      </c>
      <c r="BS1690" t="s">
        <v>189</v>
      </c>
      <c r="BV1690" t="s">
        <v>90</v>
      </c>
      <c r="BY1690">
        <v>34960</v>
      </c>
      <c r="CC1690" t="s">
        <v>629</v>
      </c>
      <c r="CD1690">
        <v>6220</v>
      </c>
      <c r="CE1690" t="s">
        <v>687</v>
      </c>
      <c r="CI1690">
        <v>1</v>
      </c>
      <c r="CJ1690" t="s">
        <v>189</v>
      </c>
      <c r="CK1690">
        <v>21</v>
      </c>
      <c r="CL1690" t="s">
        <v>90</v>
      </c>
    </row>
    <row r="1691" spans="1:90" x14ac:dyDescent="0.3">
      <c r="A1691" t="s">
        <v>72</v>
      </c>
      <c r="B1691" t="s">
        <v>73</v>
      </c>
      <c r="C1691" t="s">
        <v>74</v>
      </c>
      <c r="E1691" t="str">
        <f>"080065907215"</f>
        <v>080065907215</v>
      </c>
      <c r="F1691" s="3">
        <v>45819</v>
      </c>
      <c r="G1691">
        <v>202603</v>
      </c>
      <c r="H1691" t="s">
        <v>75</v>
      </c>
      <c r="I1691" t="s">
        <v>76</v>
      </c>
      <c r="J1691" t="s">
        <v>77</v>
      </c>
      <c r="K1691" t="s">
        <v>78</v>
      </c>
      <c r="L1691" t="s">
        <v>91</v>
      </c>
      <c r="M1691" t="s">
        <v>92</v>
      </c>
      <c r="N1691" t="s">
        <v>763</v>
      </c>
      <c r="O1691" t="s">
        <v>82</v>
      </c>
      <c r="P1691" t="str">
        <f>"4170043595                    "</f>
        <v xml:space="preserve">4170043595                    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41.78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0</v>
      </c>
      <c r="AX1691">
        <v>0</v>
      </c>
      <c r="AY1691">
        <v>0</v>
      </c>
      <c r="AZ1691">
        <v>0</v>
      </c>
      <c r="BA1691">
        <v>0</v>
      </c>
      <c r="BB1691">
        <v>0</v>
      </c>
      <c r="BC1691">
        <v>0</v>
      </c>
      <c r="BD1691">
        <v>0</v>
      </c>
      <c r="BE1691">
        <v>0</v>
      </c>
      <c r="BF1691">
        <v>0</v>
      </c>
      <c r="BG1691">
        <v>0</v>
      </c>
      <c r="BH1691">
        <v>1</v>
      </c>
      <c r="BI1691">
        <v>1</v>
      </c>
      <c r="BJ1691">
        <v>3.7</v>
      </c>
      <c r="BK1691">
        <v>4</v>
      </c>
      <c r="BL1691">
        <v>138.94</v>
      </c>
      <c r="BM1691">
        <v>20.84</v>
      </c>
      <c r="BN1691">
        <v>159.78</v>
      </c>
      <c r="BO1691">
        <v>159.78</v>
      </c>
      <c r="BQ1691" t="s">
        <v>764</v>
      </c>
      <c r="BR1691" t="s">
        <v>84</v>
      </c>
      <c r="BS1691" t="s">
        <v>189</v>
      </c>
      <c r="BV1691" t="s">
        <v>90</v>
      </c>
      <c r="BY1691">
        <v>18304</v>
      </c>
      <c r="CC1691" t="s">
        <v>92</v>
      </c>
      <c r="CD1691">
        <v>7550</v>
      </c>
      <c r="CE1691" t="s">
        <v>687</v>
      </c>
      <c r="CI1691">
        <v>1</v>
      </c>
      <c r="CJ1691" t="s">
        <v>189</v>
      </c>
      <c r="CK1691">
        <v>21</v>
      </c>
      <c r="CL1691" t="s">
        <v>90</v>
      </c>
    </row>
    <row r="1692" spans="1:90" x14ac:dyDescent="0.3">
      <c r="A1692" t="s">
        <v>72</v>
      </c>
      <c r="B1692" t="s">
        <v>73</v>
      </c>
      <c r="C1692" t="s">
        <v>74</v>
      </c>
      <c r="E1692" t="str">
        <f>"080065907245"</f>
        <v>080065907245</v>
      </c>
      <c r="F1692" s="3">
        <v>45819</v>
      </c>
      <c r="G1692">
        <v>202603</v>
      </c>
      <c r="H1692" t="s">
        <v>75</v>
      </c>
      <c r="I1692" t="s">
        <v>76</v>
      </c>
      <c r="J1692" t="s">
        <v>77</v>
      </c>
      <c r="K1692" t="s">
        <v>78</v>
      </c>
      <c r="L1692" t="s">
        <v>331</v>
      </c>
      <c r="M1692" t="s">
        <v>332</v>
      </c>
      <c r="N1692" t="s">
        <v>845</v>
      </c>
      <c r="O1692" t="s">
        <v>82</v>
      </c>
      <c r="P1692" t="str">
        <f>"4170043616                    "</f>
        <v xml:space="preserve">4170043616                    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>
        <v>36.56</v>
      </c>
      <c r="AR1692">
        <v>0</v>
      </c>
      <c r="AS1692">
        <v>0</v>
      </c>
      <c r="AT1692">
        <v>0</v>
      </c>
      <c r="AU1692">
        <v>0</v>
      </c>
      <c r="AV1692">
        <v>0</v>
      </c>
      <c r="AW1692">
        <v>0</v>
      </c>
      <c r="AX1692">
        <v>0</v>
      </c>
      <c r="AY1692">
        <v>0</v>
      </c>
      <c r="AZ1692">
        <v>0</v>
      </c>
      <c r="BA1692">
        <v>0</v>
      </c>
      <c r="BB1692">
        <v>0</v>
      </c>
      <c r="BC1692">
        <v>0</v>
      </c>
      <c r="BD1692">
        <v>0</v>
      </c>
      <c r="BE1692">
        <v>0</v>
      </c>
      <c r="BF1692">
        <v>0</v>
      </c>
      <c r="BG1692">
        <v>0</v>
      </c>
      <c r="BH1692">
        <v>1</v>
      </c>
      <c r="BI1692">
        <v>1</v>
      </c>
      <c r="BJ1692">
        <v>3.1</v>
      </c>
      <c r="BK1692">
        <v>3.5</v>
      </c>
      <c r="BL1692">
        <v>121.58</v>
      </c>
      <c r="BM1692">
        <v>18.239999999999998</v>
      </c>
      <c r="BN1692">
        <v>139.82</v>
      </c>
      <c r="BO1692">
        <v>139.82</v>
      </c>
      <c r="BQ1692" t="s">
        <v>846</v>
      </c>
      <c r="BR1692" t="s">
        <v>84</v>
      </c>
      <c r="BS1692" t="s">
        <v>189</v>
      </c>
      <c r="BV1692" t="s">
        <v>90</v>
      </c>
      <c r="BY1692">
        <v>15360</v>
      </c>
      <c r="CC1692" t="s">
        <v>332</v>
      </c>
      <c r="CD1692">
        <v>4051</v>
      </c>
      <c r="CE1692" t="s">
        <v>687</v>
      </c>
      <c r="CI1692">
        <v>1</v>
      </c>
      <c r="CJ1692" t="s">
        <v>189</v>
      </c>
      <c r="CK1692">
        <v>21</v>
      </c>
      <c r="CL1692" t="s">
        <v>90</v>
      </c>
    </row>
    <row r="1693" spans="1:90" x14ac:dyDescent="0.3">
      <c r="A1693" t="s">
        <v>72</v>
      </c>
      <c r="B1693" t="s">
        <v>73</v>
      </c>
      <c r="C1693" t="s">
        <v>74</v>
      </c>
      <c r="E1693" t="str">
        <f>"080065907298"</f>
        <v>080065907298</v>
      </c>
      <c r="F1693" s="3">
        <v>45819</v>
      </c>
      <c r="G1693">
        <v>202603</v>
      </c>
      <c r="H1693" t="s">
        <v>75</v>
      </c>
      <c r="I1693" t="s">
        <v>76</v>
      </c>
      <c r="J1693" t="s">
        <v>77</v>
      </c>
      <c r="K1693" t="s">
        <v>78</v>
      </c>
      <c r="L1693" t="s">
        <v>100</v>
      </c>
      <c r="M1693" t="s">
        <v>101</v>
      </c>
      <c r="N1693" t="s">
        <v>123</v>
      </c>
      <c r="O1693" t="s">
        <v>94</v>
      </c>
      <c r="P1693" t="str">
        <f>"4170043592                    "</f>
        <v xml:space="preserve">4170043592                    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Q1693">
        <v>53.76</v>
      </c>
      <c r="AR1693">
        <v>0</v>
      </c>
      <c r="AS1693">
        <v>0</v>
      </c>
      <c r="AT1693">
        <v>0</v>
      </c>
      <c r="AU1693">
        <v>0</v>
      </c>
      <c r="AV1693">
        <v>0</v>
      </c>
      <c r="AW1693">
        <v>0</v>
      </c>
      <c r="AX1693">
        <v>0</v>
      </c>
      <c r="AY1693">
        <v>0</v>
      </c>
      <c r="AZ1693">
        <v>0</v>
      </c>
      <c r="BA1693">
        <v>0</v>
      </c>
      <c r="BB1693">
        <v>0</v>
      </c>
      <c r="BC1693">
        <v>0</v>
      </c>
      <c r="BD1693">
        <v>0</v>
      </c>
      <c r="BE1693">
        <v>0</v>
      </c>
      <c r="BF1693">
        <v>0</v>
      </c>
      <c r="BG1693">
        <v>0</v>
      </c>
      <c r="BH1693">
        <v>1</v>
      </c>
      <c r="BI1693">
        <v>9</v>
      </c>
      <c r="BJ1693">
        <v>22.4</v>
      </c>
      <c r="BK1693">
        <v>23</v>
      </c>
      <c r="BL1693">
        <v>184.35</v>
      </c>
      <c r="BM1693">
        <v>27.65</v>
      </c>
      <c r="BN1693">
        <v>212</v>
      </c>
      <c r="BO1693">
        <v>212</v>
      </c>
      <c r="BQ1693" t="s">
        <v>124</v>
      </c>
      <c r="BR1693" t="s">
        <v>84</v>
      </c>
      <c r="BS1693" t="s">
        <v>189</v>
      </c>
      <c r="BV1693" t="s">
        <v>90</v>
      </c>
      <c r="BY1693">
        <v>112000</v>
      </c>
      <c r="CC1693" t="s">
        <v>101</v>
      </c>
      <c r="CD1693">
        <v>6001</v>
      </c>
      <c r="CE1693" t="s">
        <v>2178</v>
      </c>
      <c r="CI1693">
        <v>3</v>
      </c>
      <c r="CJ1693" t="s">
        <v>189</v>
      </c>
      <c r="CK1693">
        <v>41</v>
      </c>
      <c r="CL1693" t="s">
        <v>90</v>
      </c>
    </row>
    <row r="1694" spans="1:90" x14ac:dyDescent="0.3">
      <c r="A1694" t="s">
        <v>72</v>
      </c>
      <c r="B1694" t="s">
        <v>73</v>
      </c>
      <c r="C1694" t="s">
        <v>74</v>
      </c>
      <c r="E1694" t="str">
        <f>"080065907327"</f>
        <v>080065907327</v>
      </c>
      <c r="F1694" s="3">
        <v>45819</v>
      </c>
      <c r="G1694">
        <v>202603</v>
      </c>
      <c r="H1694" t="s">
        <v>75</v>
      </c>
      <c r="I1694" t="s">
        <v>76</v>
      </c>
      <c r="J1694" t="s">
        <v>77</v>
      </c>
      <c r="K1694" t="s">
        <v>78</v>
      </c>
      <c r="L1694" t="s">
        <v>2179</v>
      </c>
      <c r="M1694" t="s">
        <v>2179</v>
      </c>
      <c r="N1694" t="s">
        <v>1002</v>
      </c>
      <c r="O1694" t="s">
        <v>82</v>
      </c>
      <c r="P1694" t="str">
        <f>"4170043621                    "</f>
        <v xml:space="preserve">4170043621                    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65.17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  <c r="BE1694">
        <v>0</v>
      </c>
      <c r="BF1694">
        <v>0</v>
      </c>
      <c r="BG1694">
        <v>0</v>
      </c>
      <c r="BH1694">
        <v>1</v>
      </c>
      <c r="BI1694">
        <v>3</v>
      </c>
      <c r="BJ1694">
        <v>4.5</v>
      </c>
      <c r="BK1694">
        <v>4.5</v>
      </c>
      <c r="BL1694">
        <v>216.72</v>
      </c>
      <c r="BM1694">
        <v>32.51</v>
      </c>
      <c r="BN1694">
        <v>249.23</v>
      </c>
      <c r="BO1694">
        <v>249.23</v>
      </c>
      <c r="BQ1694" t="s">
        <v>1003</v>
      </c>
      <c r="BR1694" t="s">
        <v>84</v>
      </c>
      <c r="BS1694" t="s">
        <v>189</v>
      </c>
      <c r="BV1694" t="s">
        <v>90</v>
      </c>
      <c r="BY1694">
        <v>22620</v>
      </c>
      <c r="CC1694" t="s">
        <v>2179</v>
      </c>
      <c r="CD1694">
        <v>1491</v>
      </c>
      <c r="CE1694" t="s">
        <v>687</v>
      </c>
      <c r="CI1694">
        <v>1</v>
      </c>
      <c r="CJ1694" t="s">
        <v>189</v>
      </c>
      <c r="CK1694">
        <v>24</v>
      </c>
      <c r="CL1694" t="s">
        <v>90</v>
      </c>
    </row>
    <row r="1695" spans="1:90" x14ac:dyDescent="0.3">
      <c r="A1695" t="s">
        <v>72</v>
      </c>
      <c r="B1695" t="s">
        <v>73</v>
      </c>
      <c r="C1695" t="s">
        <v>74</v>
      </c>
      <c r="E1695" t="str">
        <f>"080065907368"</f>
        <v>080065907368</v>
      </c>
      <c r="F1695" s="3">
        <v>45819</v>
      </c>
      <c r="G1695">
        <v>202603</v>
      </c>
      <c r="H1695" t="s">
        <v>75</v>
      </c>
      <c r="I1695" t="s">
        <v>76</v>
      </c>
      <c r="J1695" t="s">
        <v>77</v>
      </c>
      <c r="K1695" t="s">
        <v>78</v>
      </c>
      <c r="L1695" t="s">
        <v>79</v>
      </c>
      <c r="M1695" t="s">
        <v>80</v>
      </c>
      <c r="N1695" t="s">
        <v>81</v>
      </c>
      <c r="O1695" t="s">
        <v>94</v>
      </c>
      <c r="P1695" t="str">
        <f>"4170043573                    "</f>
        <v xml:space="preserve">4170043573                    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46.96</v>
      </c>
      <c r="AR1695">
        <v>0</v>
      </c>
      <c r="AS1695">
        <v>0</v>
      </c>
      <c r="AT1695">
        <v>0</v>
      </c>
      <c r="AU1695">
        <v>0</v>
      </c>
      <c r="AV1695">
        <v>0</v>
      </c>
      <c r="AW1695">
        <v>0</v>
      </c>
      <c r="AX1695">
        <v>0</v>
      </c>
      <c r="AY1695">
        <v>0</v>
      </c>
      <c r="AZ1695">
        <v>0</v>
      </c>
      <c r="BA1695">
        <v>0</v>
      </c>
      <c r="BB1695">
        <v>0</v>
      </c>
      <c r="BC1695">
        <v>0</v>
      </c>
      <c r="BD1695">
        <v>0</v>
      </c>
      <c r="BE1695">
        <v>0</v>
      </c>
      <c r="BF1695">
        <v>0</v>
      </c>
      <c r="BG1695">
        <v>0</v>
      </c>
      <c r="BH1695">
        <v>1</v>
      </c>
      <c r="BI1695">
        <v>17</v>
      </c>
      <c r="BJ1695">
        <v>11</v>
      </c>
      <c r="BK1695">
        <v>17</v>
      </c>
      <c r="BL1695">
        <v>161.74</v>
      </c>
      <c r="BM1695">
        <v>24.26</v>
      </c>
      <c r="BN1695">
        <v>186</v>
      </c>
      <c r="BO1695">
        <v>186</v>
      </c>
      <c r="BQ1695" t="s">
        <v>83</v>
      </c>
      <c r="BR1695" t="s">
        <v>84</v>
      </c>
      <c r="BS1695" t="s">
        <v>189</v>
      </c>
      <c r="BV1695" t="s">
        <v>90</v>
      </c>
      <c r="BY1695">
        <v>55200</v>
      </c>
      <c r="CC1695" t="s">
        <v>80</v>
      </c>
      <c r="CD1695">
        <v>1739</v>
      </c>
      <c r="CE1695" t="s">
        <v>687</v>
      </c>
      <c r="CI1695">
        <v>1</v>
      </c>
      <c r="CJ1695" t="s">
        <v>189</v>
      </c>
      <c r="CK1695">
        <v>44</v>
      </c>
      <c r="CL1695" t="s">
        <v>90</v>
      </c>
    </row>
    <row r="1696" spans="1:90" x14ac:dyDescent="0.3">
      <c r="A1696" t="s">
        <v>72</v>
      </c>
      <c r="B1696" t="s">
        <v>73</v>
      </c>
      <c r="C1696" t="s">
        <v>74</v>
      </c>
      <c r="E1696" t="str">
        <f>"080065907406"</f>
        <v>080065907406</v>
      </c>
      <c r="F1696" s="3">
        <v>45819</v>
      </c>
      <c r="G1696">
        <v>202603</v>
      </c>
      <c r="H1696" t="s">
        <v>75</v>
      </c>
      <c r="I1696" t="s">
        <v>76</v>
      </c>
      <c r="J1696" t="s">
        <v>77</v>
      </c>
      <c r="K1696" t="s">
        <v>78</v>
      </c>
      <c r="L1696" t="s">
        <v>91</v>
      </c>
      <c r="M1696" t="s">
        <v>92</v>
      </c>
      <c r="N1696" t="s">
        <v>763</v>
      </c>
      <c r="O1696" t="s">
        <v>82</v>
      </c>
      <c r="P1696" t="str">
        <f>"4170043596                    "</f>
        <v xml:space="preserve">4170043596                    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156.62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0</v>
      </c>
      <c r="AX1696">
        <v>0</v>
      </c>
      <c r="AY1696">
        <v>0</v>
      </c>
      <c r="AZ1696">
        <v>0</v>
      </c>
      <c r="BA1696">
        <v>0</v>
      </c>
      <c r="BB1696">
        <v>0</v>
      </c>
      <c r="BC1696">
        <v>0</v>
      </c>
      <c r="BD1696">
        <v>0</v>
      </c>
      <c r="BE1696">
        <v>0</v>
      </c>
      <c r="BF1696">
        <v>0</v>
      </c>
      <c r="BG1696">
        <v>0</v>
      </c>
      <c r="BH1696">
        <v>1</v>
      </c>
      <c r="BI1696">
        <v>15</v>
      </c>
      <c r="BJ1696">
        <v>9</v>
      </c>
      <c r="BK1696">
        <v>15</v>
      </c>
      <c r="BL1696">
        <v>520.86</v>
      </c>
      <c r="BM1696">
        <v>78.13</v>
      </c>
      <c r="BN1696">
        <v>598.99</v>
      </c>
      <c r="BO1696">
        <v>598.99</v>
      </c>
      <c r="BQ1696" t="s">
        <v>764</v>
      </c>
      <c r="BR1696" t="s">
        <v>84</v>
      </c>
      <c r="BS1696" t="s">
        <v>189</v>
      </c>
      <c r="BV1696" t="s">
        <v>90</v>
      </c>
      <c r="BY1696">
        <v>44840</v>
      </c>
      <c r="CC1696" t="s">
        <v>92</v>
      </c>
      <c r="CD1696">
        <v>7550</v>
      </c>
      <c r="CE1696" t="s">
        <v>122</v>
      </c>
      <c r="CI1696">
        <v>1</v>
      </c>
      <c r="CJ1696" t="s">
        <v>189</v>
      </c>
      <c r="CK1696">
        <v>21</v>
      </c>
      <c r="CL169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sdrascd7-IENOMKE131308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2025-06-12T07:22:01Z</dcterms:created>
  <dcterms:modified xsi:type="dcterms:W3CDTF">2025-06-12T07:22:19Z</dcterms:modified>
</cp:coreProperties>
</file>