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April Mar Inv 2025\SKYNET\FMR April 2025\29 th\"/>
    </mc:Choice>
  </mc:AlternateContent>
  <xr:revisionPtr revIDLastSave="0" documentId="8_{99E1959F-5124-4284-AEBD-56CB4809F2F8}" xr6:coauthVersionLast="47" xr6:coauthVersionMax="47" xr10:uidLastSave="{00000000-0000-0000-0000-000000000000}"/>
  <bookViews>
    <workbookView xWindow="28680" yWindow="-120" windowWidth="20730" windowHeight="11040" xr2:uid="{403898FA-75DE-463D-9161-786817379D24}"/>
  </bookViews>
  <sheets>
    <sheet name="sdrascd7-IESANPA13465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O424" i="1" l="1"/>
  <c r="BN424" i="1"/>
  <c r="BM424" i="1"/>
  <c r="BL424" i="1"/>
  <c r="E2" i="1"/>
  <c r="P2" i="1"/>
  <c r="E3" i="1"/>
  <c r="P3" i="1"/>
  <c r="E4" i="1"/>
  <c r="P4" i="1"/>
  <c r="E5" i="1"/>
  <c r="P5" i="1"/>
  <c r="E6" i="1"/>
  <c r="P6" i="1"/>
  <c r="E7" i="1"/>
  <c r="P7" i="1"/>
  <c r="E8" i="1"/>
  <c r="P8" i="1"/>
  <c r="E9" i="1"/>
  <c r="P9" i="1"/>
  <c r="E10" i="1"/>
  <c r="P10" i="1"/>
  <c r="E11" i="1"/>
  <c r="P11" i="1"/>
  <c r="E12" i="1"/>
  <c r="P12" i="1"/>
  <c r="E13" i="1"/>
  <c r="P13" i="1"/>
  <c r="E14" i="1"/>
  <c r="P14" i="1"/>
  <c r="E15" i="1"/>
  <c r="P15" i="1"/>
  <c r="E16" i="1"/>
  <c r="P16" i="1"/>
  <c r="E17" i="1"/>
  <c r="P17" i="1"/>
  <c r="E18" i="1"/>
  <c r="P18" i="1"/>
  <c r="E19" i="1"/>
  <c r="P19" i="1"/>
  <c r="E20" i="1"/>
  <c r="P20" i="1"/>
  <c r="E21" i="1"/>
  <c r="P21" i="1"/>
  <c r="E22" i="1"/>
  <c r="P22" i="1"/>
  <c r="E23" i="1"/>
  <c r="P23" i="1"/>
  <c r="E24" i="1"/>
  <c r="P24" i="1"/>
  <c r="E25" i="1"/>
  <c r="P25" i="1"/>
  <c r="E26" i="1"/>
  <c r="P26" i="1"/>
  <c r="E27" i="1"/>
  <c r="P27" i="1"/>
  <c r="E28" i="1"/>
  <c r="P28" i="1"/>
  <c r="E29" i="1"/>
  <c r="P29" i="1"/>
  <c r="E30" i="1"/>
  <c r="P30" i="1"/>
  <c r="E31" i="1"/>
  <c r="P31" i="1"/>
  <c r="E32" i="1"/>
  <c r="P32" i="1"/>
  <c r="E33" i="1"/>
  <c r="P33" i="1"/>
  <c r="E34" i="1"/>
  <c r="P34" i="1"/>
  <c r="E35" i="1"/>
  <c r="P35" i="1"/>
  <c r="E36" i="1"/>
  <c r="P36" i="1"/>
  <c r="E37" i="1"/>
  <c r="P37" i="1"/>
  <c r="E38" i="1"/>
  <c r="P38" i="1"/>
  <c r="E39" i="1"/>
  <c r="P39" i="1"/>
  <c r="E40" i="1"/>
  <c r="P40" i="1"/>
  <c r="E41" i="1"/>
  <c r="P41" i="1"/>
  <c r="E42" i="1"/>
  <c r="P42" i="1"/>
  <c r="E43" i="1"/>
  <c r="P43" i="1"/>
  <c r="E44" i="1"/>
  <c r="P44" i="1"/>
  <c r="E45" i="1"/>
  <c r="P45" i="1"/>
  <c r="E46" i="1"/>
  <c r="P46" i="1"/>
  <c r="E47" i="1"/>
  <c r="P47" i="1"/>
  <c r="E48" i="1"/>
  <c r="P48" i="1"/>
  <c r="E49" i="1"/>
  <c r="P49" i="1"/>
  <c r="E50" i="1"/>
  <c r="P50" i="1"/>
  <c r="E51" i="1"/>
  <c r="P51" i="1"/>
  <c r="E52" i="1"/>
  <c r="P52" i="1"/>
  <c r="E53" i="1"/>
  <c r="P53" i="1"/>
  <c r="E54" i="1"/>
  <c r="P54" i="1"/>
  <c r="E55" i="1"/>
  <c r="P55" i="1"/>
  <c r="E56" i="1"/>
  <c r="P56" i="1"/>
  <c r="E57" i="1"/>
  <c r="P57" i="1"/>
  <c r="E58" i="1"/>
  <c r="P58" i="1"/>
  <c r="E59" i="1"/>
  <c r="P59" i="1"/>
  <c r="E60" i="1"/>
  <c r="P60" i="1"/>
  <c r="E61" i="1"/>
  <c r="P61" i="1"/>
  <c r="E62" i="1"/>
  <c r="P62" i="1"/>
  <c r="E63" i="1"/>
  <c r="P63" i="1"/>
  <c r="E64" i="1"/>
  <c r="P64" i="1"/>
  <c r="E65" i="1"/>
  <c r="P65" i="1"/>
  <c r="E66" i="1"/>
  <c r="P66" i="1"/>
  <c r="E67" i="1"/>
  <c r="P67" i="1"/>
  <c r="E68" i="1"/>
  <c r="P68" i="1"/>
  <c r="E69" i="1"/>
  <c r="P69" i="1"/>
  <c r="E70" i="1"/>
  <c r="P70" i="1"/>
  <c r="E71" i="1"/>
  <c r="P71" i="1"/>
  <c r="E72" i="1"/>
  <c r="P72" i="1"/>
  <c r="E73" i="1"/>
  <c r="P73" i="1"/>
  <c r="E74" i="1"/>
  <c r="P74" i="1"/>
  <c r="E75" i="1"/>
  <c r="P75" i="1"/>
  <c r="E76" i="1"/>
  <c r="P76" i="1"/>
  <c r="E77" i="1"/>
  <c r="P77" i="1"/>
  <c r="E78" i="1"/>
  <c r="P78" i="1"/>
  <c r="E79" i="1"/>
  <c r="P79" i="1"/>
  <c r="E80" i="1"/>
  <c r="P80" i="1"/>
  <c r="E81" i="1"/>
  <c r="P81" i="1"/>
  <c r="E82" i="1"/>
  <c r="P82" i="1"/>
  <c r="E83" i="1"/>
  <c r="P83" i="1"/>
  <c r="E84" i="1"/>
  <c r="P84" i="1"/>
  <c r="E85" i="1"/>
  <c r="P85" i="1"/>
  <c r="E86" i="1"/>
  <c r="P86" i="1"/>
  <c r="E87" i="1"/>
  <c r="P87" i="1"/>
  <c r="E88" i="1"/>
  <c r="P88" i="1"/>
  <c r="E89" i="1"/>
  <c r="P89" i="1"/>
  <c r="E90" i="1"/>
  <c r="P90" i="1"/>
  <c r="E91" i="1"/>
  <c r="P91" i="1"/>
  <c r="E92" i="1"/>
  <c r="P92" i="1"/>
  <c r="E93" i="1"/>
  <c r="P93" i="1"/>
  <c r="E94" i="1"/>
  <c r="P94" i="1"/>
  <c r="E95" i="1"/>
  <c r="P95" i="1"/>
  <c r="E96" i="1"/>
  <c r="P96" i="1"/>
  <c r="E97" i="1"/>
  <c r="P97" i="1"/>
  <c r="E98" i="1"/>
  <c r="P98" i="1"/>
  <c r="E99" i="1"/>
  <c r="P99" i="1"/>
  <c r="E100" i="1"/>
  <c r="P100" i="1"/>
  <c r="E101" i="1"/>
  <c r="P101" i="1"/>
  <c r="E102" i="1"/>
  <c r="P102" i="1"/>
  <c r="E103" i="1"/>
  <c r="P103" i="1"/>
  <c r="E104" i="1"/>
  <c r="P104" i="1"/>
  <c r="E105" i="1"/>
  <c r="P105" i="1"/>
  <c r="E106" i="1"/>
  <c r="P106" i="1"/>
  <c r="E107" i="1"/>
  <c r="P107" i="1"/>
  <c r="E108" i="1"/>
  <c r="P108" i="1"/>
  <c r="E109" i="1"/>
  <c r="P109" i="1"/>
  <c r="E110" i="1"/>
  <c r="P110" i="1"/>
  <c r="E111" i="1"/>
  <c r="P111" i="1"/>
  <c r="E112" i="1"/>
  <c r="P112" i="1"/>
  <c r="E113" i="1"/>
  <c r="P113" i="1"/>
  <c r="E114" i="1"/>
  <c r="P114" i="1"/>
  <c r="E115" i="1"/>
  <c r="P115" i="1"/>
  <c r="E116" i="1"/>
  <c r="P116" i="1"/>
  <c r="E117" i="1"/>
  <c r="P117" i="1"/>
  <c r="E118" i="1"/>
  <c r="P118" i="1"/>
  <c r="E119" i="1"/>
  <c r="P119" i="1"/>
  <c r="E120" i="1"/>
  <c r="P120" i="1"/>
  <c r="E121" i="1"/>
  <c r="P121" i="1"/>
  <c r="E122" i="1"/>
  <c r="P122" i="1"/>
  <c r="E123" i="1"/>
  <c r="P123" i="1"/>
  <c r="E124" i="1"/>
  <c r="P124" i="1"/>
  <c r="E125" i="1"/>
  <c r="P125" i="1"/>
  <c r="E126" i="1"/>
  <c r="P126" i="1"/>
  <c r="E127" i="1"/>
  <c r="P127" i="1"/>
  <c r="E128" i="1"/>
  <c r="P128" i="1"/>
  <c r="E129" i="1"/>
  <c r="P129" i="1"/>
  <c r="E130" i="1"/>
  <c r="P130" i="1"/>
  <c r="E131" i="1"/>
  <c r="P131" i="1"/>
  <c r="E132" i="1"/>
  <c r="P132" i="1"/>
  <c r="E133" i="1"/>
  <c r="P133" i="1"/>
  <c r="E134" i="1"/>
  <c r="P134" i="1"/>
  <c r="E135" i="1"/>
  <c r="P135" i="1"/>
  <c r="E136" i="1"/>
  <c r="P136" i="1"/>
  <c r="E137" i="1"/>
  <c r="P137" i="1"/>
  <c r="E138" i="1"/>
  <c r="P138" i="1"/>
  <c r="E139" i="1"/>
  <c r="P139" i="1"/>
  <c r="E140" i="1"/>
  <c r="P140" i="1"/>
  <c r="E141" i="1"/>
  <c r="P141" i="1"/>
  <c r="E142" i="1"/>
  <c r="P142" i="1"/>
  <c r="E143" i="1"/>
  <c r="P143" i="1"/>
  <c r="E144" i="1"/>
  <c r="P144" i="1"/>
  <c r="E145" i="1"/>
  <c r="P145" i="1"/>
  <c r="E146" i="1"/>
  <c r="P146" i="1"/>
  <c r="E147" i="1"/>
  <c r="P147" i="1"/>
  <c r="E148" i="1"/>
  <c r="P148" i="1"/>
  <c r="E149" i="1"/>
  <c r="P149" i="1"/>
  <c r="E150" i="1"/>
  <c r="P150" i="1"/>
  <c r="E151" i="1"/>
  <c r="P151" i="1"/>
  <c r="E152" i="1"/>
  <c r="P152" i="1"/>
  <c r="E153" i="1"/>
  <c r="P153" i="1"/>
  <c r="E154" i="1"/>
  <c r="P154" i="1"/>
  <c r="E155" i="1"/>
  <c r="P155" i="1"/>
  <c r="E156" i="1"/>
  <c r="P156" i="1"/>
  <c r="E157" i="1"/>
  <c r="P157" i="1"/>
  <c r="E158" i="1"/>
  <c r="P158" i="1"/>
  <c r="E159" i="1"/>
  <c r="P159" i="1"/>
  <c r="E160" i="1"/>
  <c r="P160" i="1"/>
  <c r="E161" i="1"/>
  <c r="P161" i="1"/>
  <c r="E162" i="1"/>
  <c r="P162" i="1"/>
  <c r="E163" i="1"/>
  <c r="P163" i="1"/>
  <c r="E164" i="1"/>
  <c r="P164" i="1"/>
  <c r="E165" i="1"/>
  <c r="P165" i="1"/>
  <c r="E166" i="1"/>
  <c r="P166" i="1"/>
  <c r="E167" i="1"/>
  <c r="P167" i="1"/>
  <c r="E168" i="1"/>
  <c r="P168" i="1"/>
  <c r="E169" i="1"/>
  <c r="P169" i="1"/>
  <c r="E170" i="1"/>
  <c r="P170" i="1"/>
  <c r="E171" i="1"/>
  <c r="P171" i="1"/>
  <c r="E172" i="1"/>
  <c r="P172" i="1"/>
  <c r="E173" i="1"/>
  <c r="P173" i="1"/>
  <c r="E174" i="1"/>
  <c r="P174" i="1"/>
  <c r="E175" i="1"/>
  <c r="P175" i="1"/>
  <c r="E176" i="1"/>
  <c r="P176" i="1"/>
  <c r="E177" i="1"/>
  <c r="P177" i="1"/>
  <c r="E178" i="1"/>
  <c r="P178" i="1"/>
  <c r="E179" i="1"/>
  <c r="P179" i="1"/>
  <c r="E180" i="1"/>
  <c r="P180" i="1"/>
  <c r="E181" i="1"/>
  <c r="P181" i="1"/>
  <c r="E182" i="1"/>
  <c r="P182" i="1"/>
  <c r="E183" i="1"/>
  <c r="P183" i="1"/>
  <c r="E184" i="1"/>
  <c r="P184" i="1"/>
  <c r="E185" i="1"/>
  <c r="P185" i="1"/>
  <c r="E186" i="1"/>
  <c r="P186" i="1"/>
  <c r="E187" i="1"/>
  <c r="P187" i="1"/>
  <c r="E188" i="1"/>
  <c r="P188" i="1"/>
  <c r="E189" i="1"/>
  <c r="P189" i="1"/>
  <c r="E190" i="1"/>
  <c r="P190" i="1"/>
  <c r="E191" i="1"/>
  <c r="P191" i="1"/>
  <c r="E192" i="1"/>
  <c r="P192" i="1"/>
  <c r="E193" i="1"/>
  <c r="P193" i="1"/>
  <c r="E194" i="1"/>
  <c r="P194" i="1"/>
  <c r="E195" i="1"/>
  <c r="P195" i="1"/>
  <c r="E196" i="1"/>
  <c r="P196" i="1"/>
  <c r="E197" i="1"/>
  <c r="P197" i="1"/>
  <c r="E198" i="1"/>
  <c r="P198" i="1"/>
  <c r="E199" i="1"/>
  <c r="P199" i="1"/>
  <c r="E200" i="1"/>
  <c r="P200" i="1"/>
  <c r="E201" i="1"/>
  <c r="P201" i="1"/>
  <c r="E202" i="1"/>
  <c r="P202" i="1"/>
  <c r="E203" i="1"/>
  <c r="P203" i="1"/>
  <c r="E204" i="1"/>
  <c r="P204" i="1"/>
  <c r="E205" i="1"/>
  <c r="P205" i="1"/>
  <c r="E206" i="1"/>
  <c r="P206" i="1"/>
  <c r="E207" i="1"/>
  <c r="P207" i="1"/>
  <c r="E208" i="1"/>
  <c r="P208" i="1"/>
  <c r="E209" i="1"/>
  <c r="P209" i="1"/>
  <c r="E210" i="1"/>
  <c r="P210" i="1"/>
  <c r="E211" i="1"/>
  <c r="P211" i="1"/>
  <c r="E212" i="1"/>
  <c r="P212" i="1"/>
  <c r="E213" i="1"/>
  <c r="P213" i="1"/>
  <c r="E214" i="1"/>
  <c r="P214" i="1"/>
  <c r="E215" i="1"/>
  <c r="P215" i="1"/>
  <c r="E216" i="1"/>
  <c r="P216" i="1"/>
  <c r="E217" i="1"/>
  <c r="P217" i="1"/>
  <c r="E218" i="1"/>
  <c r="P218" i="1"/>
  <c r="E219" i="1"/>
  <c r="P219" i="1"/>
  <c r="E220" i="1"/>
  <c r="P220" i="1"/>
  <c r="E221" i="1"/>
  <c r="P221" i="1"/>
  <c r="E222" i="1"/>
  <c r="P222" i="1"/>
  <c r="E223" i="1"/>
  <c r="P223" i="1"/>
  <c r="E224" i="1"/>
  <c r="P224" i="1"/>
  <c r="E225" i="1"/>
  <c r="P225" i="1"/>
  <c r="E226" i="1"/>
  <c r="P226" i="1"/>
  <c r="E227" i="1"/>
  <c r="P227" i="1"/>
  <c r="E228" i="1"/>
  <c r="P228" i="1"/>
  <c r="E229" i="1"/>
  <c r="P229" i="1"/>
  <c r="E230" i="1"/>
  <c r="P230" i="1"/>
  <c r="E231" i="1"/>
  <c r="P231" i="1"/>
  <c r="E232" i="1"/>
  <c r="P232" i="1"/>
  <c r="E233" i="1"/>
  <c r="P233" i="1"/>
  <c r="E234" i="1"/>
  <c r="P234" i="1"/>
  <c r="E235" i="1"/>
  <c r="P235" i="1"/>
  <c r="E236" i="1"/>
  <c r="P236" i="1"/>
  <c r="E237" i="1"/>
  <c r="P237" i="1"/>
  <c r="E238" i="1"/>
  <c r="P238" i="1"/>
  <c r="E239" i="1"/>
  <c r="P239" i="1"/>
  <c r="E240" i="1"/>
  <c r="P240" i="1"/>
  <c r="E241" i="1"/>
  <c r="P241" i="1"/>
  <c r="E242" i="1"/>
  <c r="P242" i="1"/>
  <c r="E243" i="1"/>
  <c r="P243" i="1"/>
  <c r="E244" i="1"/>
  <c r="P244" i="1"/>
  <c r="E245" i="1"/>
  <c r="P245" i="1"/>
  <c r="E246" i="1"/>
  <c r="P246" i="1"/>
  <c r="E247" i="1"/>
  <c r="P247" i="1"/>
  <c r="E248" i="1"/>
  <c r="P248" i="1"/>
  <c r="E249" i="1"/>
  <c r="P249" i="1"/>
  <c r="E250" i="1"/>
  <c r="P250" i="1"/>
  <c r="E251" i="1"/>
  <c r="P251" i="1"/>
  <c r="E252" i="1"/>
  <c r="P252" i="1"/>
  <c r="E253" i="1"/>
  <c r="P253" i="1"/>
  <c r="E254" i="1"/>
  <c r="P254" i="1"/>
  <c r="E255" i="1"/>
  <c r="P255" i="1"/>
  <c r="E256" i="1"/>
  <c r="P256" i="1"/>
  <c r="E257" i="1"/>
  <c r="P257" i="1"/>
  <c r="E258" i="1"/>
  <c r="P258" i="1"/>
  <c r="E259" i="1"/>
  <c r="P259" i="1"/>
  <c r="E260" i="1"/>
  <c r="P260" i="1"/>
  <c r="E261" i="1"/>
  <c r="P261" i="1"/>
  <c r="E262" i="1"/>
  <c r="P262" i="1"/>
  <c r="E263" i="1"/>
  <c r="P263" i="1"/>
  <c r="E264" i="1"/>
  <c r="P264" i="1"/>
  <c r="E265" i="1"/>
  <c r="P265" i="1"/>
  <c r="E266" i="1"/>
  <c r="P266" i="1"/>
  <c r="E267" i="1"/>
  <c r="P267" i="1"/>
  <c r="E268" i="1"/>
  <c r="P268" i="1"/>
  <c r="E269" i="1"/>
  <c r="P269" i="1"/>
  <c r="E270" i="1"/>
  <c r="P270" i="1"/>
  <c r="E271" i="1"/>
  <c r="P271" i="1"/>
  <c r="E272" i="1"/>
  <c r="P272" i="1"/>
  <c r="E273" i="1"/>
  <c r="P273" i="1"/>
  <c r="E274" i="1"/>
  <c r="P274" i="1"/>
  <c r="E275" i="1"/>
  <c r="P275" i="1"/>
  <c r="E276" i="1"/>
  <c r="P276" i="1"/>
  <c r="E277" i="1"/>
  <c r="P277" i="1"/>
  <c r="E278" i="1"/>
  <c r="P278" i="1"/>
  <c r="E279" i="1"/>
  <c r="P279" i="1"/>
  <c r="E280" i="1"/>
  <c r="P280" i="1"/>
  <c r="E281" i="1"/>
  <c r="P281" i="1"/>
  <c r="E282" i="1"/>
  <c r="P282" i="1"/>
  <c r="E283" i="1"/>
  <c r="P283" i="1"/>
  <c r="E284" i="1"/>
  <c r="P284" i="1"/>
  <c r="E285" i="1"/>
  <c r="P285" i="1"/>
  <c r="E286" i="1"/>
  <c r="P286" i="1"/>
  <c r="E287" i="1"/>
  <c r="P287" i="1"/>
  <c r="E288" i="1"/>
  <c r="P288" i="1"/>
  <c r="E289" i="1"/>
  <c r="P289" i="1"/>
  <c r="E290" i="1"/>
  <c r="P290" i="1"/>
  <c r="E291" i="1"/>
  <c r="P291" i="1"/>
  <c r="E292" i="1"/>
  <c r="P292" i="1"/>
  <c r="E293" i="1"/>
  <c r="P293" i="1"/>
  <c r="E294" i="1"/>
  <c r="P294" i="1"/>
  <c r="E295" i="1"/>
  <c r="P295" i="1"/>
  <c r="E296" i="1"/>
  <c r="P296" i="1"/>
  <c r="E297" i="1"/>
  <c r="P297" i="1"/>
  <c r="E298" i="1"/>
  <c r="P298" i="1"/>
  <c r="E299" i="1"/>
  <c r="P299" i="1"/>
  <c r="E300" i="1"/>
  <c r="P300" i="1"/>
  <c r="E301" i="1"/>
  <c r="P301" i="1"/>
  <c r="E302" i="1"/>
  <c r="P302" i="1"/>
  <c r="E303" i="1"/>
  <c r="P303" i="1"/>
  <c r="E304" i="1"/>
  <c r="P304" i="1"/>
  <c r="E305" i="1"/>
  <c r="P305" i="1"/>
  <c r="E306" i="1"/>
  <c r="P306" i="1"/>
  <c r="E307" i="1"/>
  <c r="P307" i="1"/>
  <c r="E308" i="1"/>
  <c r="P308" i="1"/>
  <c r="E309" i="1"/>
  <c r="P309" i="1"/>
  <c r="E310" i="1"/>
  <c r="P310" i="1"/>
  <c r="E311" i="1"/>
  <c r="P311" i="1"/>
  <c r="E312" i="1"/>
  <c r="P312" i="1"/>
  <c r="E313" i="1"/>
  <c r="P313" i="1"/>
  <c r="E314" i="1"/>
  <c r="P314" i="1"/>
  <c r="E315" i="1"/>
  <c r="P315" i="1"/>
  <c r="E316" i="1"/>
  <c r="P316" i="1"/>
  <c r="E317" i="1"/>
  <c r="P317" i="1"/>
  <c r="E318" i="1"/>
  <c r="P318" i="1"/>
  <c r="E319" i="1"/>
  <c r="P319" i="1"/>
  <c r="E320" i="1"/>
  <c r="P320" i="1"/>
  <c r="E321" i="1"/>
  <c r="P321" i="1"/>
  <c r="E322" i="1"/>
  <c r="P322" i="1"/>
  <c r="E323" i="1"/>
  <c r="P323" i="1"/>
  <c r="E324" i="1"/>
  <c r="P324" i="1"/>
  <c r="E325" i="1"/>
  <c r="P325" i="1"/>
  <c r="E326" i="1"/>
  <c r="P326" i="1"/>
  <c r="E327" i="1"/>
  <c r="P327" i="1"/>
  <c r="E328" i="1"/>
  <c r="P328" i="1"/>
  <c r="E329" i="1"/>
  <c r="P329" i="1"/>
  <c r="E330" i="1"/>
  <c r="P330" i="1"/>
  <c r="E331" i="1"/>
  <c r="P331" i="1"/>
  <c r="E332" i="1"/>
  <c r="P332" i="1"/>
  <c r="E333" i="1"/>
  <c r="P333" i="1"/>
  <c r="E334" i="1"/>
  <c r="P334" i="1"/>
  <c r="E335" i="1"/>
  <c r="P335" i="1"/>
  <c r="E336" i="1"/>
  <c r="P336" i="1"/>
  <c r="E337" i="1"/>
  <c r="P337" i="1"/>
  <c r="E338" i="1"/>
  <c r="P338" i="1"/>
  <c r="E339" i="1"/>
  <c r="P339" i="1"/>
  <c r="E340" i="1"/>
  <c r="P340" i="1"/>
  <c r="E341" i="1"/>
  <c r="P341" i="1"/>
  <c r="E342" i="1"/>
  <c r="P342" i="1"/>
  <c r="E343" i="1"/>
  <c r="P343" i="1"/>
  <c r="E344" i="1"/>
  <c r="P344" i="1"/>
  <c r="E345" i="1"/>
  <c r="P345" i="1"/>
  <c r="E346" i="1"/>
  <c r="P346" i="1"/>
  <c r="E347" i="1"/>
  <c r="P347" i="1"/>
  <c r="E348" i="1"/>
  <c r="P348" i="1"/>
  <c r="E349" i="1"/>
  <c r="P349" i="1"/>
  <c r="E350" i="1"/>
  <c r="P350" i="1"/>
  <c r="E351" i="1"/>
  <c r="P351" i="1"/>
  <c r="E352" i="1"/>
  <c r="P352" i="1"/>
  <c r="E353" i="1"/>
  <c r="P353" i="1"/>
  <c r="E354" i="1"/>
  <c r="P354" i="1"/>
  <c r="E355" i="1"/>
  <c r="P355" i="1"/>
  <c r="E356" i="1"/>
  <c r="P356" i="1"/>
  <c r="E357" i="1"/>
  <c r="P357" i="1"/>
  <c r="E358" i="1"/>
  <c r="P358" i="1"/>
  <c r="E359" i="1"/>
  <c r="P359" i="1"/>
  <c r="E360" i="1"/>
  <c r="P360" i="1"/>
  <c r="E361" i="1"/>
  <c r="P361" i="1"/>
  <c r="E362" i="1"/>
  <c r="P362" i="1"/>
  <c r="E363" i="1"/>
  <c r="P363" i="1"/>
  <c r="E364" i="1"/>
  <c r="P364" i="1"/>
  <c r="E365" i="1"/>
  <c r="P365" i="1"/>
  <c r="E366" i="1"/>
  <c r="P366" i="1"/>
  <c r="E367" i="1"/>
  <c r="P367" i="1"/>
  <c r="E368" i="1"/>
  <c r="P368" i="1"/>
  <c r="E369" i="1"/>
  <c r="P369" i="1"/>
  <c r="E370" i="1"/>
  <c r="P370" i="1"/>
  <c r="E371" i="1"/>
  <c r="P371" i="1"/>
  <c r="E372" i="1"/>
  <c r="P372" i="1"/>
  <c r="E373" i="1"/>
  <c r="P373" i="1"/>
  <c r="E374" i="1"/>
  <c r="P374" i="1"/>
  <c r="E375" i="1"/>
  <c r="P375" i="1"/>
  <c r="E376" i="1"/>
  <c r="P376" i="1"/>
  <c r="E377" i="1"/>
  <c r="P377" i="1"/>
  <c r="E378" i="1"/>
  <c r="P378" i="1"/>
  <c r="E379" i="1"/>
  <c r="P379" i="1"/>
  <c r="E380" i="1"/>
  <c r="P380" i="1"/>
  <c r="E381" i="1"/>
  <c r="P381" i="1"/>
  <c r="E382" i="1"/>
  <c r="P382" i="1"/>
  <c r="E383" i="1"/>
  <c r="P383" i="1"/>
  <c r="E384" i="1"/>
  <c r="P384" i="1"/>
  <c r="E385" i="1"/>
  <c r="P385" i="1"/>
  <c r="E386" i="1"/>
  <c r="P386" i="1"/>
  <c r="E387" i="1"/>
  <c r="P387" i="1"/>
  <c r="E388" i="1"/>
  <c r="P388" i="1"/>
  <c r="E389" i="1"/>
  <c r="P389" i="1"/>
  <c r="E390" i="1"/>
  <c r="P390" i="1"/>
  <c r="E391" i="1"/>
  <c r="P391" i="1"/>
  <c r="E392" i="1"/>
  <c r="P392" i="1"/>
  <c r="E393" i="1"/>
  <c r="P393" i="1"/>
  <c r="E394" i="1"/>
  <c r="P394" i="1"/>
  <c r="E395" i="1"/>
  <c r="P395" i="1"/>
  <c r="E396" i="1"/>
  <c r="P396" i="1"/>
  <c r="E397" i="1"/>
  <c r="P397" i="1"/>
  <c r="E398" i="1"/>
  <c r="P398" i="1"/>
  <c r="E399" i="1"/>
  <c r="P399" i="1"/>
  <c r="E400" i="1"/>
  <c r="P400" i="1"/>
  <c r="E401" i="1"/>
  <c r="P401" i="1"/>
  <c r="E402" i="1"/>
  <c r="P402" i="1"/>
  <c r="E403" i="1"/>
  <c r="P403" i="1"/>
  <c r="E404" i="1"/>
  <c r="P404" i="1"/>
  <c r="E405" i="1"/>
  <c r="P405" i="1"/>
  <c r="E406" i="1"/>
  <c r="P406" i="1"/>
  <c r="E407" i="1"/>
  <c r="P407" i="1"/>
  <c r="E408" i="1"/>
  <c r="P408" i="1"/>
  <c r="E409" i="1"/>
  <c r="P409" i="1"/>
  <c r="E410" i="1"/>
  <c r="P410" i="1"/>
  <c r="E411" i="1"/>
  <c r="P411" i="1"/>
  <c r="E412" i="1"/>
  <c r="P412" i="1"/>
  <c r="E413" i="1"/>
  <c r="P413" i="1"/>
  <c r="E414" i="1"/>
  <c r="P414" i="1"/>
  <c r="E415" i="1"/>
  <c r="P415" i="1"/>
  <c r="E416" i="1"/>
  <c r="P416" i="1"/>
  <c r="E417" i="1"/>
  <c r="P417" i="1"/>
  <c r="E418" i="1"/>
  <c r="P418" i="1"/>
  <c r="E419" i="1"/>
  <c r="P419" i="1"/>
  <c r="E420" i="1"/>
  <c r="P420" i="1"/>
  <c r="E421" i="1"/>
  <c r="P421" i="1"/>
  <c r="E422" i="1"/>
  <c r="P422" i="1"/>
  <c r="E423" i="1"/>
  <c r="P423" i="1"/>
</calcChain>
</file>

<file path=xl/sharedStrings.xml><?xml version="1.0" encoding="utf-8"?>
<sst xmlns="http://schemas.openxmlformats.org/spreadsheetml/2006/main" count="8468" uniqueCount="1298">
  <si>
    <t>Client</t>
  </si>
  <si>
    <t>Type</t>
  </si>
  <si>
    <t>Invoice no</t>
  </si>
  <si>
    <t>Wb No</t>
  </si>
  <si>
    <t>Period</t>
  </si>
  <si>
    <t>Start</t>
  </si>
  <si>
    <t>Sender</t>
  </si>
  <si>
    <t>Carrier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</si>
  <si>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</si>
  <si>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</si>
  <si>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</si>
  <si>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</si>
  <si>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</si>
  <si>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</si>
  <si>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</si>
  <si>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</si>
  <si>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</si>
  <si>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</si>
  <si>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</si>
  <si>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</si>
  <si>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</si>
  <si>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</si>
  <si>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</si>
  <si>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</si>
  <si>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</si>
  <si>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</si>
  <si>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</si>
  <si>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</si>
  <si>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</si>
  <si>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</si>
  <si>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Other Charges</t>
  </si>
  <si>
    <t>Tot KG</t>
  </si>
  <si>
    <t>Tot Vol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</si>
  <si>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</si>
  <si>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</si>
  <si>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</si>
  <si>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</si>
  <si>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</si>
  <si>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</si>
  <si>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</si>
  <si>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</si>
  <si>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</si>
  <si>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</si>
  <si>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</si>
  <si>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</si>
  <si>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</si>
  <si>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</si>
  <si>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</si>
  <si>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</si>
  <si>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</si>
  <si>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</si>
  <si>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</si>
  <si>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</si>
  <si>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</si>
  <si>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</si>
  <si>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</si>
  <si>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</si>
  <si>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</si>
  <si>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</si>
  <si>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WAY</t>
  </si>
  <si>
    <t>KEMPT</t>
  </si>
  <si>
    <t>KEMPTON PARK</t>
  </si>
  <si>
    <t xml:space="preserve">                                   </t>
  </si>
  <si>
    <t>EAST</t>
  </si>
  <si>
    <t>EAST LONDON</t>
  </si>
  <si>
    <t>ON1</t>
  </si>
  <si>
    <t>no</t>
  </si>
  <si>
    <t>POD received from cell 0780568122 M</t>
  </si>
  <si>
    <t>GERMI</t>
  </si>
  <si>
    <t>GERMISTON</t>
  </si>
  <si>
    <t>sipho</t>
  </si>
  <si>
    <t>Consignee not available)</t>
  </si>
  <si>
    <t>PINET</t>
  </si>
  <si>
    <t>PINETOWN</t>
  </si>
  <si>
    <t>yes</t>
  </si>
  <si>
    <t>POD received from cell 0780771530 M</t>
  </si>
  <si>
    <t>PARCEL</t>
  </si>
  <si>
    <t>CAPET</t>
  </si>
  <si>
    <t>CAPE TOWN</t>
  </si>
  <si>
    <t>FUE / DOC</t>
  </si>
  <si>
    <t>BOX</t>
  </si>
  <si>
    <t>?</t>
  </si>
  <si>
    <t>Box</t>
  </si>
  <si>
    <t>PIET1</t>
  </si>
  <si>
    <t>PIETERMARITZBURG</t>
  </si>
  <si>
    <t>FLYER</t>
  </si>
  <si>
    <t>STEL2</t>
  </si>
  <si>
    <t>STELLENBOSCH</t>
  </si>
  <si>
    <t>POD received from cell 0678518887 M</t>
  </si>
  <si>
    <t>DURBA</t>
  </si>
  <si>
    <t>DURBAN</t>
  </si>
  <si>
    <t>PRETO</t>
  </si>
  <si>
    <t>PRETORIA</t>
  </si>
  <si>
    <t>POD received from cell 0826975382 M</t>
  </si>
  <si>
    <t>0002</t>
  </si>
  <si>
    <t>JOHAN</t>
  </si>
  <si>
    <t>JOHANNESBURG</t>
  </si>
  <si>
    <t>HND / FUE / DOC</t>
  </si>
  <si>
    <t>DBC</t>
  </si>
  <si>
    <t>jma</t>
  </si>
  <si>
    <t>PORT3</t>
  </si>
  <si>
    <t>PORT ELIZABETH</t>
  </si>
  <si>
    <t>PAARL</t>
  </si>
  <si>
    <t>Patrick</t>
  </si>
  <si>
    <t>POD received from cell 0671392487 M</t>
  </si>
  <si>
    <t>POD received from cell 0735647467 M</t>
  </si>
  <si>
    <t>BOKSB</t>
  </si>
  <si>
    <t>BOKSBURG</t>
  </si>
  <si>
    <t>RANDB</t>
  </si>
  <si>
    <t>RANDBURG</t>
  </si>
  <si>
    <t>UMHLA</t>
  </si>
  <si>
    <t>UMHLANGA ROCKS</t>
  </si>
  <si>
    <t>Late Linehaul Delayed Beyond Skynet Control</t>
  </si>
  <si>
    <t>col</t>
  </si>
  <si>
    <t>FUE / doc</t>
  </si>
  <si>
    <t>POD received from cell 0843672221 M</t>
  </si>
  <si>
    <t>POD received from cell 0711146140 M</t>
  </si>
  <si>
    <t>ISIPI</t>
  </si>
  <si>
    <t>ISIPINGO</t>
  </si>
  <si>
    <t>themba</t>
  </si>
  <si>
    <t>ntm</t>
  </si>
  <si>
    <t>POD received from cell 0844020000 M</t>
  </si>
  <si>
    <t>Michael</t>
  </si>
  <si>
    <t>POD received from cell 0792230061 M</t>
  </si>
  <si>
    <t>POD received from cell 0837323487 M</t>
  </si>
  <si>
    <t>martin</t>
  </si>
  <si>
    <t>ROODE</t>
  </si>
  <si>
    <t>ROODEPOORT</t>
  </si>
  <si>
    <t>nch</t>
  </si>
  <si>
    <t>STANG</t>
  </si>
  <si>
    <t>STANGER</t>
  </si>
  <si>
    <t>RUSTE</t>
  </si>
  <si>
    <t>RUSTENBURG</t>
  </si>
  <si>
    <t>WORCE</t>
  </si>
  <si>
    <t>WORCESTER</t>
  </si>
  <si>
    <t>sphe</t>
  </si>
  <si>
    <t>amt</t>
  </si>
  <si>
    <t>LICHT</t>
  </si>
  <si>
    <t>LICHTENBURG</t>
  </si>
  <si>
    <t>SOME2</t>
  </si>
  <si>
    <t>SOMERSET WEST</t>
  </si>
  <si>
    <t>POD received from cell 0622930487 M</t>
  </si>
  <si>
    <t>VERWO</t>
  </si>
  <si>
    <t>CENTURION</t>
  </si>
  <si>
    <t>0157</t>
  </si>
  <si>
    <t>RICHA</t>
  </si>
  <si>
    <t>RICHARDS BAY</t>
  </si>
  <si>
    <t>POD received from cell 0727824353 M</t>
  </si>
  <si>
    <t>UITEN</t>
  </si>
  <si>
    <t>UITENHAGE</t>
  </si>
  <si>
    <t>POD received from cell 0676995476 M</t>
  </si>
  <si>
    <t xml:space="preserve">                                        </t>
  </si>
  <si>
    <t>ALBE2</t>
  </si>
  <si>
    <t>ALBERTON</t>
  </si>
  <si>
    <t>UPING</t>
  </si>
  <si>
    <t>UPINGTON</t>
  </si>
  <si>
    <t>CHANTELLE</t>
  </si>
  <si>
    <t>ATH</t>
  </si>
  <si>
    <t>KRUGE</t>
  </si>
  <si>
    <t>KRUGERSDORP</t>
  </si>
  <si>
    <t>VANDE</t>
  </si>
  <si>
    <t>VANDERBIJLPARK</t>
  </si>
  <si>
    <t>Ayanda</t>
  </si>
  <si>
    <t>POD received from cell 0783783476 M</t>
  </si>
  <si>
    <t>lev</t>
  </si>
  <si>
    <t>POD received from cell 0734534462 M</t>
  </si>
  <si>
    <t>ppm</t>
  </si>
  <si>
    <t>Thabo</t>
  </si>
  <si>
    <t>POD received from cell 0680504436 M</t>
  </si>
  <si>
    <t>MIDRA</t>
  </si>
  <si>
    <t>MIDRAND</t>
  </si>
  <si>
    <t>VEREE</t>
  </si>
  <si>
    <t>VEREENIGING</t>
  </si>
  <si>
    <t>bongani</t>
  </si>
  <si>
    <t>0184</t>
  </si>
  <si>
    <t>POD received from cell 0738058187 M</t>
  </si>
  <si>
    <t>POD received from cell 0782274968 M</t>
  </si>
  <si>
    <t>Missed cutoff</t>
  </si>
  <si>
    <t>Wayne</t>
  </si>
  <si>
    <t>NDC</t>
  </si>
  <si>
    <t>SPRI3</t>
  </si>
  <si>
    <t>SPRINGS</t>
  </si>
  <si>
    <t>POD received from cell 0813352451 M</t>
  </si>
  <si>
    <t>BRIT1</t>
  </si>
  <si>
    <t>BRITS</t>
  </si>
  <si>
    <t>POD received from cell 0790934153 M</t>
  </si>
  <si>
    <t>0250</t>
  </si>
  <si>
    <t>POD received from cell 0815439717 M</t>
  </si>
  <si>
    <t>0300</t>
  </si>
  <si>
    <t>POD received from cell 0815199139 M</t>
  </si>
  <si>
    <t>Aaron</t>
  </si>
  <si>
    <t>POD received from cell 0661618209 M</t>
  </si>
  <si>
    <t xml:space="preserve">POD received from cell 0622930487 M     </t>
  </si>
  <si>
    <t>POD received from cell 0659386993 M</t>
  </si>
  <si>
    <t>BENON</t>
  </si>
  <si>
    <t>BENONI</t>
  </si>
  <si>
    <t>REFILOE</t>
  </si>
  <si>
    <t>Outlying delivery location</t>
  </si>
  <si>
    <t>PPM</t>
  </si>
  <si>
    <t>lebogang</t>
  </si>
  <si>
    <t>POD received from cell 0644108519 M</t>
  </si>
  <si>
    <t>POD received from cell 0823615061 M</t>
  </si>
  <si>
    <t>UMKOM</t>
  </si>
  <si>
    <t>UMKOMAAS</t>
  </si>
  <si>
    <t>POD received from cell 0785995125 M</t>
  </si>
  <si>
    <t>POD received from cell 0839263002 M</t>
  </si>
  <si>
    <t>PIET2</t>
  </si>
  <si>
    <t>PIETERSBURG</t>
  </si>
  <si>
    <t>POD received from cell 0813693772 M</t>
  </si>
  <si>
    <t>0700</t>
  </si>
  <si>
    <t xml:space="preserve">POD received from cell 0662470104 M     </t>
  </si>
  <si>
    <t>GEORG</t>
  </si>
  <si>
    <t>GEORGE</t>
  </si>
  <si>
    <t>mmd</t>
  </si>
  <si>
    <t>POD received from cell 0720457394 M</t>
  </si>
  <si>
    <t>POD received from cell 0736418208 M</t>
  </si>
  <si>
    <t>POD received from cell 0820534942 M</t>
  </si>
  <si>
    <t>SYSTEM</t>
  </si>
  <si>
    <t>pim</t>
  </si>
  <si>
    <t>0182</t>
  </si>
  <si>
    <t>POD received from cell 0793062989 M</t>
  </si>
  <si>
    <t>kaylen</t>
  </si>
  <si>
    <t>POD received from cell 0685621776 M</t>
  </si>
  <si>
    <t>asanda</t>
  </si>
  <si>
    <t>POD received from cell 0673277989 M</t>
  </si>
  <si>
    <t>SHANE</t>
  </si>
  <si>
    <t>Alex</t>
  </si>
  <si>
    <t>Nthabiseng</t>
  </si>
  <si>
    <t>MOSSE</t>
  </si>
  <si>
    <t>MOSSEL BAY</t>
  </si>
  <si>
    <t>JUH</t>
  </si>
  <si>
    <t>JLC</t>
  </si>
  <si>
    <t>POD received from cell 0782094127 M</t>
  </si>
  <si>
    <t>Vincent</t>
  </si>
  <si>
    <t>Late linehaul</t>
  </si>
  <si>
    <t>0001</t>
  </si>
  <si>
    <t>.</t>
  </si>
  <si>
    <t>LADYS</t>
  </si>
  <si>
    <t>LADYSMITH (NTL)</t>
  </si>
  <si>
    <t>tshidi</t>
  </si>
  <si>
    <t>NTM</t>
  </si>
  <si>
    <t>Christopher</t>
  </si>
  <si>
    <t>QUEEN</t>
  </si>
  <si>
    <t>QUEENSTOWN</t>
  </si>
  <si>
    <t>LEE</t>
  </si>
  <si>
    <t>BETHL</t>
  </si>
  <si>
    <t>BETHLEHEM</t>
  </si>
  <si>
    <t>POD received from cell 0633539650 M</t>
  </si>
  <si>
    <t>mpho</t>
  </si>
  <si>
    <t>POD received from cell 0682690407 M</t>
  </si>
  <si>
    <t>POD received from cell 0715414711 M</t>
  </si>
  <si>
    <t>tracey</t>
  </si>
  <si>
    <t>Dylan</t>
  </si>
  <si>
    <t>POD received from cell 0726316905 M</t>
  </si>
  <si>
    <t>TONGA</t>
  </si>
  <si>
    <t>TONGAAT</t>
  </si>
  <si>
    <t>Flyer</t>
  </si>
  <si>
    <t>JMA</t>
  </si>
  <si>
    <t>Xolani</t>
  </si>
  <si>
    <t>calvin</t>
  </si>
  <si>
    <t>SANDT</t>
  </si>
  <si>
    <t>SANDTON</t>
  </si>
  <si>
    <t>ASHLEY</t>
  </si>
  <si>
    <t>Reuben</t>
  </si>
  <si>
    <t>vusi</t>
  </si>
  <si>
    <t>POD received from cell 0611162104 M</t>
  </si>
  <si>
    <t>illeg</t>
  </si>
  <si>
    <t>bem</t>
  </si>
  <si>
    <t>POD received from cell 0735871460 M</t>
  </si>
  <si>
    <t>POD received from cell 0716311909 M</t>
  </si>
  <si>
    <t>vincent</t>
  </si>
  <si>
    <t>POD received from cell 0822621815 M</t>
  </si>
  <si>
    <t>greg</t>
  </si>
  <si>
    <t xml:space="preserve">POD received from cell 0609039667 M     </t>
  </si>
  <si>
    <t>POD received from cell 0676885534 M</t>
  </si>
  <si>
    <t>PHILANI</t>
  </si>
  <si>
    <t>Lydia</t>
  </si>
  <si>
    <t>POD received from cell 0662487527 M</t>
  </si>
  <si>
    <t>David</t>
  </si>
  <si>
    <t>0151</t>
  </si>
  <si>
    <t>BRAKP</t>
  </si>
  <si>
    <t>BRAKPAN</t>
  </si>
  <si>
    <t>POD received from cell 0719525668 M</t>
  </si>
  <si>
    <t>Johnny</t>
  </si>
  <si>
    <t>Kim</t>
  </si>
  <si>
    <t>LIV</t>
  </si>
  <si>
    <t>songezo</t>
  </si>
  <si>
    <t>0699</t>
  </si>
  <si>
    <t>VRED3</t>
  </si>
  <si>
    <t>VREDENBURG</t>
  </si>
  <si>
    <t>william</t>
  </si>
  <si>
    <t>KAREN</t>
  </si>
  <si>
    <t>Chain store delivery</t>
  </si>
  <si>
    <t>bsn</t>
  </si>
  <si>
    <t>POD received from cell 0767760303 M</t>
  </si>
  <si>
    <t>MIDD2</t>
  </si>
  <si>
    <t>MIDDELBURG (Mpumalanga)</t>
  </si>
  <si>
    <t>POD received from cell 0793866786 M</t>
  </si>
  <si>
    <t>POD received from cell 0847863055 M</t>
  </si>
  <si>
    <t>POD received from cell 0732794063 M</t>
  </si>
  <si>
    <t>candice</t>
  </si>
  <si>
    <t xml:space="preserve">POD received from cell 0773729880 M     </t>
  </si>
  <si>
    <t>POD received from cell 0737385729 M</t>
  </si>
  <si>
    <t>POD received from cell 0697486889 M</t>
  </si>
  <si>
    <t>zakes</t>
  </si>
  <si>
    <t>jane</t>
  </si>
  <si>
    <t>Account Total</t>
  </si>
  <si>
    <t>MANAGER</t>
  </si>
  <si>
    <t>Redirect waybill on waybill nu</t>
  </si>
  <si>
    <t>CSH / FUE / doc</t>
  </si>
  <si>
    <t>CHARMAINE</t>
  </si>
  <si>
    <t>Hold for Collection</t>
  </si>
  <si>
    <t>STAND</t>
  </si>
  <si>
    <t>NELSP</t>
  </si>
  <si>
    <t>NELSPRUIT</t>
  </si>
  <si>
    <t>J17988</t>
  </si>
  <si>
    <t xml:space="preserve">MOVE ANALYTICS CC - GABLER MEDICAL </t>
  </si>
  <si>
    <t xml:space="preserve">Gabler Medical                     </t>
  </si>
  <si>
    <t xml:space="preserve">Frere Hospit                       </t>
  </si>
  <si>
    <t>MAIN WAREHOUSE</t>
  </si>
  <si>
    <t>Jeffrey Jacobs</t>
  </si>
  <si>
    <t>Frere Hospit</t>
  </si>
  <si>
    <t xml:space="preserve">BOX SUTU                      </t>
  </si>
  <si>
    <t>JANSE</t>
  </si>
  <si>
    <t>JANSENVILLE</t>
  </si>
  <si>
    <t xml:space="preserve">SAWAS Memorial Hospit              </t>
  </si>
  <si>
    <t>STORES</t>
  </si>
  <si>
    <t>a blignaut</t>
  </si>
  <si>
    <t xml:space="preserve">FLYER SU                      </t>
  </si>
  <si>
    <t>CRADO</t>
  </si>
  <si>
    <t>CRADOCK</t>
  </si>
  <si>
    <t xml:space="preserve">Cradock Hospit                     </t>
  </si>
  <si>
    <t>n gawo</t>
  </si>
  <si>
    <t xml:space="preserve">Port Elizabeth Pharm.              </t>
  </si>
  <si>
    <t>LIESEL</t>
  </si>
  <si>
    <t>Bongi</t>
  </si>
  <si>
    <t xml:space="preserve">ROYAL BUFFALO SPECIALIST HOSPI     </t>
  </si>
  <si>
    <t>CATHERINE</t>
  </si>
  <si>
    <t>SUVIYLE</t>
  </si>
  <si>
    <t xml:space="preserve">BOX MED                       </t>
  </si>
  <si>
    <t xml:space="preserve">Surgical Systems                   </t>
  </si>
  <si>
    <t>ABBY</t>
  </si>
  <si>
    <t>abby</t>
  </si>
  <si>
    <t>FLYER SUTURES-2</t>
  </si>
  <si>
    <t xml:space="preserve">Greys Hospit                       </t>
  </si>
  <si>
    <t>DHINESH</t>
  </si>
  <si>
    <t>t khumalo</t>
  </si>
  <si>
    <t>POD received from cell 0784468189 M</t>
  </si>
  <si>
    <t xml:space="preserve">Box Medi                      </t>
  </si>
  <si>
    <t xml:space="preserve">Imvula Medical                     </t>
  </si>
  <si>
    <t>LYDIA</t>
  </si>
  <si>
    <t>alice</t>
  </si>
  <si>
    <t>POD received from cell 0628022017 M</t>
  </si>
  <si>
    <t xml:space="preserve">Vetscape                           </t>
  </si>
  <si>
    <t>NINA</t>
  </si>
  <si>
    <t>leandre</t>
  </si>
  <si>
    <t xml:space="preserve">BOX MEDI                      </t>
  </si>
  <si>
    <t xml:space="preserve">King Dinuzulu Hospit Complex       </t>
  </si>
  <si>
    <t>S.MOODLEY</t>
  </si>
  <si>
    <t>thabisile</t>
  </si>
  <si>
    <t>POD received from cell 0677447083 M</t>
  </si>
  <si>
    <t>HOEDS</t>
  </si>
  <si>
    <t>HOEDSPRUIT</t>
  </si>
  <si>
    <t xml:space="preserve">HOEDSPRUIT PRIVATE HOSPITAL        </t>
  </si>
  <si>
    <t>KAGISO LEDWABA</t>
  </si>
  <si>
    <t>phutu</t>
  </si>
  <si>
    <t>POD received from cell 0764614382 M</t>
  </si>
  <si>
    <t xml:space="preserve">BOXES LI                      </t>
  </si>
  <si>
    <t>PORT5</t>
  </si>
  <si>
    <t>PORT ST.JOHNS</t>
  </si>
  <si>
    <t xml:space="preserve">ZITHULELE HOSPITAL                 </t>
  </si>
  <si>
    <t>Robyn Wates</t>
  </si>
  <si>
    <t xml:space="preserve">Ghunga                        </t>
  </si>
  <si>
    <t>NDC / FUE / DOC</t>
  </si>
  <si>
    <t>Box Sutures-36</t>
  </si>
  <si>
    <t xml:space="preserve">Brits Medi Clinic - Pharmacy       </t>
  </si>
  <si>
    <t>JOHANNA</t>
  </si>
  <si>
    <t>Osia</t>
  </si>
  <si>
    <t xml:space="preserve">Lichtenburg Animal Hospit          </t>
  </si>
  <si>
    <t>MINNY</t>
  </si>
  <si>
    <t>soartjie</t>
  </si>
  <si>
    <t>POD received from cell 0825478879 M</t>
  </si>
  <si>
    <t>FLYER SUTURES-4</t>
  </si>
  <si>
    <t xml:space="preserve">MSC PHARMACY                       </t>
  </si>
  <si>
    <t>Nodine</t>
  </si>
  <si>
    <t xml:space="preserve">Peglerae PRIVATE Hospit PHY        </t>
  </si>
  <si>
    <t>S.VAN DER BERG</t>
  </si>
  <si>
    <t>Hana</t>
  </si>
  <si>
    <t>POD received from cell 0781730799 M</t>
  </si>
  <si>
    <t>FLYER SUTURES-3</t>
  </si>
  <si>
    <t xml:space="preserve">Life Roseacres Hospital            </t>
  </si>
  <si>
    <t>MICHELLE DE BEER</t>
  </si>
  <si>
    <t>sakane</t>
  </si>
  <si>
    <t>FLYER SUTURES-1</t>
  </si>
  <si>
    <t xml:space="preserve">DR JPD VINCENT AND ASSOCIATES      </t>
  </si>
  <si>
    <t>PHARMACY</t>
  </si>
  <si>
    <t>ZULFAH</t>
  </si>
  <si>
    <t xml:space="preserve">Chatsmed Hospit                    </t>
  </si>
  <si>
    <t>V.NAIDU</t>
  </si>
  <si>
    <t>PHARMACY STAMP</t>
  </si>
  <si>
    <t xml:space="preserve">DALVIEW DISPENSARY                 </t>
  </si>
  <si>
    <t>L.MAGODLA</t>
  </si>
  <si>
    <t>herollat</t>
  </si>
  <si>
    <t xml:space="preserve">Netcare Jakaranda Hospital         </t>
  </si>
  <si>
    <t>MAIN THEATRE</t>
  </si>
  <si>
    <t>Lipson  Pharmacy</t>
  </si>
  <si>
    <t>FOCHV</t>
  </si>
  <si>
    <t>FOCHVILLE</t>
  </si>
  <si>
    <t xml:space="preserve">Leslie Williams Private Hospit     </t>
  </si>
  <si>
    <t>JOHANNAH</t>
  </si>
  <si>
    <t>Judel</t>
  </si>
  <si>
    <t>POD received from cell 0713186291 M</t>
  </si>
  <si>
    <t>FLYER SUTURES-6</t>
  </si>
  <si>
    <t>KIMBE</t>
  </si>
  <si>
    <t>KIMBERLEY</t>
  </si>
  <si>
    <t xml:space="preserve">KIMBERLEY MEDI CLINIC              </t>
  </si>
  <si>
    <t>FRANS THOMPSON</t>
  </si>
  <si>
    <t>ettienn</t>
  </si>
  <si>
    <t>grr</t>
  </si>
  <si>
    <t>TZANE</t>
  </si>
  <si>
    <t>TZANEEN</t>
  </si>
  <si>
    <t xml:space="preserve">Tzaneen Private Hospit             </t>
  </si>
  <si>
    <t>M.OBERHOLZER</t>
  </si>
  <si>
    <t>atalia</t>
  </si>
  <si>
    <t>POD received from cell 0726120122 M</t>
  </si>
  <si>
    <t>0850</t>
  </si>
  <si>
    <t xml:space="preserve">BUSAMED HILLCREST PRIVATE HOSP     </t>
  </si>
  <si>
    <t>Sanele</t>
  </si>
  <si>
    <t>LEV</t>
  </si>
  <si>
    <t>POD received from cell 0814467009 M</t>
  </si>
  <si>
    <t xml:space="preserve">Mediclinic Limpopo                 </t>
  </si>
  <si>
    <t>VINOLIA</t>
  </si>
  <si>
    <t>Agreement</t>
  </si>
  <si>
    <t>POD received from cell 0762500778 M</t>
  </si>
  <si>
    <t>BOX SUTURES-8</t>
  </si>
  <si>
    <t xml:space="preserve">Victoria Hospit Pharma             </t>
  </si>
  <si>
    <t>SUJAYA RAJOO</t>
  </si>
  <si>
    <t>Zama</t>
  </si>
  <si>
    <t>FLYER SUTRURES-5</t>
  </si>
  <si>
    <t xml:space="preserve">Medi Clinic Pietermaritzburg       </t>
  </si>
  <si>
    <t>THEATRE</t>
  </si>
  <si>
    <t>Jermaine</t>
  </si>
  <si>
    <t xml:space="preserve">Fernridge Veterinary Clinic        </t>
  </si>
  <si>
    <t>MARINA GOMERSALL</t>
  </si>
  <si>
    <t>fatima</t>
  </si>
  <si>
    <t>POD received from cell 0792133590 M</t>
  </si>
  <si>
    <t xml:space="preserve">Old Chapel Vet Clinic              </t>
  </si>
  <si>
    <t>ANTHONY</t>
  </si>
  <si>
    <t>cahen</t>
  </si>
  <si>
    <t>POD received from cell 0726813383 M</t>
  </si>
  <si>
    <t xml:space="preserve">GABLER MEDICAL                     </t>
  </si>
  <si>
    <t>ANDREW</t>
  </si>
  <si>
    <t>patricia</t>
  </si>
  <si>
    <t>POD received from cell 0649538281 M</t>
  </si>
  <si>
    <t>FLYER SUTURE SAMPLES</t>
  </si>
  <si>
    <t xml:space="preserve">Clinix Botshelong Hospit           </t>
  </si>
  <si>
    <t>MDUDUZI</t>
  </si>
  <si>
    <t>Nceba</t>
  </si>
  <si>
    <t>POD received from cell 0676587615 M</t>
  </si>
  <si>
    <t xml:space="preserve">LYNS VET SUPPLIES                  </t>
  </si>
  <si>
    <t>LYN</t>
  </si>
  <si>
    <t>jam</t>
  </si>
  <si>
    <t xml:space="preserve">Paarl Medi Clinic                  </t>
  </si>
  <si>
    <t>PHY MANAGER</t>
  </si>
  <si>
    <t>Jesmine</t>
  </si>
  <si>
    <t xml:space="preserve">Life Brenthurst Hospital Phy       </t>
  </si>
  <si>
    <t>SOLOMON</t>
  </si>
  <si>
    <t xml:space="preserve">George                        </t>
  </si>
  <si>
    <t>mdm</t>
  </si>
  <si>
    <t xml:space="preserve">POD received from cell 0822269424 M     </t>
  </si>
  <si>
    <t>MMABA</t>
  </si>
  <si>
    <t>MMABATHO</t>
  </si>
  <si>
    <t xml:space="preserve">Victoria Private Hospit - Clin     </t>
  </si>
  <si>
    <t>SELENA</t>
  </si>
  <si>
    <t>SEGAMETSI</t>
  </si>
  <si>
    <t>rna</t>
  </si>
  <si>
    <t>BOX SUTURES-12</t>
  </si>
  <si>
    <t xml:space="preserve">Mediclinic Gariep                  </t>
  </si>
  <si>
    <t>BIA</t>
  </si>
  <si>
    <t>ettienne</t>
  </si>
  <si>
    <t xml:space="preserve">LENMED - AHMED KATHRADA            </t>
  </si>
  <si>
    <t xml:space="preserve">banzi                         </t>
  </si>
  <si>
    <t xml:space="preserve">POD received from cell 0725617998 M     </t>
  </si>
  <si>
    <t xml:space="preserve">Netcare St Anne s Hospital         </t>
  </si>
  <si>
    <t>Zethembe</t>
  </si>
  <si>
    <t xml:space="preserve">Netcare St Augustine s Hospita     </t>
  </si>
  <si>
    <t xml:space="preserve">MORELAND PHARMACY                  </t>
  </si>
  <si>
    <t>P.MOODLEY</t>
  </si>
  <si>
    <t>anisher</t>
  </si>
  <si>
    <t>j17988</t>
  </si>
  <si>
    <t xml:space="preserve">GABLER MEDICAL TECH                </t>
  </si>
  <si>
    <t xml:space="preserve">GABLER  MEDICAL                    </t>
  </si>
  <si>
    <t>PREETHUM</t>
  </si>
  <si>
    <t>DUDUZILE</t>
  </si>
  <si>
    <t>p maganlal</t>
  </si>
  <si>
    <t xml:space="preserve">GABER                              </t>
  </si>
  <si>
    <t xml:space="preserve">GABEL                              </t>
  </si>
  <si>
    <t>MONIQUE   RONEL</t>
  </si>
  <si>
    <t>SONIA PHILLIPS</t>
  </si>
  <si>
    <t>0046</t>
  </si>
  <si>
    <t xml:space="preserve">Harry Gwala Regional Hospital      </t>
  </si>
  <si>
    <t>PLEASE CALL RAJESH 0845200361 TO ARRANGE THE COLLECTION</t>
  </si>
  <si>
    <t>Alex Buys</t>
  </si>
  <si>
    <t>Rajesh</t>
  </si>
  <si>
    <t>Boxes</t>
  </si>
  <si>
    <t xml:space="preserve">SA Spring Manufacturing            </t>
  </si>
  <si>
    <t>JEFFREY</t>
  </si>
  <si>
    <t>Penwell Magagula</t>
  </si>
  <si>
    <t>BURGE</t>
  </si>
  <si>
    <t>BURGERSDORP</t>
  </si>
  <si>
    <t xml:space="preserve">Burgersdorp Prov Hospit            </t>
  </si>
  <si>
    <t>Mili</t>
  </si>
  <si>
    <t>POD received from cell 0725621452 M</t>
  </si>
  <si>
    <t>NOLUVUYO</t>
  </si>
  <si>
    <t>UMTAT</t>
  </si>
  <si>
    <t>UMTATA</t>
  </si>
  <si>
    <t xml:space="preserve">UMTATA MEDICAL DEPOT               </t>
  </si>
  <si>
    <t>A  SMLAZE</t>
  </si>
  <si>
    <t>WHITT</t>
  </si>
  <si>
    <t>WHITTELSEA</t>
  </si>
  <si>
    <t xml:space="preserve">HEWU Hospit                        </t>
  </si>
  <si>
    <t>sam</t>
  </si>
  <si>
    <t xml:space="preserve">BUSAMED LOWVELD PRIVATE HOSPIT     </t>
  </si>
  <si>
    <t>THEMBA</t>
  </si>
  <si>
    <t>POD received from cell 0647756476 M</t>
  </si>
  <si>
    <t xml:space="preserve">BOX LINE                      </t>
  </si>
  <si>
    <t>COLES</t>
  </si>
  <si>
    <t>COLESBERG</t>
  </si>
  <si>
    <t xml:space="preserve">COLESBURG HOSPITAL                 </t>
  </si>
  <si>
    <t>STORES-</t>
  </si>
  <si>
    <t>YAMKELO</t>
  </si>
  <si>
    <t>dss</t>
  </si>
  <si>
    <t>WELKO</t>
  </si>
  <si>
    <t>WELKOM</t>
  </si>
  <si>
    <t xml:space="preserve">Meulen Pharmacy                    </t>
  </si>
  <si>
    <t>NEIL</t>
  </si>
  <si>
    <t>POD received from cell 0637402252 M</t>
  </si>
  <si>
    <t xml:space="preserve">Unitas Hospit                      </t>
  </si>
  <si>
    <t>MAHLATSE</t>
  </si>
  <si>
    <t>mahlatsemahlatse</t>
  </si>
  <si>
    <t>POD received from cell 0767548818 M</t>
  </si>
  <si>
    <t xml:space="preserve">Impala Platinum Mines              </t>
  </si>
  <si>
    <t>LINDA</t>
  </si>
  <si>
    <t>Leonard</t>
  </si>
  <si>
    <t>rixile</t>
  </si>
  <si>
    <t>POD received from cell 0790678352 M</t>
  </si>
  <si>
    <t>BLOE1</t>
  </si>
  <si>
    <t>BLOEMFONTEIN</t>
  </si>
  <si>
    <t xml:space="preserve">Busamed                            </t>
  </si>
  <si>
    <t>ELISSTANE</t>
  </si>
  <si>
    <t xml:space="preserve">Midlands Medical Centre            </t>
  </si>
  <si>
    <t>SHADREN</t>
  </si>
  <si>
    <t>Niggi</t>
  </si>
  <si>
    <t xml:space="preserve">Netcare Cuyler                     </t>
  </si>
  <si>
    <t xml:space="preserve">Multicare Medical                  </t>
  </si>
  <si>
    <t>Tabitha</t>
  </si>
  <si>
    <t>BOX SUTURES-14</t>
  </si>
  <si>
    <t>SIVUYILE</t>
  </si>
  <si>
    <t xml:space="preserve">NETCARE PARKLANE PHY               </t>
  </si>
  <si>
    <t>LENDL</t>
  </si>
  <si>
    <t>Lesetja</t>
  </si>
  <si>
    <t>POD received from cell 0817313122 M</t>
  </si>
  <si>
    <t xml:space="preserve">Mediclinic Pietermaritzburg Ph     </t>
  </si>
  <si>
    <t>FLYER VSUTURES-3</t>
  </si>
  <si>
    <t>MINETTE</t>
  </si>
  <si>
    <t>FLYER SUTURE-2</t>
  </si>
  <si>
    <t xml:space="preserve">EMFULENI MEDI CLINIC PHARMACY      </t>
  </si>
  <si>
    <t>BESSIE</t>
  </si>
  <si>
    <t>andrew</t>
  </si>
  <si>
    <t>POD received from cell 0680792574 M</t>
  </si>
  <si>
    <t xml:space="preserve">MMC BENONI DAY HOSPITAL            </t>
  </si>
  <si>
    <t>lesego</t>
  </si>
  <si>
    <t>Flyer Sutures-4</t>
  </si>
  <si>
    <t xml:space="preserve">Onderstepoort Veterinary           </t>
  </si>
  <si>
    <t>THEATRE SISTER</t>
  </si>
  <si>
    <t>0110</t>
  </si>
  <si>
    <t>BOX SUTURES-9</t>
  </si>
  <si>
    <t>VINOLIAH</t>
  </si>
  <si>
    <t>FLYER SUTURES-5</t>
  </si>
  <si>
    <t xml:space="preserve">The Surgical Institute             </t>
  </si>
  <si>
    <t>VALNECIA</t>
  </si>
  <si>
    <t xml:space="preserve">Lerato                        </t>
  </si>
  <si>
    <t xml:space="preserve">POD received from cell 0738726261 M     </t>
  </si>
  <si>
    <t xml:space="preserve">Hoogland Medi Clinic Pharmacy      </t>
  </si>
  <si>
    <t>WILMA LANA</t>
  </si>
  <si>
    <t>Martin</t>
  </si>
  <si>
    <t>BOX SUTURES-7</t>
  </si>
  <si>
    <t xml:space="preserve">Netcare Rosebank PHY               </t>
  </si>
  <si>
    <t>shaquclle</t>
  </si>
  <si>
    <t xml:space="preserve">Life Springs Parkland Hospital     </t>
  </si>
  <si>
    <t>ANITA</t>
  </si>
  <si>
    <t>Armond</t>
  </si>
  <si>
    <t>POD received from cell 0609039667 M</t>
  </si>
  <si>
    <t xml:space="preserve">Life Peglerae Hospit               </t>
  </si>
  <si>
    <t>SONIQUE</t>
  </si>
  <si>
    <t xml:space="preserve">Netcare MilPark Hospital Main      </t>
  </si>
  <si>
    <t>POD received from cell 0822269424 M</t>
  </si>
  <si>
    <t xml:space="preserve">NETCARE THE BAY PHARMACY           </t>
  </si>
  <si>
    <t>Sharlene</t>
  </si>
  <si>
    <t>POD received from cell 0795550703 M</t>
  </si>
  <si>
    <t xml:space="preserve">Clinix Botshelong - Empilweni      </t>
  </si>
  <si>
    <t xml:space="preserve">khayelitsha Surgical Clinic        </t>
  </si>
  <si>
    <t>Lameez</t>
  </si>
  <si>
    <t>POD received from cell 0672073967 M</t>
  </si>
  <si>
    <t>BOX SUTURES-11</t>
  </si>
  <si>
    <t xml:space="preserve">Glen Austin Equine Clinic          </t>
  </si>
  <si>
    <t>CHERYL</t>
  </si>
  <si>
    <t>Redirect waybill on waybill number RGAB2</t>
  </si>
  <si>
    <t xml:space="preserve">AUBERT PIPE   PROFILE SOLUTION     </t>
  </si>
  <si>
    <t>EUGENE DE JAGER</t>
  </si>
  <si>
    <t>Bundles</t>
  </si>
  <si>
    <t xml:space="preserve">NETCARE FERNCREST                  </t>
  </si>
  <si>
    <t>PHY</t>
  </si>
  <si>
    <t>NEO</t>
  </si>
  <si>
    <t xml:space="preserve">Netcare Alberlito Hosp.            </t>
  </si>
  <si>
    <t>MAIN PHY</t>
  </si>
  <si>
    <t>Maasida</t>
  </si>
  <si>
    <t xml:space="preserve">VINDMED MEDICAL SUPPLIES           </t>
  </si>
  <si>
    <t>ADRI</t>
  </si>
  <si>
    <t>Minetty</t>
  </si>
  <si>
    <t>Crystal</t>
  </si>
  <si>
    <t xml:space="preserve">LIFE MOUNT EDGECOMBE               </t>
  </si>
  <si>
    <t>PRISANTHA</t>
  </si>
  <si>
    <t xml:space="preserve">NETCARE SUNWARD PARK               </t>
  </si>
  <si>
    <t>MAINTHEATRE</t>
  </si>
  <si>
    <t>GERNU</t>
  </si>
  <si>
    <t xml:space="preserve">xolan                         </t>
  </si>
  <si>
    <t xml:space="preserve">POD received from cell 0716311909 M     </t>
  </si>
  <si>
    <t>FLYER SUTURES3</t>
  </si>
  <si>
    <t xml:space="preserve">LIFE WILGEHEUWEL PHARMACY          </t>
  </si>
  <si>
    <t>MARION</t>
  </si>
  <si>
    <t>Dominic</t>
  </si>
  <si>
    <t>POD received from cell 0715201240 M</t>
  </si>
  <si>
    <t>FLYER SUTURES-3.</t>
  </si>
  <si>
    <t xml:space="preserve">Netcare Unitas Hospit              </t>
  </si>
  <si>
    <t>POD received from cell 0684441096 M</t>
  </si>
  <si>
    <t>POD received from cell 0691584049 M</t>
  </si>
  <si>
    <t xml:space="preserve">CAPITAL ONCOLOGY                   </t>
  </si>
  <si>
    <t>Natisha</t>
  </si>
  <si>
    <t xml:space="preserve">MAYO CLINIC  MAYO 2 THEATRE        </t>
  </si>
  <si>
    <t>eloise</t>
  </si>
  <si>
    <t>POD received from cell 0783211209 M</t>
  </si>
  <si>
    <t xml:space="preserve">STRAND ANIMAL HOSPITAL             </t>
  </si>
  <si>
    <t>JEHIEL</t>
  </si>
  <si>
    <t>manatelle</t>
  </si>
  <si>
    <t xml:space="preserve">VETCARE ANIMAL CLINIC              </t>
  </si>
  <si>
    <t>SANISHA</t>
  </si>
  <si>
    <t>nita</t>
  </si>
  <si>
    <t>POD received from cell 0619955001 M</t>
  </si>
  <si>
    <t>TARKA</t>
  </si>
  <si>
    <t>TARKASTAD</t>
  </si>
  <si>
    <t xml:space="preserve">MARTJE VENTER HOSPITAL             </t>
  </si>
  <si>
    <t>kuselwa</t>
  </si>
  <si>
    <t>BOX SUTURES-10</t>
  </si>
  <si>
    <t xml:space="preserve">Disa Med Stellenbosch              </t>
  </si>
  <si>
    <t>JUANEL</t>
  </si>
  <si>
    <t>damen</t>
  </si>
  <si>
    <t xml:space="preserve">CENTRAL UNION MEDICAL SUPPLIES     </t>
  </si>
  <si>
    <t>dann</t>
  </si>
  <si>
    <t>BOX SUTURES-13</t>
  </si>
  <si>
    <t>Rixile</t>
  </si>
  <si>
    <t xml:space="preserve">DR JA MUIRE -COD ACCOUNT           </t>
  </si>
  <si>
    <t>Erika</t>
  </si>
  <si>
    <t>POD received from cell 0719970464 M</t>
  </si>
  <si>
    <t xml:space="preserve">Mediclinic Sandton Pharmacy        </t>
  </si>
  <si>
    <t>COMFORT PHY</t>
  </si>
  <si>
    <t>tebogo</t>
  </si>
  <si>
    <t xml:space="preserve">BETHLEHEM MC Day Theatre           </t>
  </si>
  <si>
    <t>MALEEN</t>
  </si>
  <si>
    <t>jm terblanche</t>
  </si>
  <si>
    <t xml:space="preserve">GLABER MEDICAL                     </t>
  </si>
  <si>
    <t>TRACEY</t>
  </si>
  <si>
    <t>MONIQUE  MOSTERT</t>
  </si>
  <si>
    <t>t coutzee</t>
  </si>
  <si>
    <t xml:space="preserve">Medicentre Pharmacy City Hospi     </t>
  </si>
  <si>
    <t>PHArmacy</t>
  </si>
  <si>
    <t>freedom</t>
  </si>
  <si>
    <t>POD received from cell 0797318730 M</t>
  </si>
  <si>
    <t xml:space="preserve">Boxes Li                      </t>
  </si>
  <si>
    <t xml:space="preserve">Wilgeheuwel Private Hospit         </t>
  </si>
  <si>
    <t>MARION PUTTERILL</t>
  </si>
  <si>
    <t xml:space="preserve">GABLER  ME4DICAL                   </t>
  </si>
  <si>
    <t>KIM  GRAUSO</t>
  </si>
  <si>
    <t>Prudence</t>
  </si>
  <si>
    <t xml:space="preserve">Netcare Montana Hospit             </t>
  </si>
  <si>
    <t>NDIVHUWO</t>
  </si>
  <si>
    <t>TIYAN</t>
  </si>
  <si>
    <t xml:space="preserve">SKYNET DURBAN  DEPOT               </t>
  </si>
  <si>
    <t>LEVENE</t>
  </si>
  <si>
    <t>lenene</t>
  </si>
  <si>
    <t xml:space="preserve">Flyer Me                      </t>
  </si>
  <si>
    <t xml:space="preserve">LIFE ENTABENI Hospit               </t>
  </si>
  <si>
    <t>THULLSILE</t>
  </si>
  <si>
    <t>Thulisile</t>
  </si>
  <si>
    <t xml:space="preserve">Arwyp Medical Cntr                 </t>
  </si>
  <si>
    <t>COLLEEN</t>
  </si>
  <si>
    <t>PETRUS</t>
  </si>
  <si>
    <t xml:space="preserve">Durbanville Vet                    </t>
  </si>
  <si>
    <t>SR JANET</t>
  </si>
  <si>
    <t>Belinda</t>
  </si>
  <si>
    <t>POD received from cell 0738726261 M</t>
  </si>
  <si>
    <t xml:space="preserve">MILNERS DENTAL SUPPLIES            </t>
  </si>
  <si>
    <t>RASHIED</t>
  </si>
  <si>
    <t>Allistair</t>
  </si>
  <si>
    <t>POD received from cell 0603198585 M</t>
  </si>
  <si>
    <t>BIANKA BASSON</t>
  </si>
  <si>
    <t>SUTURE SAMPLES</t>
  </si>
  <si>
    <t xml:space="preserve">Disa Med Constantia Pharmacy       </t>
  </si>
  <si>
    <t>MARTIN</t>
  </si>
  <si>
    <t>POD received from cell 0723748549 M</t>
  </si>
  <si>
    <t xml:space="preserve">SKYNET                             </t>
  </si>
  <si>
    <t>SDX</t>
  </si>
  <si>
    <t>Att: Levene 082 900 0206</t>
  </si>
  <si>
    <t>Roxanne Jeffrey</t>
  </si>
  <si>
    <t>levene</t>
  </si>
  <si>
    <t>DSD / FUE / doc</t>
  </si>
  <si>
    <t xml:space="preserve">Med Pak                            </t>
  </si>
  <si>
    <t>Rakesh Makran</t>
  </si>
  <si>
    <t>FYER SUTURES-2</t>
  </si>
  <si>
    <t xml:space="preserve">Life St Dominics Hospital          </t>
  </si>
  <si>
    <t>BRETT</t>
  </si>
  <si>
    <t>reen</t>
  </si>
  <si>
    <t>MARIUS</t>
  </si>
  <si>
    <t xml:space="preserve">Life Fourways Hospital             </t>
  </si>
  <si>
    <t>Chido</t>
  </si>
  <si>
    <t>POD received from cell 0815508785 M</t>
  </si>
  <si>
    <t xml:space="preserve">CURE DAY HOSPITAL FOURWAYS         </t>
  </si>
  <si>
    <t>thato</t>
  </si>
  <si>
    <t xml:space="preserve">Dr Paul Betts                      </t>
  </si>
  <si>
    <t>CELESTE</t>
  </si>
  <si>
    <t>Terry</t>
  </si>
  <si>
    <t>SIVUYIL</t>
  </si>
  <si>
    <t xml:space="preserve">Netcare The Bay Hospit             </t>
  </si>
  <si>
    <t>xolani</t>
  </si>
  <si>
    <t xml:space="preserve">MEDICAL HOSPITAL OF LEBOWAKGOM     </t>
  </si>
  <si>
    <t>BELLE</t>
  </si>
  <si>
    <t>christabel</t>
  </si>
  <si>
    <t>HND / NDC / FUE / DOC</t>
  </si>
  <si>
    <t>POD received from cell 0661276981 M</t>
  </si>
  <si>
    <t>0737</t>
  </si>
  <si>
    <t xml:space="preserve">MEDICLINIC GENEVA                  </t>
  </si>
  <si>
    <t>LIEZEL</t>
  </si>
  <si>
    <t>Jianando</t>
  </si>
  <si>
    <t>POD received from cell 0849215600 M</t>
  </si>
  <si>
    <t xml:space="preserve">Life Wilgeheuwel Hospit            </t>
  </si>
  <si>
    <t xml:space="preserve">Life Cosmos Hospit                 </t>
  </si>
  <si>
    <t>NINETTE</t>
  </si>
  <si>
    <t xml:space="preserve">lebogang                      </t>
  </si>
  <si>
    <t xml:space="preserve">POD received from cell 0793866786 M     </t>
  </si>
  <si>
    <t xml:space="preserve">Mid - Medic Pharmacy               </t>
  </si>
  <si>
    <t xml:space="preserve">GABLER                             </t>
  </si>
  <si>
    <t>MONIQUE MCSTEL</t>
  </si>
  <si>
    <t>SONIA PHILLIP</t>
  </si>
  <si>
    <t>NODENE</t>
  </si>
  <si>
    <t>nodene</t>
  </si>
  <si>
    <t xml:space="preserve">FLYER ME                      </t>
  </si>
  <si>
    <t>Aslam</t>
  </si>
  <si>
    <t xml:space="preserve">Netcare Pretoria East Hospital     </t>
  </si>
  <si>
    <t>NDUDUZO</t>
  </si>
  <si>
    <t>POD received from cell 0665269457 M</t>
  </si>
  <si>
    <t xml:space="preserve">BOIX MED                      </t>
  </si>
  <si>
    <t xml:space="preserve">Netcare Pinehaven Hospit           </t>
  </si>
  <si>
    <t>DEBBIE</t>
  </si>
  <si>
    <t>sedrich</t>
  </si>
  <si>
    <t xml:space="preserve">PHARMACY DEPOT BLOEMFONTEIN        </t>
  </si>
  <si>
    <t xml:space="preserve">alice                         </t>
  </si>
  <si>
    <t xml:space="preserve">POD received from cell 0790678352 M     </t>
  </si>
  <si>
    <t xml:space="preserve">Zuid Afrikaanse Hospit             </t>
  </si>
  <si>
    <t>Jacob  Pharmacy</t>
  </si>
  <si>
    <t xml:space="preserve">RAHIMA MOOSA MOTHER   CHILD HO     </t>
  </si>
  <si>
    <t>POD received from cell 0635052911 M</t>
  </si>
  <si>
    <t>BOTS1</t>
  </si>
  <si>
    <t>BOTSWANA (GABARONE)</t>
  </si>
  <si>
    <t xml:space="preserve">LIFE GABERONE PVT HOSPITAL         </t>
  </si>
  <si>
    <t>IBC</t>
  </si>
  <si>
    <t>JEFFREY JACOBS</t>
  </si>
  <si>
    <t>DITSHUPO</t>
  </si>
  <si>
    <t>mkh</t>
  </si>
  <si>
    <t>CDC</t>
  </si>
  <si>
    <t>GABO</t>
  </si>
  <si>
    <t xml:space="preserve">GLEN AUSTIN EUINE CLINIC           </t>
  </si>
  <si>
    <t>011 7021 514</t>
  </si>
  <si>
    <t>cherl</t>
  </si>
  <si>
    <t>MNA</t>
  </si>
  <si>
    <t>POD received from cell 0725222846 M</t>
  </si>
  <si>
    <t>CHIDO</t>
  </si>
  <si>
    <t>CHUENE</t>
  </si>
  <si>
    <t xml:space="preserve">Life West Coast Private Hospit     </t>
  </si>
  <si>
    <t>ELNETTE</t>
  </si>
  <si>
    <t>GERMAINE</t>
  </si>
  <si>
    <t xml:space="preserve">Life Westville Hospital Phy        </t>
  </si>
  <si>
    <t>ANUSHA</t>
  </si>
  <si>
    <t xml:space="preserve">Life Rosepark Hospital Phy         </t>
  </si>
  <si>
    <t>LORINDA</t>
  </si>
  <si>
    <t>mvh</t>
  </si>
  <si>
    <t xml:space="preserve">Netcare Linkwood Clinic            </t>
  </si>
  <si>
    <t>IRENE</t>
  </si>
  <si>
    <t>mphahlele</t>
  </si>
  <si>
    <t>POD received from cell 0609545808 M</t>
  </si>
  <si>
    <t xml:space="preserve">Netcare Olivedale Hospit           </t>
  </si>
  <si>
    <t>JOHN VRIES</t>
  </si>
  <si>
    <t xml:space="preserve">Dawie                         </t>
  </si>
  <si>
    <t xml:space="preserve">POD received from cell 0720457394 M     </t>
  </si>
  <si>
    <t xml:space="preserve">MMED Distribution                  </t>
  </si>
  <si>
    <t>MELISSA</t>
  </si>
  <si>
    <t>REF rgab2025399</t>
  </si>
  <si>
    <t>Company Closed</t>
  </si>
  <si>
    <t xml:space="preserve">DR RHOODIE GARRANA                 </t>
  </si>
  <si>
    <t>MARRY SUE</t>
  </si>
  <si>
    <t>SIHLE</t>
  </si>
  <si>
    <t xml:space="preserve">DR F DUMINY                        </t>
  </si>
  <si>
    <t>SR RONNIE</t>
  </si>
  <si>
    <t>Caitlyn</t>
  </si>
  <si>
    <t>POD received from cell 0676365649 M</t>
  </si>
  <si>
    <t xml:space="preserve">Mediclinic Stellenbosch Pharma     </t>
  </si>
  <si>
    <t>terince</t>
  </si>
  <si>
    <t xml:space="preserve">Montana Prk Animal Hospit          </t>
  </si>
  <si>
    <t>SONJA</t>
  </si>
  <si>
    <t xml:space="preserve">Sonja                         </t>
  </si>
  <si>
    <t xml:space="preserve">POD received from cell 0609225567 M     </t>
  </si>
  <si>
    <t xml:space="preserve">Blue Hills Veterinary Hospit       </t>
  </si>
  <si>
    <t>KIRSTIN</t>
  </si>
  <si>
    <t>calla</t>
  </si>
  <si>
    <t>POD received from cell 0741433512 M</t>
  </si>
  <si>
    <t xml:space="preserve">Dr Doug Beere Inc                  </t>
  </si>
  <si>
    <t xml:space="preserve">MICHELLE                      </t>
  </si>
  <si>
    <t>judy</t>
  </si>
  <si>
    <t>M SKEA</t>
  </si>
  <si>
    <t xml:space="preserve">kedi                          </t>
  </si>
  <si>
    <t xml:space="preserve">POD received from cell 0761993462 M     </t>
  </si>
  <si>
    <t xml:space="preserve">Tshepo Themba Clinix - Dispens     </t>
  </si>
  <si>
    <t>GALDNESS</t>
  </si>
  <si>
    <t>prince</t>
  </si>
  <si>
    <t>POD received from cell 0610289840 M</t>
  </si>
  <si>
    <t xml:space="preserve">IMPLANT PERIO INC                  </t>
  </si>
  <si>
    <t>LIZELLE</t>
  </si>
  <si>
    <t>kelly</t>
  </si>
  <si>
    <t>POD received from cell 0797809417 M</t>
  </si>
  <si>
    <t>preethum magamal</t>
  </si>
  <si>
    <t xml:space="preserve">Capital Oncology                   </t>
  </si>
  <si>
    <t>jared</t>
  </si>
  <si>
    <t>LEANDRA</t>
  </si>
  <si>
    <t xml:space="preserve">Valley Farm Animal Hospit          </t>
  </si>
  <si>
    <t>Charne</t>
  </si>
  <si>
    <t>POD received from cell 0724326506 M</t>
  </si>
  <si>
    <t>0043</t>
  </si>
  <si>
    <t>BOX SUTURES-20</t>
  </si>
  <si>
    <t xml:space="preserve">Naledi Nkayezi - Sebokeng Clin     </t>
  </si>
  <si>
    <t>MR MODISE</t>
  </si>
  <si>
    <t>lepele</t>
  </si>
  <si>
    <t xml:space="preserve">Urology Hospit Pharma              </t>
  </si>
  <si>
    <t>Evans  Pharmacy</t>
  </si>
  <si>
    <t>BOX SUTURES-1</t>
  </si>
  <si>
    <t>VRYHE</t>
  </si>
  <si>
    <t>VRYHEID</t>
  </si>
  <si>
    <t xml:space="preserve">Abaqulusi Private Hospit           </t>
  </si>
  <si>
    <t>Abaqulusi Private Hospitl</t>
  </si>
  <si>
    <t>POD received from cell 0784953533 M</t>
  </si>
  <si>
    <t xml:space="preserve">velaphi                       </t>
  </si>
  <si>
    <t>Minette</t>
  </si>
  <si>
    <t xml:space="preserve">Arrabon Distribution               </t>
  </si>
  <si>
    <t xml:space="preserve">Box Med                       </t>
  </si>
  <si>
    <t xml:space="preserve">hlengiwe                      </t>
  </si>
  <si>
    <t xml:space="preserve">POD received from cell 0784468189 M     </t>
  </si>
  <si>
    <t xml:space="preserve">Netcare Cuyler Hosp.               </t>
  </si>
  <si>
    <t>MPUMELELA</t>
  </si>
  <si>
    <t>romario</t>
  </si>
  <si>
    <t xml:space="preserve">MILLNERS DENTAL SUPPLIERS          </t>
  </si>
  <si>
    <t>lizel</t>
  </si>
  <si>
    <t xml:space="preserve">UNIVERSITAS HOSPITAL               </t>
  </si>
  <si>
    <t>TUMI</t>
  </si>
  <si>
    <t>DSS</t>
  </si>
  <si>
    <t xml:space="preserve">ISIPINGO HOSPITAL DISPENSARY       </t>
  </si>
  <si>
    <t>Aisha</t>
  </si>
  <si>
    <t>POD received from cell 0647274657 M</t>
  </si>
  <si>
    <t xml:space="preserve">SPECIALIZED MOULDINGS              </t>
  </si>
  <si>
    <t>WAYNE</t>
  </si>
  <si>
    <t>box</t>
  </si>
  <si>
    <t xml:space="preserve">APEX SURGICENTRE                   </t>
  </si>
  <si>
    <t>JANE</t>
  </si>
  <si>
    <t xml:space="preserve">WC Health George Hospit            </t>
  </si>
  <si>
    <t>ANTOLENE</t>
  </si>
  <si>
    <t>GRANVILLE</t>
  </si>
  <si>
    <t xml:space="preserve">HEROLIM PRIVATE HOSPITAL           </t>
  </si>
  <si>
    <t>MTHOKOZI</t>
  </si>
  <si>
    <t>NELISA</t>
  </si>
  <si>
    <t>DEAAR</t>
  </si>
  <si>
    <t>DE AAR</t>
  </si>
  <si>
    <t xml:space="preserve">DE AAR Hospit                      </t>
  </si>
  <si>
    <t xml:space="preserve">D lakay                       </t>
  </si>
  <si>
    <t xml:space="preserve">22 Werda Street                    </t>
  </si>
  <si>
    <t>Ms R Wessels</t>
  </si>
  <si>
    <t>Leonie</t>
  </si>
  <si>
    <t>Box Med Equipmen</t>
  </si>
  <si>
    <t xml:space="preserve">ADVANCED HARBOUR BAY               </t>
  </si>
  <si>
    <t>CLAUDE</t>
  </si>
  <si>
    <t xml:space="preserve">Rencke                        </t>
  </si>
  <si>
    <t xml:space="preserve">POD received from cell 0725065770 M     </t>
  </si>
  <si>
    <t>kayla</t>
  </si>
  <si>
    <t>POD received from cell 0662470104 M</t>
  </si>
  <si>
    <t>JUDD</t>
  </si>
  <si>
    <t xml:space="preserve">DR A G KEPLER                      </t>
  </si>
  <si>
    <t>LEEANNE</t>
  </si>
  <si>
    <t>DR A G KEPLER</t>
  </si>
  <si>
    <t>POD received from cell 0645575004 M</t>
  </si>
  <si>
    <t xml:space="preserve">Tabitha                       </t>
  </si>
  <si>
    <t xml:space="preserve">POD received from cell 0736418208 M     </t>
  </si>
  <si>
    <t xml:space="preserve">Advanced Worcester                 </t>
  </si>
  <si>
    <t xml:space="preserve">LIFE BEACON BAY PHARMACY           </t>
  </si>
  <si>
    <t>JENNY</t>
  </si>
  <si>
    <t>Yased</t>
  </si>
  <si>
    <t>POD received from cell 0834186909 M</t>
  </si>
  <si>
    <t>Petrus</t>
  </si>
  <si>
    <t>POD received from cell 0659348365 M</t>
  </si>
  <si>
    <t xml:space="preserve">Tzaneen Animal Clinic              </t>
  </si>
  <si>
    <t>DR PIETER</t>
  </si>
  <si>
    <t xml:space="preserve">jana van niekert              </t>
  </si>
  <si>
    <t xml:space="preserve">POD received from cell 0726120122 M     </t>
  </si>
  <si>
    <t>john</t>
  </si>
  <si>
    <t xml:space="preserve">LIFE FLORA PHARMACY                </t>
  </si>
  <si>
    <t>PHIA</t>
  </si>
  <si>
    <t xml:space="preserve">ssithembile                   </t>
  </si>
  <si>
    <t xml:space="preserve">POD received from cell 0783211209 M     </t>
  </si>
  <si>
    <t xml:space="preserve">Life Carstenhof Hoispital          </t>
  </si>
  <si>
    <t>ROSCHELLE</t>
  </si>
  <si>
    <t>nyako</t>
  </si>
  <si>
    <t>POD received from cell 0728173084 M</t>
  </si>
  <si>
    <t>BIANKA</t>
  </si>
  <si>
    <t>ELLIS</t>
  </si>
  <si>
    <t>ELLISRAS</t>
  </si>
  <si>
    <t xml:space="preserve">Mediclinic Lephalale Pharmacy      </t>
  </si>
  <si>
    <t>Elmarie</t>
  </si>
  <si>
    <t>Ria Jooste</t>
  </si>
  <si>
    <t>POD received from cell 0814327854 M</t>
  </si>
  <si>
    <t>0555</t>
  </si>
  <si>
    <t xml:space="preserve">Witbank Veterinary Hospit          </t>
  </si>
  <si>
    <t>MELANDRIE</t>
  </si>
  <si>
    <t xml:space="preserve">mikaeal                       </t>
  </si>
  <si>
    <t>Alice</t>
  </si>
  <si>
    <t xml:space="preserve">Life St Georges Hospit             </t>
  </si>
  <si>
    <t>LOLETTA</t>
  </si>
  <si>
    <t>Rizwana</t>
  </si>
  <si>
    <t xml:space="preserve">Netcare Polokwane Pharmacy         </t>
  </si>
  <si>
    <t>Chilliboy</t>
  </si>
  <si>
    <t xml:space="preserve">NETCARE PARKLANDS HOSPITAL         </t>
  </si>
  <si>
    <t>nokuthaha</t>
  </si>
  <si>
    <t xml:space="preserve">Life Eugene Marais Hospit          </t>
  </si>
  <si>
    <t>FERNANDO</t>
  </si>
  <si>
    <t>Ishmael</t>
  </si>
  <si>
    <t>POD received from cell 0677913598 M</t>
  </si>
  <si>
    <t xml:space="preserve">samuel                        </t>
  </si>
  <si>
    <t xml:space="preserve">Life Queenstown                    </t>
  </si>
  <si>
    <t>XOLISWA</t>
  </si>
  <si>
    <t>anejay</t>
  </si>
  <si>
    <t>Asanda</t>
  </si>
  <si>
    <t>POD received from cell 0813552012 M</t>
  </si>
  <si>
    <t xml:space="preserve">Zwartkop Animal Clionic            </t>
  </si>
  <si>
    <t>FRANSIE</t>
  </si>
  <si>
    <t>Zwartkop Animal Clionic GAIL</t>
  </si>
  <si>
    <t>POD received from cell 0670926510 M</t>
  </si>
  <si>
    <t xml:space="preserve">Upington Mediclinic                </t>
  </si>
  <si>
    <t>FERICKA</t>
  </si>
  <si>
    <t>Victoria</t>
  </si>
  <si>
    <t>MONIQUE   MOSTERT</t>
  </si>
  <si>
    <t>NEWCA</t>
  </si>
  <si>
    <t>NEWCASTLE</t>
  </si>
  <si>
    <t xml:space="preserve">MEDICLINIC  NEWCASTLE              </t>
  </si>
  <si>
    <t>INNOCENT  GUMBI</t>
  </si>
  <si>
    <t>POD received from cell 0826848550 M</t>
  </si>
  <si>
    <t>ERMEL</t>
  </si>
  <si>
    <t>ERMELO</t>
  </si>
  <si>
    <t xml:space="preserve">MEDICLINC ERMELO                   </t>
  </si>
  <si>
    <t xml:space="preserve">GABLER MEDICAL CENTURION           </t>
  </si>
  <si>
    <t>MONIQUE MOSTERT</t>
  </si>
  <si>
    <t>SR HILDA KOTZE</t>
  </si>
  <si>
    <t>VUSI</t>
  </si>
  <si>
    <t xml:space="preserve">Chem-Med                           </t>
  </si>
  <si>
    <t>MANDY</t>
  </si>
  <si>
    <t>POD received from cell 0748817308 M</t>
  </si>
  <si>
    <t>MONIQUE</t>
  </si>
  <si>
    <t>Patricia</t>
  </si>
  <si>
    <t xml:space="preserve">RIBUMED GLENWOOD DAY HOSPITAL      </t>
  </si>
  <si>
    <t>KAJAL</t>
  </si>
  <si>
    <t xml:space="preserve">kajal                         </t>
  </si>
  <si>
    <t xml:space="preserve">Durdoc Clinic                      </t>
  </si>
  <si>
    <t>SUJETH</t>
  </si>
  <si>
    <t xml:space="preserve">jerusha                       </t>
  </si>
  <si>
    <t xml:space="preserve">POD received from cell 0670405005 M     </t>
  </si>
  <si>
    <t xml:space="preserve">Dept of Health Mpumalanga          </t>
  </si>
  <si>
    <t>JOSEPH</t>
  </si>
  <si>
    <t>SELWYN</t>
  </si>
  <si>
    <t>p mhathi</t>
  </si>
  <si>
    <t xml:space="preserve">BOXES ME                      </t>
  </si>
  <si>
    <t>CALVIN</t>
  </si>
  <si>
    <t xml:space="preserve">calvin                        </t>
  </si>
  <si>
    <t xml:space="preserve">Limpopo Medi-Clinic (Pharmacy)     </t>
  </si>
  <si>
    <t>NAFEESA</t>
  </si>
  <si>
    <t xml:space="preserve">UMFAZI UNITED PTY LTD              </t>
  </si>
  <si>
    <t xml:space="preserve">AHMED Al-Kadi Private Hospital     </t>
  </si>
  <si>
    <t>CASSIM</t>
  </si>
  <si>
    <t>Brandon</t>
  </si>
  <si>
    <t>PHUTI</t>
  </si>
  <si>
    <t>vizy</t>
  </si>
  <si>
    <t xml:space="preserve">City Hospit                        </t>
  </si>
  <si>
    <t xml:space="preserve">seelan                        </t>
  </si>
  <si>
    <t>GLADNESS</t>
  </si>
  <si>
    <t>STRAN</t>
  </si>
  <si>
    <t>STRAND</t>
  </si>
  <si>
    <t xml:space="preserve">PAARDEVLEI SPECIALIST MEDICAL      </t>
  </si>
  <si>
    <t>panora</t>
  </si>
  <si>
    <t xml:space="preserve">modaka                        </t>
  </si>
  <si>
    <t xml:space="preserve">POD received from cell 0783783476 M     </t>
  </si>
  <si>
    <t xml:space="preserve">Kwadukuza Private Hospit           </t>
  </si>
  <si>
    <t>prethum</t>
  </si>
  <si>
    <t xml:space="preserve">Cintocare                          </t>
  </si>
  <si>
    <t>Elridge</t>
  </si>
  <si>
    <t>POD received from cell 0723940461 M</t>
  </si>
  <si>
    <t xml:space="preserve">LIFE BAYVIEW Hospit                </t>
  </si>
  <si>
    <t>TANIA</t>
  </si>
  <si>
    <t xml:space="preserve">MADELEINE                     </t>
  </si>
  <si>
    <t xml:space="preserve">SKYNET BLOEMFONTEIN                </t>
  </si>
  <si>
    <t>TRACY</t>
  </si>
  <si>
    <t>t copatse</t>
  </si>
  <si>
    <t xml:space="preserve">Morningside Medi Clinic Pharma     </t>
  </si>
  <si>
    <t>CONRAD</t>
  </si>
  <si>
    <t xml:space="preserve">matlodi                       </t>
  </si>
  <si>
    <t xml:space="preserve">POD received from cell 0823900164 M     </t>
  </si>
  <si>
    <t>Flyer Sutures-1</t>
  </si>
  <si>
    <t xml:space="preserve">RIBUMED BALLITO DAY HOSPITAL       </t>
  </si>
  <si>
    <t>DANELL</t>
  </si>
  <si>
    <t>Darnell</t>
  </si>
  <si>
    <t xml:space="preserve">Questmed Clinix Lesedi             </t>
  </si>
  <si>
    <t>tumelo</t>
  </si>
  <si>
    <t>POD received from cell 0742465910 M</t>
  </si>
  <si>
    <t>STANDERTON</t>
  </si>
  <si>
    <t xml:space="preserve">STANDERTON ANIMAL HOSPITAL         </t>
  </si>
  <si>
    <t>WILNA</t>
  </si>
  <si>
    <t xml:space="preserve">lynette                       </t>
  </si>
  <si>
    <t xml:space="preserve">POD received from cell 0783308352 M     </t>
  </si>
  <si>
    <t>GELUK</t>
  </si>
  <si>
    <t>GELUKWAARTS</t>
  </si>
  <si>
    <t xml:space="preserve">Netcare Kroon Pharma               </t>
  </si>
  <si>
    <t>SUJAYA</t>
  </si>
  <si>
    <t>nicoleen</t>
  </si>
  <si>
    <t>POD received from cell 0677814923 M</t>
  </si>
  <si>
    <t>Antoinette  Pharmacy</t>
  </si>
  <si>
    <t>BOX SUTURES-2</t>
  </si>
  <si>
    <t>Geoge Keisha</t>
  </si>
  <si>
    <t>micaela</t>
  </si>
  <si>
    <t xml:space="preserve">Richard                       </t>
  </si>
  <si>
    <t xml:space="preserve">POD received from cell 0633539650 M     </t>
  </si>
  <si>
    <t xml:space="preserve">Test Africa                        </t>
  </si>
  <si>
    <t>BIANCA  GERARD</t>
  </si>
  <si>
    <t>Bianca</t>
  </si>
  <si>
    <t>FLYER MED EQUIPMEN</t>
  </si>
  <si>
    <t xml:space="preserve">WILGERS HOSPITAL                   </t>
  </si>
  <si>
    <t>solomon</t>
  </si>
  <si>
    <t>POD received from cell 0645503437 M</t>
  </si>
  <si>
    <t>KM  GRAUSO</t>
  </si>
  <si>
    <t>MONIUQUE  MOSTERT</t>
  </si>
  <si>
    <t>reaeze</t>
  </si>
  <si>
    <t>POD received from cell 0635252784 M</t>
  </si>
  <si>
    <t>preethum</t>
  </si>
  <si>
    <t>DOCUMENTS</t>
  </si>
  <si>
    <t>sivuyile</t>
  </si>
  <si>
    <t xml:space="preserve">Netcare Alberlito Hospit           </t>
  </si>
  <si>
    <t>Keegan</t>
  </si>
  <si>
    <t>RAKSHA</t>
  </si>
  <si>
    <t>Fanafuthi</t>
  </si>
  <si>
    <t xml:space="preserve">NETCARE PARKLANE HOSPITAL PHAR     </t>
  </si>
  <si>
    <t xml:space="preserve">NETCARE PARKLANDS HOSPTIAL -Ph     </t>
  </si>
  <si>
    <t>LENDLE ARTHUR</t>
  </si>
  <si>
    <t>Lesetsa</t>
  </si>
  <si>
    <t>naasif</t>
  </si>
  <si>
    <t xml:space="preserve">RH MATJHABENG PVT HOSPITAL PHY     </t>
  </si>
  <si>
    <t>HENESIA</t>
  </si>
  <si>
    <t>JOHANNES</t>
  </si>
  <si>
    <t>POD received from cell 0723646416 M</t>
  </si>
  <si>
    <t>elvis</t>
  </si>
  <si>
    <t xml:space="preserve">The Cupboard Group                 </t>
  </si>
  <si>
    <t>DELIA</t>
  </si>
  <si>
    <t>Golden</t>
  </si>
  <si>
    <t xml:space="preserve">retabile                      </t>
  </si>
  <si>
    <t xml:space="preserve">Lyns Vet Supplies                  </t>
  </si>
  <si>
    <t>Sandie</t>
  </si>
  <si>
    <t xml:space="preserve">Life Wilgers Hospital              </t>
  </si>
  <si>
    <t>0081</t>
  </si>
  <si>
    <t xml:space="preserve">NETCARE ALBERTON HOSPITAL          </t>
  </si>
  <si>
    <t>SHYLOCK</t>
  </si>
  <si>
    <t>POD received from cell 0636608674 M</t>
  </si>
  <si>
    <t xml:space="preserve">Netcare Femina Clinic              </t>
  </si>
  <si>
    <t>mokhele</t>
  </si>
  <si>
    <t>POD received from cell 0792349111 M</t>
  </si>
  <si>
    <t>Johanna</t>
  </si>
  <si>
    <t>Owen</t>
  </si>
  <si>
    <t>damien</t>
  </si>
  <si>
    <t>P COOK</t>
  </si>
  <si>
    <t xml:space="preserve">leonard                       </t>
  </si>
  <si>
    <t>Kenneth  Pharmacy</t>
  </si>
  <si>
    <t>ANDREW MINETTE</t>
  </si>
  <si>
    <t>BOX SUTURES-47</t>
  </si>
  <si>
    <t>judrel</t>
  </si>
  <si>
    <t xml:space="preserve">WEPENER                       </t>
  </si>
  <si>
    <t xml:space="preserve">DURDOC  HOSPITAL                   </t>
  </si>
  <si>
    <t>JERUSHA  GOUNDEN</t>
  </si>
  <si>
    <t>GABLER  MEDICAL</t>
  </si>
  <si>
    <t>jerusha</t>
  </si>
  <si>
    <t xml:space="preserve">SURGICLINIC                        </t>
  </si>
  <si>
    <t>DEON</t>
  </si>
  <si>
    <t>m banard</t>
  </si>
  <si>
    <t>JOHN</t>
  </si>
  <si>
    <t>LEVENE  KALLOORAM</t>
  </si>
  <si>
    <t>HOTAZ</t>
  </si>
  <si>
    <t>HOTAZEL</t>
  </si>
  <si>
    <t xml:space="preserve">Lenmed Kathu Private Hospit        </t>
  </si>
  <si>
    <t xml:space="preserve">1 BASE                        </t>
  </si>
  <si>
    <t xml:space="preserve">Imvula Healthcare Logistics        </t>
  </si>
  <si>
    <t>c de jager</t>
  </si>
  <si>
    <t>NKOSINATHI</t>
  </si>
  <si>
    <t>HENDRICK</t>
  </si>
  <si>
    <t>Keisha</t>
  </si>
  <si>
    <t>vinay</t>
  </si>
  <si>
    <t>matilda</t>
  </si>
  <si>
    <t>POD received from cell 0823900164 M</t>
  </si>
  <si>
    <t>HERMA</t>
  </si>
  <si>
    <t>HERMANUS</t>
  </si>
  <si>
    <t xml:space="preserve">Disa Med Pharmacy Hermanus         </t>
  </si>
  <si>
    <t>NITA</t>
  </si>
  <si>
    <t>POD received from cell 0627198686 M</t>
  </si>
  <si>
    <t>leven</t>
  </si>
  <si>
    <t xml:space="preserve">Life Kingsbury Hospital            </t>
  </si>
  <si>
    <t>Hushendree</t>
  </si>
  <si>
    <t xml:space="preserve">monde                         </t>
  </si>
  <si>
    <t>Flyer Sutures-2</t>
  </si>
  <si>
    <t xml:space="preserve">Medicross Krugersdorp              </t>
  </si>
  <si>
    <t>mihny</t>
  </si>
  <si>
    <t>minenhle</t>
  </si>
  <si>
    <t xml:space="preserve">Nelson Mandela Childrens Hospi     </t>
  </si>
  <si>
    <t>EPHRAIM</t>
  </si>
  <si>
    <t>Mhlengi</t>
  </si>
  <si>
    <t xml:space="preserve">Motsumi Diere Kliniek              </t>
  </si>
  <si>
    <t>ANNELISE</t>
  </si>
  <si>
    <t>Janette</t>
  </si>
  <si>
    <t>BOX SUTURES-18</t>
  </si>
  <si>
    <t>TRACEY COETZEE</t>
  </si>
  <si>
    <t>0169</t>
  </si>
  <si>
    <t xml:space="preserve">Beacon Bay Hospital                </t>
  </si>
  <si>
    <t xml:space="preserve">Life Entabeni Hospital- Dispen     </t>
  </si>
  <si>
    <t>Rahsha Mistrey</t>
  </si>
  <si>
    <t>fana futhi</t>
  </si>
  <si>
    <t>DARNELL</t>
  </si>
  <si>
    <t xml:space="preserve">Bergbos Dierekliniek               </t>
  </si>
  <si>
    <t>Hettie</t>
  </si>
  <si>
    <t>Jon van niekerk</t>
  </si>
  <si>
    <t>rauni</t>
  </si>
  <si>
    <t xml:space="preserve">Milnerton Medi Clinic Pharma       </t>
  </si>
  <si>
    <t>SARAH</t>
  </si>
  <si>
    <t>noah</t>
  </si>
  <si>
    <t xml:space="preserve">Netcare N17 Pharma                 </t>
  </si>
  <si>
    <t>BOX SUTURES-16</t>
  </si>
  <si>
    <t>MICHELLE</t>
  </si>
  <si>
    <t xml:space="preserve">Lake Smit   Partners               </t>
  </si>
  <si>
    <t>SR SHERRY</t>
  </si>
  <si>
    <t>cheery</t>
  </si>
  <si>
    <t xml:space="preserve">Lake Smit   Partners  X Ray        </t>
  </si>
  <si>
    <t xml:space="preserve">Life Cosmos Pharmacy               </t>
  </si>
  <si>
    <t xml:space="preserve">JANE                               </t>
  </si>
  <si>
    <t>0101090794</t>
  </si>
  <si>
    <t>sherma</t>
  </si>
  <si>
    <t>BOX LINERS-50 BOX LINERS-50</t>
  </si>
  <si>
    <t xml:space="preserve">Med Pak cc TA                      </t>
  </si>
  <si>
    <t>KYLE</t>
  </si>
  <si>
    <t>fanum</t>
  </si>
  <si>
    <t xml:space="preserve">Schamm Medical                     </t>
  </si>
  <si>
    <t>ANNAS</t>
  </si>
  <si>
    <t>ANNA</t>
  </si>
  <si>
    <t>coetzee</t>
  </si>
  <si>
    <t>PREETHUM  MAGANLAL</t>
  </si>
  <si>
    <t>MONIQUE SKEA</t>
  </si>
  <si>
    <t>PREETHUN</t>
  </si>
  <si>
    <t xml:space="preserve">NETCARE  POLOKWANE                 </t>
  </si>
  <si>
    <t>VUTOMI</t>
  </si>
  <si>
    <t>Koena</t>
  </si>
  <si>
    <t>SONIA</t>
  </si>
  <si>
    <t>JAYLA  GALLANT</t>
  </si>
  <si>
    <t>patrica</t>
  </si>
  <si>
    <t xml:space="preserve">LENMED LA VERNA                    </t>
  </si>
  <si>
    <t>MR KUDA  LEVENE</t>
  </si>
  <si>
    <t>KEDIBONE</t>
  </si>
  <si>
    <t>JULIAN ISAACS</t>
  </si>
  <si>
    <t xml:space="preserve">Netcare Pretoria East PHY          </t>
  </si>
  <si>
    <t>Maria</t>
  </si>
  <si>
    <t>FLYER SUTURES-2 FLYER SUTURES-2</t>
  </si>
  <si>
    <t>bevin</t>
  </si>
  <si>
    <t>BOX SUTURES-11 BOX SUTURES-11</t>
  </si>
  <si>
    <t xml:space="preserve">Shirnel Clinic cc                  </t>
  </si>
  <si>
    <t>SR JULIE</t>
  </si>
  <si>
    <t>Rowena</t>
  </si>
  <si>
    <t>Thato</t>
  </si>
  <si>
    <t>FLYER SUTURES-1 FLYER SUTURES-1</t>
  </si>
  <si>
    <t>siphiwo</t>
  </si>
  <si>
    <t>FLYER SUTURES-3 FLYER SUTURES-3</t>
  </si>
  <si>
    <t>FLYER SUTURES-5 FLYER SUTURES-5</t>
  </si>
  <si>
    <t>minette</t>
  </si>
  <si>
    <t>POD received from cell 0724643952 M</t>
  </si>
  <si>
    <t>geoff</t>
  </si>
  <si>
    <t xml:space="preserve">Life Bedford Gardens Pharmacy      </t>
  </si>
  <si>
    <t>SANRIKA</t>
  </si>
  <si>
    <t xml:space="preserve">londiwe                       </t>
  </si>
  <si>
    <t xml:space="preserve">VICTORIA PRIVATE Hospit            </t>
  </si>
  <si>
    <t>hilda</t>
  </si>
  <si>
    <t>POD received from cell 0637157213 M</t>
  </si>
  <si>
    <t>FLYER SUTURES-6 FLYER SUTURES-6</t>
  </si>
  <si>
    <t xml:space="preserve">Noordheuwel Animal Clinic          </t>
  </si>
  <si>
    <t>JANINE</t>
  </si>
  <si>
    <t>liana</t>
  </si>
  <si>
    <t>BOX SUTURES-8 BOX SUTURES-8</t>
  </si>
  <si>
    <t xml:space="preserve">BUSAMED BRAM FISHER INT AIRPOR     </t>
  </si>
  <si>
    <t>SYDWELL</t>
  </si>
  <si>
    <t xml:space="preserve">DR NIVASH MAHABEER                 </t>
  </si>
  <si>
    <t>FLYER SUTURES-4 FLYER SUTURES-4</t>
  </si>
  <si>
    <t xml:space="preserve">AD Medical cc                      </t>
  </si>
  <si>
    <t>URSULA</t>
  </si>
  <si>
    <t xml:space="preserve">DR MA HENRY AND ASSOCIATED NO1     </t>
  </si>
  <si>
    <t>AZIZA</t>
  </si>
  <si>
    <t>Aziza</t>
  </si>
  <si>
    <t xml:space="preserve">PROF GU MOHANGI -SPECIALIST PE     </t>
  </si>
  <si>
    <t>Zonke</t>
  </si>
  <si>
    <t xml:space="preserve">Advanced Durbanville               </t>
  </si>
  <si>
    <t>ANKIA</t>
  </si>
  <si>
    <t xml:space="preserve">PVT RESIDENCE                      </t>
  </si>
  <si>
    <t>KIM</t>
  </si>
  <si>
    <t>MELANIE</t>
  </si>
  <si>
    <t xml:space="preserve">LPPD WAREHOUSE                     </t>
  </si>
  <si>
    <t>E EBRAHIM</t>
  </si>
  <si>
    <t>BOX SUTURES-23 BOX SUTURES-196</t>
  </si>
  <si>
    <t>N EBRAHIM</t>
  </si>
  <si>
    <t>BOX SUTURES-158</t>
  </si>
  <si>
    <t xml:space="preserve">Specialized Moulding               </t>
  </si>
  <si>
    <t>Marion</t>
  </si>
  <si>
    <t>benny</t>
  </si>
  <si>
    <t xml:space="preserve">Netcare Park Lane Pharmacy         </t>
  </si>
  <si>
    <t>Botha</t>
  </si>
  <si>
    <t>Saint</t>
  </si>
  <si>
    <t>BEETHUM</t>
  </si>
  <si>
    <t>Mitesh</t>
  </si>
  <si>
    <t>Abey</t>
  </si>
  <si>
    <t xml:space="preserve">Disa Med Durbanville Pharmacy      </t>
  </si>
  <si>
    <t>Carmen</t>
  </si>
  <si>
    <t>Amelia</t>
  </si>
  <si>
    <t>POD received from cell 0725065770 M</t>
  </si>
  <si>
    <t>BOX SUURES-1</t>
  </si>
  <si>
    <t>BOX LINERS -50 BOX LINERS -50</t>
  </si>
  <si>
    <t>LYER SUTURES-2</t>
  </si>
  <si>
    <t>Lesego</t>
  </si>
  <si>
    <t xml:space="preserve">CAITLYN                       </t>
  </si>
  <si>
    <t>tania</t>
  </si>
  <si>
    <t>BOX SUTURES-26</t>
  </si>
  <si>
    <t xml:space="preserve">Nelspruit Surgiclinic              </t>
  </si>
  <si>
    <t>Emily</t>
  </si>
  <si>
    <t xml:space="preserve">.                                  </t>
  </si>
  <si>
    <t>DR STRAUSS AD GERICKE</t>
  </si>
  <si>
    <t>MONIUE MOSTERT</t>
  </si>
  <si>
    <t>MARK</t>
  </si>
  <si>
    <t xml:space="preserve">M GABLER MEDICAL                   </t>
  </si>
  <si>
    <t>MONIQUE MOSTER</t>
  </si>
  <si>
    <t>MIKHAILMICHAELS</t>
  </si>
  <si>
    <t>SONLA PHILLIPS</t>
  </si>
  <si>
    <t xml:space="preserve">Netcare Pelonomi Hospit            </t>
  </si>
  <si>
    <t>KELEBOGILE</t>
  </si>
  <si>
    <t>sechaba</t>
  </si>
  <si>
    <t>POD received from cell 0833639682 M</t>
  </si>
  <si>
    <t>ria sayers</t>
  </si>
  <si>
    <t xml:space="preserve">almarie                       </t>
  </si>
  <si>
    <t xml:space="preserve">POD received from cell 0737385729 M     </t>
  </si>
  <si>
    <t xml:space="preserve">EDGE DAY HOPITAL                   </t>
  </si>
  <si>
    <t xml:space="preserve">Box Line                      </t>
  </si>
  <si>
    <t xml:space="preserve">NETCARE MEDICROSS KRUGERSDORP      </t>
  </si>
  <si>
    <t xml:space="preserve">LENMED - ZAMOKUHLE PHARMACY        </t>
  </si>
  <si>
    <t xml:space="preserve">CURE DAY HOSPITALS PAARL           </t>
  </si>
  <si>
    <t>retabile</t>
  </si>
  <si>
    <t xml:space="preserve">MDC RICHARDS BAY DAY THEATRE       </t>
  </si>
  <si>
    <t xml:space="preserve">NETCARE THE BAY HOSPITAL           </t>
  </si>
  <si>
    <t xml:space="preserve">ENTABENI HOSPITAL                  </t>
  </si>
  <si>
    <t>FANAFUTHI</t>
  </si>
  <si>
    <t xml:space="preserve">New Paradigm Electronics           </t>
  </si>
  <si>
    <t>Acc No</t>
  </si>
  <si>
    <t>Date</t>
  </si>
  <si>
    <t>Start Town</t>
  </si>
  <si>
    <t>Dest</t>
  </si>
  <si>
    <t>LTE</t>
  </si>
  <si>
    <t>OUT</t>
  </si>
  <si>
    <t>RTL</t>
  </si>
  <si>
    <t>Prcls</t>
  </si>
  <si>
    <t>Mass</t>
  </si>
  <si>
    <t>Amount</t>
  </si>
  <si>
    <t>Vat</t>
  </si>
  <si>
    <t>MA 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</si>
</sst>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0" xfId="0" quotePrefix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D1391-4808-477D-B936-0D66C2A3FE09}">
  <dimension ref="A1:CN685"/>
  <sheetViews>
    <sheetView tabSelected="1" workbookViewId="0">
      <selection activeCell="A2" sqref="A2"/>
    </sheetView>
  </sheetViews>
  <sheetFormatPr defaultRowHeight="14.4" x14ac:dyDescent="0.3"/>
  <cols>
    <col min="3" max="3" width="5.5546875" customWidth="1"/>
    <col min="4" max="4" width="4.109375" customWidth="1"/>
    <col min="6" max="6" width="10.33203125" bestFit="1" customWidth="1"/>
    <col min="64" max="65" width="8.88671875" style="4"/>
    <col min="66" max="66" width="13.5546875" style="4" customWidth="1"/>
    <col min="67" max="67" width="12.33203125" style="4" customWidth="1"/>
  </cols>
  <sheetData>
    <row r="1" spans="1:92" x14ac:dyDescent="0.3">
      <c r="A1" t="s">
        <v>1286</v>
      </c>
      <c r="B1" t="s">
        <v>0</v>
      </c>
      <c r="C1" t="s">
        <v>1</v>
      </c>
      <c r="D1" t="s">
        <v>2</v>
      </c>
      <c r="E1" t="s">
        <v>3</v>
      </c>
      <c r="F1" t="s">
        <v>1287</v>
      </c>
      <c r="G1" t="s">
        <v>4</v>
      </c>
      <c r="H1" t="s">
        <v>5</v>
      </c>
      <c r="I1" t="s">
        <v>1288</v>
      </c>
      <c r="J1" t="s">
        <v>6</v>
      </c>
      <c r="K1" t="s">
        <v>7</v>
      </c>
      <c r="L1" t="s">
        <v>1289</v>
      </c>
      <c r="M1" t="s">
        <v>8</v>
      </c>
      <c r="N1" t="s">
        <v>9</v>
      </c>
      <c r="O1" t="s">
        <v>10</v>
      </c>
      <c r="P1" t="s">
        <v>11</v>
      </c>
      <c r="Q1" t="s">
        <v>12</v>
      </c>
      <c r="R1" t="s">
        <v>13</v>
      </c>
      <c r="S1" t="s">
        <v>14</v>
      </c>
      <c r="T1" t="s">
        <v>13</v>
      </c>
      <c r="U1" t="s">
        <v>15</v>
      </c>
      <c r="V1" t="s">
        <v>13</v>
      </c>
      <c r="W1" t="s">
        <v>16</v>
      </c>
      <c r="X1" t="s">
        <v>13</v>
      </c>
      <c r="Y1" t="s">
        <v>17</v>
      </c>
      <c r="Z1" t="s">
        <v>13</v>
      </c>
      <c r="AA1" t="s">
        <v>18</v>
      </c>
      <c r="AB1" t="s">
        <v>13</v>
      </c>
      <c r="AC1" t="s">
        <v>19</v>
      </c>
      <c r="AD1" t="s">
        <v>13</v>
      </c>
      <c r="AE1" t="s">
        <v>20</v>
      </c>
      <c r="AF1" t="s">
        <v>13</v>
      </c>
      <c r="AG1" t="s">
        <v>21</v>
      </c>
      <c r="AH1" t="s">
        <v>13</v>
      </c>
      <c r="AI1" t="s">
        <v>22</v>
      </c>
      <c r="AJ1" t="s">
        <v>13</v>
      </c>
      <c r="AK1" t="s">
        <v>23</v>
      </c>
      <c r="AL1" t="s">
        <v>13</v>
      </c>
      <c r="AM1" t="s">
        <v>24</v>
      </c>
      <c r="AN1" t="s">
        <v>13</v>
      </c>
      <c r="AO1" t="s">
        <v>25</v>
      </c>
      <c r="AP1" t="s">
        <v>13</v>
      </c>
      <c r="AQ1" t="s">
        <v>26</v>
      </c>
      <c r="AR1" t="s">
        <v>13</v>
      </c>
      <c r="AS1" t="s">
        <v>27</v>
      </c>
      <c r="AT1" t="s">
        <v>13</v>
      </c>
      <c r="AU1" t="s">
        <v>28</v>
      </c>
      <c r="AV1" t="s">
        <v>13</v>
      </c>
      <c r="AW1" t="s">
        <v>29</v>
      </c>
      <c r="AX1" t="s">
        <v>13</v>
      </c>
      <c r="AY1" t="s">
        <v>1290</v>
      </c>
      <c r="AZ1" t="s">
        <v>13</v>
      </c>
      <c r="BA1" t="s">
        <v>179</v>
      </c>
      <c r="BB1" t="s">
        <v>13</v>
      </c>
      <c r="BC1" t="s">
        <v>1291</v>
      </c>
      <c r="BD1" t="s">
        <v>13</v>
      </c>
      <c r="BE1" t="s">
        <v>1292</v>
      </c>
      <c r="BF1" t="s">
        <v>13</v>
      </c>
      <c r="BG1" t="s">
        <v>30</v>
      </c>
      <c r="BH1" t="s">
        <v>1293</v>
      </c>
      <c r="BI1" t="s">
        <v>31</v>
      </c>
      <c r="BJ1" t="s">
        <v>32</v>
      </c>
      <c r="BK1" t="s">
        <v>1294</v>
      </c>
      <c r="BL1" s="4" t="s">
        <v>1295</v>
      </c>
      <c r="BM1" s="4" t="s">
        <v>1296</v>
      </c>
      <c r="BN1" s="4" t="s">
        <v>33</v>
      </c>
      <c r="BO1" s="4" t="s">
        <v>34</v>
      </c>
      <c r="BP1" t="s">
        <v>35</v>
      </c>
      <c r="BQ1" t="s">
        <v>36</v>
      </c>
      <c r="BR1" t="s">
        <v>37</v>
      </c>
      <c r="BS1" t="s">
        <v>38</v>
      </c>
      <c r="BT1" t="s">
        <v>39</v>
      </c>
      <c r="BU1" t="s">
        <v>40</v>
      </c>
      <c r="BV1" t="s">
        <v>41</v>
      </c>
      <c r="BW1" t="s">
        <v>42</v>
      </c>
      <c r="BX1" t="s">
        <v>43</v>
      </c>
      <c r="BY1" t="s">
        <v>44</v>
      </c>
      <c r="BZ1" t="s">
        <v>45</v>
      </c>
      <c r="CA1" t="s">
        <v>46</v>
      </c>
      <c r="CB1" t="s">
        <v>47</v>
      </c>
      <c r="CC1" t="s">
        <v>48</v>
      </c>
      <c r="CD1" t="s">
        <v>49</v>
      </c>
      <c r="CE1" t="s">
        <v>50</v>
      </c>
      <c r="CF1" t="s">
        <v>51</v>
      </c>
      <c r="CG1" t="s">
        <v>52</v>
      </c>
      <c r="CH1" t="s">
        <v>53</v>
      </c>
      <c r="CI1" t="s">
        <v>54</v>
      </c>
      <c r="CJ1" t="s">
        <v>55</v>
      </c>
      <c r="CK1" t="s">
        <v>56</v>
      </c>
      <c r="CL1" t="s">
        <v>57</v>
      </c>
      <c r="CM1" t="s">
        <v>58</v>
      </c>
      <c r="CN1" t="s">
        <v>1297</v>
      </c>
    </row>
    <row r="2" spans="1:92" x14ac:dyDescent="0.3">
      <c r="A2" t="s">
        <v>315</v>
      </c>
      <c r="B2" t="s">
        <v>316</v>
      </c>
      <c r="C2" t="s">
        <v>59</v>
      </c>
      <c r="E2" t="str">
        <f>"GAB2025352"</f>
        <v>GAB2025352</v>
      </c>
      <c r="F2" s="1">
        <v>45750</v>
      </c>
      <c r="G2">
        <v>202601</v>
      </c>
      <c r="H2" t="s">
        <v>77</v>
      </c>
      <c r="I2" t="s">
        <v>78</v>
      </c>
      <c r="J2" t="s">
        <v>317</v>
      </c>
      <c r="K2" t="s">
        <v>62</v>
      </c>
      <c r="L2" t="s">
        <v>63</v>
      </c>
      <c r="M2" t="s">
        <v>64</v>
      </c>
      <c r="N2" t="s">
        <v>318</v>
      </c>
      <c r="O2" t="s">
        <v>98</v>
      </c>
      <c r="P2" t="str">
        <f>"INV-00116709 CT093535         "</f>
        <v xml:space="preserve">INV-00116709 CT093535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5.57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42.76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1.9</v>
      </c>
      <c r="BJ2">
        <v>5.9</v>
      </c>
      <c r="BK2">
        <v>6</v>
      </c>
      <c r="BL2" s="4">
        <v>142.31</v>
      </c>
      <c r="BM2" s="4">
        <v>21.35</v>
      </c>
      <c r="BN2" s="4">
        <v>163.66</v>
      </c>
      <c r="BO2" s="4">
        <v>163.66</v>
      </c>
      <c r="BQ2" t="s">
        <v>319</v>
      </c>
      <c r="BR2" t="s">
        <v>320</v>
      </c>
      <c r="BS2" s="1">
        <v>45754</v>
      </c>
      <c r="BT2" s="2">
        <v>0.4861111111111111</v>
      </c>
      <c r="BU2" t="s">
        <v>321</v>
      </c>
      <c r="BV2" t="s">
        <v>74</v>
      </c>
      <c r="BY2">
        <v>29672.58</v>
      </c>
      <c r="CA2" t="s">
        <v>299</v>
      </c>
      <c r="CC2" t="s">
        <v>64</v>
      </c>
      <c r="CD2">
        <v>5201</v>
      </c>
      <c r="CE2" t="s">
        <v>322</v>
      </c>
      <c r="CF2" s="1">
        <v>45754</v>
      </c>
      <c r="CI2">
        <v>3</v>
      </c>
      <c r="CJ2">
        <v>2</v>
      </c>
      <c r="CK2">
        <v>41</v>
      </c>
      <c r="CL2" t="s">
        <v>66</v>
      </c>
    </row>
    <row r="3" spans="1:92" x14ac:dyDescent="0.3">
      <c r="A3" t="s">
        <v>315</v>
      </c>
      <c r="B3" t="s">
        <v>316</v>
      </c>
      <c r="C3" t="s">
        <v>59</v>
      </c>
      <c r="E3" t="str">
        <f>"GAB2025353"</f>
        <v>GAB2025353</v>
      </c>
      <c r="F3" s="1">
        <v>45750</v>
      </c>
      <c r="G3">
        <v>202601</v>
      </c>
      <c r="H3" t="s">
        <v>77</v>
      </c>
      <c r="I3" t="s">
        <v>78</v>
      </c>
      <c r="J3" t="s">
        <v>317</v>
      </c>
      <c r="K3" t="s">
        <v>62</v>
      </c>
      <c r="L3" t="s">
        <v>323</v>
      </c>
      <c r="M3" t="s">
        <v>324</v>
      </c>
      <c r="N3" t="s">
        <v>325</v>
      </c>
      <c r="O3" t="s">
        <v>98</v>
      </c>
      <c r="P3" t="str">
        <f>"INV-00116710 CT093530         "</f>
        <v xml:space="preserve">INV-00116710 CT093530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5.57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60.31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0.2</v>
      </c>
      <c r="BJ3">
        <v>2.1</v>
      </c>
      <c r="BK3">
        <v>3</v>
      </c>
      <c r="BL3" s="4">
        <v>198.43</v>
      </c>
      <c r="BM3" s="4">
        <v>29.76</v>
      </c>
      <c r="BN3" s="4">
        <v>228.19</v>
      </c>
      <c r="BO3" s="4">
        <v>228.19</v>
      </c>
      <c r="BQ3" t="s">
        <v>326</v>
      </c>
      <c r="BR3" t="s">
        <v>320</v>
      </c>
      <c r="BS3" s="1">
        <v>45754</v>
      </c>
      <c r="BT3" s="2">
        <v>0.38472222222222224</v>
      </c>
      <c r="BU3" t="s">
        <v>327</v>
      </c>
      <c r="BV3" t="s">
        <v>74</v>
      </c>
      <c r="BY3">
        <v>10716.48</v>
      </c>
      <c r="CC3" t="s">
        <v>324</v>
      </c>
      <c r="CD3">
        <v>6265</v>
      </c>
      <c r="CE3" t="s">
        <v>328</v>
      </c>
      <c r="CF3" s="1">
        <v>45755</v>
      </c>
      <c r="CI3">
        <v>4</v>
      </c>
      <c r="CJ3">
        <v>2</v>
      </c>
      <c r="CK3">
        <v>43</v>
      </c>
      <c r="CL3" t="s">
        <v>66</v>
      </c>
    </row>
    <row r="4" spans="1:92" x14ac:dyDescent="0.3">
      <c r="A4" t="s">
        <v>315</v>
      </c>
      <c r="B4" t="s">
        <v>316</v>
      </c>
      <c r="C4" t="s">
        <v>59</v>
      </c>
      <c r="E4" t="str">
        <f>"GAB2025355"</f>
        <v>GAB2025355</v>
      </c>
      <c r="F4" s="1">
        <v>45750</v>
      </c>
      <c r="G4">
        <v>202601</v>
      </c>
      <c r="H4" t="s">
        <v>77</v>
      </c>
      <c r="I4" t="s">
        <v>78</v>
      </c>
      <c r="J4" t="s">
        <v>317</v>
      </c>
      <c r="K4" t="s">
        <v>62</v>
      </c>
      <c r="L4" t="s">
        <v>329</v>
      </c>
      <c r="M4" t="s">
        <v>330</v>
      </c>
      <c r="N4" t="s">
        <v>331</v>
      </c>
      <c r="O4" t="s">
        <v>98</v>
      </c>
      <c r="P4" t="str">
        <f>"INV-00116712 CT093516         "</f>
        <v xml:space="preserve">INV-00116712 CT093516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5.57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60.31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4.8</v>
      </c>
      <c r="BJ4">
        <v>11.9</v>
      </c>
      <c r="BK4">
        <v>12</v>
      </c>
      <c r="BL4" s="4">
        <v>198.43</v>
      </c>
      <c r="BM4" s="4">
        <v>29.76</v>
      </c>
      <c r="BN4" s="4">
        <v>228.19</v>
      </c>
      <c r="BO4" s="4">
        <v>228.19</v>
      </c>
      <c r="BQ4" t="s">
        <v>326</v>
      </c>
      <c r="BR4" t="s">
        <v>320</v>
      </c>
      <c r="BS4" s="1">
        <v>45754</v>
      </c>
      <c r="BT4" s="2">
        <v>0.63611111111111107</v>
      </c>
      <c r="BU4" t="s">
        <v>332</v>
      </c>
      <c r="BV4" t="s">
        <v>74</v>
      </c>
      <c r="BY4">
        <v>59699.199999999997</v>
      </c>
      <c r="CC4" t="s">
        <v>330</v>
      </c>
      <c r="CD4">
        <v>5880</v>
      </c>
      <c r="CE4" t="s">
        <v>322</v>
      </c>
      <c r="CF4" s="1">
        <v>45756</v>
      </c>
      <c r="CI4">
        <v>4</v>
      </c>
      <c r="CJ4">
        <v>2</v>
      </c>
      <c r="CK4">
        <v>43</v>
      </c>
      <c r="CL4" t="s">
        <v>66</v>
      </c>
    </row>
    <row r="5" spans="1:92" x14ac:dyDescent="0.3">
      <c r="A5" t="s">
        <v>315</v>
      </c>
      <c r="B5" t="s">
        <v>316</v>
      </c>
      <c r="C5" t="s">
        <v>59</v>
      </c>
      <c r="E5" t="str">
        <f>"GAB2025356"</f>
        <v>GAB2025356</v>
      </c>
      <c r="F5" s="1">
        <v>45750</v>
      </c>
      <c r="G5">
        <v>202601</v>
      </c>
      <c r="H5" t="s">
        <v>77</v>
      </c>
      <c r="I5" t="s">
        <v>78</v>
      </c>
      <c r="J5" t="s">
        <v>317</v>
      </c>
      <c r="K5" t="s">
        <v>62</v>
      </c>
      <c r="L5" t="s">
        <v>100</v>
      </c>
      <c r="M5" t="s">
        <v>101</v>
      </c>
      <c r="N5" t="s">
        <v>333</v>
      </c>
      <c r="O5" t="s">
        <v>98</v>
      </c>
      <c r="P5" t="str">
        <f>"INV-00116713 CT093529         "</f>
        <v xml:space="preserve">INV-00116713 CT093529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5.57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106.32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2</v>
      </c>
      <c r="BI5">
        <v>22.5</v>
      </c>
      <c r="BJ5">
        <v>51</v>
      </c>
      <c r="BK5">
        <v>51</v>
      </c>
      <c r="BL5" s="4">
        <v>345.55</v>
      </c>
      <c r="BM5" s="4">
        <v>51.83</v>
      </c>
      <c r="BN5" s="4">
        <v>397.38</v>
      </c>
      <c r="BO5" s="4">
        <v>397.38</v>
      </c>
      <c r="BQ5" t="s">
        <v>334</v>
      </c>
      <c r="BR5" t="s">
        <v>320</v>
      </c>
      <c r="BS5" s="1">
        <v>45754</v>
      </c>
      <c r="BT5" s="2">
        <v>0.3888888888888889</v>
      </c>
      <c r="BU5" t="s">
        <v>335</v>
      </c>
      <c r="BV5" t="s">
        <v>74</v>
      </c>
      <c r="BY5">
        <v>255040.8</v>
      </c>
      <c r="CA5" t="s">
        <v>116</v>
      </c>
      <c r="CC5" t="s">
        <v>101</v>
      </c>
      <c r="CD5">
        <v>6001</v>
      </c>
      <c r="CE5" t="s">
        <v>322</v>
      </c>
      <c r="CF5" s="1">
        <v>45754</v>
      </c>
      <c r="CI5">
        <v>3</v>
      </c>
      <c r="CJ5">
        <v>2</v>
      </c>
      <c r="CK5">
        <v>41</v>
      </c>
      <c r="CL5" t="s">
        <v>66</v>
      </c>
    </row>
    <row r="6" spans="1:92" x14ac:dyDescent="0.3">
      <c r="A6" t="s">
        <v>315</v>
      </c>
      <c r="B6" t="s">
        <v>316</v>
      </c>
      <c r="C6" t="s">
        <v>59</v>
      </c>
      <c r="E6" t="str">
        <f>"GAB2025364"</f>
        <v>GAB2025364</v>
      </c>
      <c r="F6" s="1">
        <v>45750</v>
      </c>
      <c r="G6">
        <v>202601</v>
      </c>
      <c r="H6" t="s">
        <v>77</v>
      </c>
      <c r="I6" t="s">
        <v>78</v>
      </c>
      <c r="J6" t="s">
        <v>317</v>
      </c>
      <c r="K6" t="s">
        <v>62</v>
      </c>
      <c r="L6" t="s">
        <v>63</v>
      </c>
      <c r="M6" t="s">
        <v>64</v>
      </c>
      <c r="N6" t="s">
        <v>336</v>
      </c>
      <c r="O6" t="s">
        <v>98</v>
      </c>
      <c r="P6" t="str">
        <f>"INV-00116722 CT093411         "</f>
        <v xml:space="preserve">INV-00116722 CT093411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5.57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42.76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2</v>
      </c>
      <c r="BJ6">
        <v>6.7</v>
      </c>
      <c r="BK6">
        <v>7</v>
      </c>
      <c r="BL6" s="4">
        <v>142.31</v>
      </c>
      <c r="BM6" s="4">
        <v>21.35</v>
      </c>
      <c r="BN6" s="4">
        <v>163.66</v>
      </c>
      <c r="BO6" s="4">
        <v>163.66</v>
      </c>
      <c r="BQ6" t="s">
        <v>337</v>
      </c>
      <c r="BR6" t="s">
        <v>320</v>
      </c>
      <c r="BS6" s="1">
        <v>45754</v>
      </c>
      <c r="BT6" s="2">
        <v>0.46041666666666664</v>
      </c>
      <c r="BU6" t="s">
        <v>338</v>
      </c>
      <c r="BV6" t="s">
        <v>74</v>
      </c>
      <c r="BY6">
        <v>33549.75</v>
      </c>
      <c r="CA6" t="s">
        <v>299</v>
      </c>
      <c r="CC6" t="s">
        <v>64</v>
      </c>
      <c r="CD6">
        <v>5200</v>
      </c>
      <c r="CE6" t="s">
        <v>339</v>
      </c>
      <c r="CF6" s="1">
        <v>45754</v>
      </c>
      <c r="CI6">
        <v>3</v>
      </c>
      <c r="CJ6">
        <v>2</v>
      </c>
      <c r="CK6">
        <v>41</v>
      </c>
      <c r="CL6" t="s">
        <v>66</v>
      </c>
    </row>
    <row r="7" spans="1:92" x14ac:dyDescent="0.3">
      <c r="A7" t="s">
        <v>315</v>
      </c>
      <c r="B7" t="s">
        <v>316</v>
      </c>
      <c r="C7" t="s">
        <v>59</v>
      </c>
      <c r="E7" t="str">
        <f>"GAB2025331"</f>
        <v>GAB2025331</v>
      </c>
      <c r="F7" s="1">
        <v>45750</v>
      </c>
      <c r="G7">
        <v>202601</v>
      </c>
      <c r="H7" t="s">
        <v>77</v>
      </c>
      <c r="I7" t="s">
        <v>78</v>
      </c>
      <c r="J7" t="s">
        <v>317</v>
      </c>
      <c r="K7" t="s">
        <v>62</v>
      </c>
      <c r="L7" t="s">
        <v>77</v>
      </c>
      <c r="M7" t="s">
        <v>78</v>
      </c>
      <c r="N7" t="s">
        <v>340</v>
      </c>
      <c r="O7" t="s">
        <v>65</v>
      </c>
      <c r="P7" t="str">
        <f>"INV-00116692 CT093666         "</f>
        <v xml:space="preserve">INV-00116692 CT093666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17.27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2.2999999999999998</v>
      </c>
      <c r="BK7">
        <v>3</v>
      </c>
      <c r="BL7" s="4">
        <v>55.23</v>
      </c>
      <c r="BM7" s="4">
        <v>8.2799999999999994</v>
      </c>
      <c r="BN7" s="4">
        <v>63.51</v>
      </c>
      <c r="BO7" s="4">
        <v>63.51</v>
      </c>
      <c r="BQ7" t="s">
        <v>341</v>
      </c>
      <c r="BR7" t="s">
        <v>320</v>
      </c>
      <c r="BS7" s="1">
        <v>45751</v>
      </c>
      <c r="BT7" s="2">
        <v>0.34027777777777779</v>
      </c>
      <c r="BU7" t="s">
        <v>342</v>
      </c>
      <c r="BV7" t="s">
        <v>74</v>
      </c>
      <c r="BY7">
        <v>11610.75</v>
      </c>
      <c r="BZ7" t="s">
        <v>79</v>
      </c>
      <c r="CA7" t="s">
        <v>175</v>
      </c>
      <c r="CC7" t="s">
        <v>78</v>
      </c>
      <c r="CD7">
        <v>7441</v>
      </c>
      <c r="CE7" t="s">
        <v>343</v>
      </c>
      <c r="CF7" s="1">
        <v>45754</v>
      </c>
      <c r="CI7">
        <v>1</v>
      </c>
      <c r="CJ7">
        <v>1</v>
      </c>
      <c r="CK7">
        <v>22</v>
      </c>
      <c r="CL7" t="s">
        <v>66</v>
      </c>
    </row>
    <row r="8" spans="1:92" x14ac:dyDescent="0.3">
      <c r="A8" t="s">
        <v>315</v>
      </c>
      <c r="B8" t="s">
        <v>316</v>
      </c>
      <c r="C8" t="s">
        <v>59</v>
      </c>
      <c r="E8" t="str">
        <f>"GAB2025261"</f>
        <v>GAB2025261</v>
      </c>
      <c r="F8" s="1">
        <v>45748</v>
      </c>
      <c r="G8">
        <v>202601</v>
      </c>
      <c r="H8" t="s">
        <v>77</v>
      </c>
      <c r="I8" t="s">
        <v>78</v>
      </c>
      <c r="J8" t="s">
        <v>317</v>
      </c>
      <c r="K8" t="s">
        <v>62</v>
      </c>
      <c r="L8" t="s">
        <v>83</v>
      </c>
      <c r="M8" t="s">
        <v>84</v>
      </c>
      <c r="N8" t="s">
        <v>344</v>
      </c>
      <c r="O8" t="s">
        <v>98</v>
      </c>
      <c r="P8" t="str">
        <f>"invoice 00116578 CT093019     "</f>
        <v xml:space="preserve">invoice 00116578 CT093019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5.57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65.73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17.2</v>
      </c>
      <c r="BJ8">
        <v>25</v>
      </c>
      <c r="BK8">
        <v>25</v>
      </c>
      <c r="BL8" s="4">
        <v>204.08</v>
      </c>
      <c r="BM8" s="4">
        <v>30.61</v>
      </c>
      <c r="BN8" s="4">
        <v>234.69</v>
      </c>
      <c r="BO8" s="4">
        <v>234.69</v>
      </c>
      <c r="BQ8" t="s">
        <v>345</v>
      </c>
      <c r="BR8" t="s">
        <v>320</v>
      </c>
      <c r="BS8" s="1">
        <v>45751</v>
      </c>
      <c r="BT8" s="2">
        <v>0.36875000000000002</v>
      </c>
      <c r="BU8" t="s">
        <v>346</v>
      </c>
      <c r="BV8" t="s">
        <v>74</v>
      </c>
      <c r="BY8">
        <v>124806.24</v>
      </c>
      <c r="CA8" t="s">
        <v>347</v>
      </c>
      <c r="CC8" t="s">
        <v>84</v>
      </c>
      <c r="CD8">
        <v>3201</v>
      </c>
      <c r="CE8" t="s">
        <v>348</v>
      </c>
      <c r="CF8" s="1">
        <v>45754</v>
      </c>
      <c r="CI8">
        <v>4</v>
      </c>
      <c r="CJ8">
        <v>3</v>
      </c>
      <c r="CK8">
        <v>41</v>
      </c>
      <c r="CL8" t="s">
        <v>66</v>
      </c>
    </row>
    <row r="9" spans="1:92" x14ac:dyDescent="0.3">
      <c r="A9" t="s">
        <v>315</v>
      </c>
      <c r="B9" t="s">
        <v>316</v>
      </c>
      <c r="C9" t="s">
        <v>59</v>
      </c>
      <c r="E9" t="str">
        <f>"GAB2025283"</f>
        <v>GAB2025283</v>
      </c>
      <c r="F9" s="1">
        <v>45748</v>
      </c>
      <c r="G9">
        <v>202601</v>
      </c>
      <c r="H9" t="s">
        <v>77</v>
      </c>
      <c r="I9" t="s">
        <v>78</v>
      </c>
      <c r="J9" t="s">
        <v>317</v>
      </c>
      <c r="K9" t="s">
        <v>62</v>
      </c>
      <c r="L9" t="s">
        <v>142</v>
      </c>
      <c r="M9" t="s">
        <v>143</v>
      </c>
      <c r="N9" t="s">
        <v>349</v>
      </c>
      <c r="O9" t="s">
        <v>98</v>
      </c>
      <c r="P9" t="str">
        <f>"INVOICES 00116608 00116596 001"</f>
        <v>INVOICES 00116608 00116596 001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5.57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46.52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1.8</v>
      </c>
      <c r="BJ9">
        <v>6</v>
      </c>
      <c r="BK9">
        <v>6</v>
      </c>
      <c r="BL9" s="4">
        <v>146.07</v>
      </c>
      <c r="BM9" s="4">
        <v>21.91</v>
      </c>
      <c r="BN9" s="4">
        <v>167.98</v>
      </c>
      <c r="BO9" s="4">
        <v>167.98</v>
      </c>
      <c r="BQ9" t="s">
        <v>350</v>
      </c>
      <c r="BR9" t="s">
        <v>320</v>
      </c>
      <c r="BS9" s="1">
        <v>45751</v>
      </c>
      <c r="BT9" s="2">
        <v>0.41805555555555557</v>
      </c>
      <c r="BU9" t="s">
        <v>351</v>
      </c>
      <c r="BV9" t="s">
        <v>74</v>
      </c>
      <c r="BY9">
        <v>30071.48</v>
      </c>
      <c r="CA9" t="s">
        <v>352</v>
      </c>
      <c r="CC9" t="s">
        <v>143</v>
      </c>
      <c r="CD9" s="3" t="s">
        <v>144</v>
      </c>
      <c r="CE9" t="s">
        <v>322</v>
      </c>
      <c r="CF9" s="1">
        <v>45751</v>
      </c>
      <c r="CI9">
        <v>3</v>
      </c>
      <c r="CJ9">
        <v>3</v>
      </c>
      <c r="CK9">
        <v>41</v>
      </c>
      <c r="CL9" t="s">
        <v>66</v>
      </c>
    </row>
    <row r="10" spans="1:92" x14ac:dyDescent="0.3">
      <c r="A10" t="s">
        <v>315</v>
      </c>
      <c r="B10" t="s">
        <v>316</v>
      </c>
      <c r="C10" t="s">
        <v>59</v>
      </c>
      <c r="E10" t="str">
        <f>"GAB2025285"</f>
        <v>GAB2025285</v>
      </c>
      <c r="F10" s="1">
        <v>45748</v>
      </c>
      <c r="G10">
        <v>202601</v>
      </c>
      <c r="H10" t="s">
        <v>77</v>
      </c>
      <c r="I10" t="s">
        <v>78</v>
      </c>
      <c r="J10" t="s">
        <v>317</v>
      </c>
      <c r="K10" t="s">
        <v>62</v>
      </c>
      <c r="L10" t="s">
        <v>102</v>
      </c>
      <c r="M10" t="s">
        <v>102</v>
      </c>
      <c r="N10" t="s">
        <v>353</v>
      </c>
      <c r="O10" t="s">
        <v>98</v>
      </c>
      <c r="P10" t="str">
        <f>"INVOICE 00116620 CT093322     "</f>
        <v xml:space="preserve">INVOICE 00116620 CT093322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5.57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51.38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0.5</v>
      </c>
      <c r="BJ10">
        <v>1.7</v>
      </c>
      <c r="BK10">
        <v>2</v>
      </c>
      <c r="BL10" s="4">
        <v>160.74</v>
      </c>
      <c r="BM10" s="4">
        <v>24.11</v>
      </c>
      <c r="BN10" s="4">
        <v>184.85</v>
      </c>
      <c r="BO10" s="4">
        <v>184.85</v>
      </c>
      <c r="BQ10" t="s">
        <v>354</v>
      </c>
      <c r="BR10" t="s">
        <v>320</v>
      </c>
      <c r="BS10" s="1">
        <v>45749</v>
      </c>
      <c r="BT10" s="2">
        <v>0.55555555555555558</v>
      </c>
      <c r="BU10" t="s">
        <v>355</v>
      </c>
      <c r="BV10" t="s">
        <v>74</v>
      </c>
      <c r="BY10">
        <v>8375.4</v>
      </c>
      <c r="CA10" t="s">
        <v>302</v>
      </c>
      <c r="CC10" t="s">
        <v>102</v>
      </c>
      <c r="CD10">
        <v>7646</v>
      </c>
      <c r="CE10" t="s">
        <v>356</v>
      </c>
      <c r="CF10" s="1">
        <v>45750</v>
      </c>
      <c r="CI10">
        <v>0</v>
      </c>
      <c r="CJ10">
        <v>0</v>
      </c>
      <c r="CK10">
        <v>44</v>
      </c>
      <c r="CL10" t="s">
        <v>66</v>
      </c>
    </row>
    <row r="11" spans="1:92" x14ac:dyDescent="0.3">
      <c r="A11" t="s">
        <v>315</v>
      </c>
      <c r="B11" t="s">
        <v>316</v>
      </c>
      <c r="C11" t="s">
        <v>59</v>
      </c>
      <c r="E11" t="str">
        <f>"GAB2025286"</f>
        <v>GAB2025286</v>
      </c>
      <c r="F11" s="1">
        <v>45748</v>
      </c>
      <c r="G11">
        <v>202601</v>
      </c>
      <c r="H11" t="s">
        <v>77</v>
      </c>
      <c r="I11" t="s">
        <v>78</v>
      </c>
      <c r="J11" t="s">
        <v>317</v>
      </c>
      <c r="K11" t="s">
        <v>62</v>
      </c>
      <c r="L11" t="s">
        <v>89</v>
      </c>
      <c r="M11" t="s">
        <v>90</v>
      </c>
      <c r="N11" t="s">
        <v>357</v>
      </c>
      <c r="O11" t="s">
        <v>98</v>
      </c>
      <c r="P11" t="str">
        <f>"INVOICE 00116621 CT093196     "</f>
        <v xml:space="preserve">INVOICE 00116621 CT093196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5.57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46.52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3.3</v>
      </c>
      <c r="BJ11">
        <v>12.5</v>
      </c>
      <c r="BK11">
        <v>13</v>
      </c>
      <c r="BL11" s="4">
        <v>146.07</v>
      </c>
      <c r="BM11" s="4">
        <v>21.91</v>
      </c>
      <c r="BN11" s="4">
        <v>167.98</v>
      </c>
      <c r="BO11" s="4">
        <v>167.98</v>
      </c>
      <c r="BQ11" t="s">
        <v>358</v>
      </c>
      <c r="BR11" t="s">
        <v>320</v>
      </c>
      <c r="BS11" s="1">
        <v>45750</v>
      </c>
      <c r="BT11" s="2">
        <v>0.40138888888888891</v>
      </c>
      <c r="BU11" t="s">
        <v>359</v>
      </c>
      <c r="BV11" t="s">
        <v>74</v>
      </c>
      <c r="BY11">
        <v>62511.68</v>
      </c>
      <c r="CA11" t="s">
        <v>360</v>
      </c>
      <c r="CC11" t="s">
        <v>90</v>
      </c>
      <c r="CD11">
        <v>4091</v>
      </c>
      <c r="CE11" t="s">
        <v>356</v>
      </c>
      <c r="CF11" s="1">
        <v>45751</v>
      </c>
      <c r="CI11">
        <v>3</v>
      </c>
      <c r="CJ11">
        <v>2</v>
      </c>
      <c r="CK11">
        <v>41</v>
      </c>
      <c r="CL11" t="s">
        <v>66</v>
      </c>
    </row>
    <row r="12" spans="1:92" x14ac:dyDescent="0.3">
      <c r="A12" t="s">
        <v>315</v>
      </c>
      <c r="B12" t="s">
        <v>316</v>
      </c>
      <c r="C12" t="s">
        <v>59</v>
      </c>
      <c r="E12" t="str">
        <f>"GAB2025289"</f>
        <v>GAB2025289</v>
      </c>
      <c r="F12" s="1">
        <v>45748</v>
      </c>
      <c r="G12">
        <v>202601</v>
      </c>
      <c r="H12" t="s">
        <v>77</v>
      </c>
      <c r="I12" t="s">
        <v>78</v>
      </c>
      <c r="J12" t="s">
        <v>317</v>
      </c>
      <c r="K12" t="s">
        <v>62</v>
      </c>
      <c r="L12" t="s">
        <v>361</v>
      </c>
      <c r="M12" t="s">
        <v>362</v>
      </c>
      <c r="N12" t="s">
        <v>363</v>
      </c>
      <c r="O12" t="s">
        <v>98</v>
      </c>
      <c r="P12" t="str">
        <f>"INVOICES 00116626 CT093619    "</f>
        <v xml:space="preserve">INVOICES 00116626 CT093619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5.57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105.83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8.4</v>
      </c>
      <c r="BJ12">
        <v>26.4</v>
      </c>
      <c r="BK12">
        <v>27</v>
      </c>
      <c r="BL12" s="4">
        <v>325.19</v>
      </c>
      <c r="BM12" s="4">
        <v>48.78</v>
      </c>
      <c r="BN12" s="4">
        <v>373.97</v>
      </c>
      <c r="BO12" s="4">
        <v>373.97</v>
      </c>
      <c r="BQ12" t="s">
        <v>364</v>
      </c>
      <c r="BR12" t="s">
        <v>320</v>
      </c>
      <c r="BS12" s="1">
        <v>45751</v>
      </c>
      <c r="BT12" s="2">
        <v>0.58472222222222225</v>
      </c>
      <c r="BU12" t="s">
        <v>365</v>
      </c>
      <c r="BV12" t="s">
        <v>74</v>
      </c>
      <c r="BY12">
        <v>132089.5</v>
      </c>
      <c r="CA12" t="s">
        <v>366</v>
      </c>
      <c r="CC12" t="s">
        <v>362</v>
      </c>
      <c r="CD12">
        <v>1380</v>
      </c>
      <c r="CE12" t="s">
        <v>367</v>
      </c>
      <c r="CF12" s="1">
        <v>45751</v>
      </c>
      <c r="CI12">
        <v>2</v>
      </c>
      <c r="CJ12">
        <v>3</v>
      </c>
      <c r="CK12">
        <v>43</v>
      </c>
      <c r="CL12" t="s">
        <v>66</v>
      </c>
    </row>
    <row r="13" spans="1:92" x14ac:dyDescent="0.3">
      <c r="A13" t="s">
        <v>315</v>
      </c>
      <c r="B13" t="s">
        <v>316</v>
      </c>
      <c r="C13" t="s">
        <v>59</v>
      </c>
      <c r="E13" t="str">
        <f>"GAB2025256"</f>
        <v>GAB2025256</v>
      </c>
      <c r="F13" s="1">
        <v>45748</v>
      </c>
      <c r="G13">
        <v>202601</v>
      </c>
      <c r="H13" t="s">
        <v>77</v>
      </c>
      <c r="I13" t="s">
        <v>78</v>
      </c>
      <c r="J13" t="s">
        <v>317</v>
      </c>
      <c r="K13" t="s">
        <v>62</v>
      </c>
      <c r="L13" t="s">
        <v>368</v>
      </c>
      <c r="M13" t="s">
        <v>369</v>
      </c>
      <c r="N13" t="s">
        <v>370</v>
      </c>
      <c r="O13" t="s">
        <v>65</v>
      </c>
      <c r="P13" t="str">
        <f>"ct0935656 inv00116564         "</f>
        <v xml:space="preserve">ct0935656 inv00116564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162.37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1.9</v>
      </c>
      <c r="BJ13">
        <v>7.1</v>
      </c>
      <c r="BK13">
        <v>7.5</v>
      </c>
      <c r="BL13" s="4">
        <v>490.39</v>
      </c>
      <c r="BM13" s="4">
        <v>73.56</v>
      </c>
      <c r="BN13" s="4">
        <v>563.95000000000005</v>
      </c>
      <c r="BO13" s="4">
        <v>563.95000000000005</v>
      </c>
      <c r="BQ13" t="s">
        <v>371</v>
      </c>
      <c r="BR13" t="s">
        <v>320</v>
      </c>
      <c r="BS13" s="1">
        <v>45754</v>
      </c>
      <c r="BT13" s="2">
        <v>0.59791666666666665</v>
      </c>
      <c r="BU13" t="s">
        <v>372</v>
      </c>
      <c r="BV13" t="s">
        <v>74</v>
      </c>
      <c r="BY13">
        <v>35524.129999999997</v>
      </c>
      <c r="BZ13" t="s">
        <v>373</v>
      </c>
      <c r="CA13" t="s">
        <v>151</v>
      </c>
      <c r="CC13" t="s">
        <v>369</v>
      </c>
      <c r="CD13">
        <v>5146</v>
      </c>
      <c r="CE13" t="s">
        <v>374</v>
      </c>
      <c r="CF13" s="1">
        <v>45755</v>
      </c>
      <c r="CI13">
        <v>5</v>
      </c>
      <c r="CJ13">
        <v>4</v>
      </c>
      <c r="CK13">
        <v>23</v>
      </c>
      <c r="CL13" t="s">
        <v>66</v>
      </c>
    </row>
    <row r="14" spans="1:92" x14ac:dyDescent="0.3">
      <c r="A14" t="s">
        <v>315</v>
      </c>
      <c r="B14" t="s">
        <v>316</v>
      </c>
      <c r="C14" t="s">
        <v>59</v>
      </c>
      <c r="E14" t="str">
        <f>"GAB2025259"</f>
        <v>GAB2025259</v>
      </c>
      <c r="F14" s="1">
        <v>45748</v>
      </c>
      <c r="G14">
        <v>202601</v>
      </c>
      <c r="H14" t="s">
        <v>77</v>
      </c>
      <c r="I14" t="s">
        <v>78</v>
      </c>
      <c r="J14" t="s">
        <v>317</v>
      </c>
      <c r="K14" t="s">
        <v>62</v>
      </c>
      <c r="L14" t="s">
        <v>183</v>
      </c>
      <c r="M14" t="s">
        <v>184</v>
      </c>
      <c r="N14" t="s">
        <v>375</v>
      </c>
      <c r="O14" t="s">
        <v>65</v>
      </c>
      <c r="P14" t="str">
        <f>"INVOICE 00116579 CT093592     "</f>
        <v xml:space="preserve">INVOICE 00116579 CT093592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57.13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0.2</v>
      </c>
      <c r="BJ14">
        <v>2.1</v>
      </c>
      <c r="BK14">
        <v>2.5</v>
      </c>
      <c r="BL14" s="4">
        <v>172.55</v>
      </c>
      <c r="BM14" s="4">
        <v>25.88</v>
      </c>
      <c r="BN14" s="4">
        <v>198.43</v>
      </c>
      <c r="BO14" s="4">
        <v>198.43</v>
      </c>
      <c r="BQ14" t="s">
        <v>376</v>
      </c>
      <c r="BR14" t="s">
        <v>320</v>
      </c>
      <c r="BS14" s="1">
        <v>45750</v>
      </c>
      <c r="BT14" s="2">
        <v>0.41875000000000001</v>
      </c>
      <c r="BU14" t="s">
        <v>377</v>
      </c>
      <c r="BV14" t="s">
        <v>74</v>
      </c>
      <c r="BY14">
        <v>10488.17</v>
      </c>
      <c r="BZ14" t="s">
        <v>79</v>
      </c>
      <c r="CA14" t="s">
        <v>185</v>
      </c>
      <c r="CC14" t="s">
        <v>184</v>
      </c>
      <c r="CD14" s="3" t="s">
        <v>186</v>
      </c>
      <c r="CE14" t="s">
        <v>343</v>
      </c>
      <c r="CF14" s="1">
        <v>45751</v>
      </c>
      <c r="CI14">
        <v>2</v>
      </c>
      <c r="CJ14">
        <v>2</v>
      </c>
      <c r="CK14">
        <v>23</v>
      </c>
      <c r="CL14" t="s">
        <v>66</v>
      </c>
    </row>
    <row r="15" spans="1:92" x14ac:dyDescent="0.3">
      <c r="A15" t="s">
        <v>315</v>
      </c>
      <c r="B15" t="s">
        <v>316</v>
      </c>
      <c r="C15" t="s">
        <v>59</v>
      </c>
      <c r="E15" t="str">
        <f>"GAB2025260"</f>
        <v>GAB2025260</v>
      </c>
      <c r="F15" s="1">
        <v>45748</v>
      </c>
      <c r="G15">
        <v>202601</v>
      </c>
      <c r="H15" t="s">
        <v>77</v>
      </c>
      <c r="I15" t="s">
        <v>78</v>
      </c>
      <c r="J15" t="s">
        <v>317</v>
      </c>
      <c r="K15" t="s">
        <v>62</v>
      </c>
      <c r="L15" t="s">
        <v>137</v>
      </c>
      <c r="M15" t="s">
        <v>138</v>
      </c>
      <c r="N15" t="s">
        <v>378</v>
      </c>
      <c r="O15" t="s">
        <v>65</v>
      </c>
      <c r="P15" t="str">
        <f>"INVOICE 00116576 CT093579     "</f>
        <v xml:space="preserve">INVOICE 00116576 CT093579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67.66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0.4</v>
      </c>
      <c r="BJ15">
        <v>2.8</v>
      </c>
      <c r="BK15">
        <v>3</v>
      </c>
      <c r="BL15" s="4">
        <v>204.34</v>
      </c>
      <c r="BM15" s="4">
        <v>30.65</v>
      </c>
      <c r="BN15" s="4">
        <v>234.99</v>
      </c>
      <c r="BO15" s="4">
        <v>234.99</v>
      </c>
      <c r="BQ15" t="s">
        <v>379</v>
      </c>
      <c r="BR15" t="s">
        <v>320</v>
      </c>
      <c r="BS15" s="1">
        <v>45750</v>
      </c>
      <c r="BT15" s="2">
        <v>0.52986111111111112</v>
      </c>
      <c r="BU15" t="s">
        <v>380</v>
      </c>
      <c r="BV15" t="s">
        <v>74</v>
      </c>
      <c r="BY15">
        <v>13888</v>
      </c>
      <c r="BZ15" t="s">
        <v>79</v>
      </c>
      <c r="CA15" t="s">
        <v>381</v>
      </c>
      <c r="CC15" t="s">
        <v>138</v>
      </c>
      <c r="CD15">
        <v>2740</v>
      </c>
      <c r="CE15" t="s">
        <v>382</v>
      </c>
      <c r="CF15" s="1">
        <v>45751</v>
      </c>
      <c r="CI15">
        <v>2</v>
      </c>
      <c r="CJ15">
        <v>2</v>
      </c>
      <c r="CK15">
        <v>23</v>
      </c>
      <c r="CL15" t="s">
        <v>66</v>
      </c>
    </row>
    <row r="16" spans="1:92" x14ac:dyDescent="0.3">
      <c r="A16" t="s">
        <v>315</v>
      </c>
      <c r="B16" t="s">
        <v>316</v>
      </c>
      <c r="C16" t="s">
        <v>59</v>
      </c>
      <c r="E16" t="str">
        <f>"GAB2025263"</f>
        <v>GAB2025263</v>
      </c>
      <c r="F16" s="1">
        <v>45748</v>
      </c>
      <c r="G16">
        <v>202601</v>
      </c>
      <c r="H16" t="s">
        <v>77</v>
      </c>
      <c r="I16" t="s">
        <v>78</v>
      </c>
      <c r="J16" t="s">
        <v>317</v>
      </c>
      <c r="K16" t="s">
        <v>62</v>
      </c>
      <c r="L16" t="s">
        <v>95</v>
      </c>
      <c r="M16" t="s">
        <v>96</v>
      </c>
      <c r="N16" t="s">
        <v>383</v>
      </c>
      <c r="O16" t="s">
        <v>65</v>
      </c>
      <c r="P16" t="str">
        <f>"INVOICE 00034180   00034169 OR"</f>
        <v>INVOICE 00034180   00034169 OR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24.06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1.7</v>
      </c>
      <c r="BK16">
        <v>2</v>
      </c>
      <c r="BL16" s="4">
        <v>72.66</v>
      </c>
      <c r="BM16" s="4">
        <v>10.9</v>
      </c>
      <c r="BN16" s="4">
        <v>83.56</v>
      </c>
      <c r="BO16" s="4">
        <v>83.56</v>
      </c>
      <c r="BR16" t="s">
        <v>320</v>
      </c>
      <c r="BS16" s="1">
        <v>45750</v>
      </c>
      <c r="BT16" s="2">
        <v>0.4</v>
      </c>
      <c r="BU16" t="s">
        <v>384</v>
      </c>
      <c r="BV16" t="s">
        <v>66</v>
      </c>
      <c r="BW16" t="s">
        <v>71</v>
      </c>
      <c r="BX16" t="s">
        <v>157</v>
      </c>
      <c r="BY16">
        <v>8712.2999999999993</v>
      </c>
      <c r="BZ16" t="s">
        <v>79</v>
      </c>
      <c r="CA16" t="s">
        <v>303</v>
      </c>
      <c r="CC16" t="s">
        <v>96</v>
      </c>
      <c r="CD16">
        <v>2000</v>
      </c>
      <c r="CE16" t="s">
        <v>343</v>
      </c>
      <c r="CF16" s="1">
        <v>45751</v>
      </c>
      <c r="CI16">
        <v>1</v>
      </c>
      <c r="CJ16">
        <v>2</v>
      </c>
      <c r="CK16">
        <v>21</v>
      </c>
      <c r="CL16" t="s">
        <v>66</v>
      </c>
    </row>
    <row r="17" spans="1:90" x14ac:dyDescent="0.3">
      <c r="A17" t="s">
        <v>315</v>
      </c>
      <c r="B17" t="s">
        <v>316</v>
      </c>
      <c r="C17" t="s">
        <v>59</v>
      </c>
      <c r="E17" t="str">
        <f>"GAB2025264"</f>
        <v>GAB2025264</v>
      </c>
      <c r="F17" s="1">
        <v>45748</v>
      </c>
      <c r="G17">
        <v>202601</v>
      </c>
      <c r="H17" t="s">
        <v>77</v>
      </c>
      <c r="I17" t="s">
        <v>78</v>
      </c>
      <c r="J17" t="s">
        <v>317</v>
      </c>
      <c r="K17" t="s">
        <v>62</v>
      </c>
      <c r="L17" t="s">
        <v>131</v>
      </c>
      <c r="M17" t="s">
        <v>132</v>
      </c>
      <c r="N17" t="s">
        <v>385</v>
      </c>
      <c r="O17" t="s">
        <v>65</v>
      </c>
      <c r="P17" t="str">
        <f>"INVOICE 00034167 ORDGS031509  "</f>
        <v xml:space="preserve">INVOICE 00034167 ORDGS031509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67.66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0.2</v>
      </c>
      <c r="BJ17">
        <v>2.6</v>
      </c>
      <c r="BK17">
        <v>3</v>
      </c>
      <c r="BL17" s="4">
        <v>204.34</v>
      </c>
      <c r="BM17" s="4">
        <v>30.65</v>
      </c>
      <c r="BN17" s="4">
        <v>234.99</v>
      </c>
      <c r="BO17" s="4">
        <v>234.99</v>
      </c>
      <c r="BQ17" t="s">
        <v>386</v>
      </c>
      <c r="BR17" t="s">
        <v>320</v>
      </c>
      <c r="BS17" s="1">
        <v>45750</v>
      </c>
      <c r="BT17" s="2">
        <v>0.36875000000000002</v>
      </c>
      <c r="BU17" t="s">
        <v>387</v>
      </c>
      <c r="BV17" t="s">
        <v>74</v>
      </c>
      <c r="BY17">
        <v>12780</v>
      </c>
      <c r="BZ17" t="s">
        <v>79</v>
      </c>
      <c r="CA17" t="s">
        <v>388</v>
      </c>
      <c r="CC17" t="s">
        <v>132</v>
      </c>
      <c r="CD17" s="3" t="s">
        <v>188</v>
      </c>
      <c r="CE17" t="s">
        <v>389</v>
      </c>
      <c r="CF17" s="1">
        <v>45751</v>
      </c>
      <c r="CI17">
        <v>2</v>
      </c>
      <c r="CJ17">
        <v>2</v>
      </c>
      <c r="CK17">
        <v>23</v>
      </c>
      <c r="CL17" t="s">
        <v>66</v>
      </c>
    </row>
    <row r="18" spans="1:90" x14ac:dyDescent="0.3">
      <c r="A18" t="s">
        <v>315</v>
      </c>
      <c r="B18" t="s">
        <v>316</v>
      </c>
      <c r="C18" t="s">
        <v>59</v>
      </c>
      <c r="E18" t="str">
        <f>"GAB2025265"</f>
        <v>GAB2025265</v>
      </c>
      <c r="F18" s="1">
        <v>45748</v>
      </c>
      <c r="G18">
        <v>202601</v>
      </c>
      <c r="H18" t="s">
        <v>77</v>
      </c>
      <c r="I18" t="s">
        <v>78</v>
      </c>
      <c r="J18" t="s">
        <v>317</v>
      </c>
      <c r="K18" t="s">
        <v>62</v>
      </c>
      <c r="L18" t="s">
        <v>68</v>
      </c>
      <c r="M18" t="s">
        <v>69</v>
      </c>
      <c r="N18" t="s">
        <v>390</v>
      </c>
      <c r="O18" t="s">
        <v>65</v>
      </c>
      <c r="P18" t="str">
        <f>"INVOICE 00034170 ORDGS031595  "</f>
        <v xml:space="preserve">INVOICE 00034170 ORDGS031595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24.06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0.2</v>
      </c>
      <c r="BJ18">
        <v>1.9</v>
      </c>
      <c r="BK18">
        <v>2</v>
      </c>
      <c r="BL18" s="4">
        <v>72.66</v>
      </c>
      <c r="BM18" s="4">
        <v>10.9</v>
      </c>
      <c r="BN18" s="4">
        <v>83.56</v>
      </c>
      <c r="BO18" s="4">
        <v>83.56</v>
      </c>
      <c r="BQ18" t="s">
        <v>391</v>
      </c>
      <c r="BR18" t="s">
        <v>320</v>
      </c>
      <c r="BS18" s="1">
        <v>45750</v>
      </c>
      <c r="BT18" s="2">
        <v>0.36180555555555555</v>
      </c>
      <c r="BU18" t="s">
        <v>392</v>
      </c>
      <c r="BV18" t="s">
        <v>66</v>
      </c>
      <c r="BW18" t="s">
        <v>71</v>
      </c>
      <c r="BX18" t="s">
        <v>136</v>
      </c>
      <c r="BY18">
        <v>9740.16</v>
      </c>
      <c r="BZ18" t="s">
        <v>79</v>
      </c>
      <c r="CA18" t="s">
        <v>189</v>
      </c>
      <c r="CC18" t="s">
        <v>69</v>
      </c>
      <c r="CD18">
        <v>1416</v>
      </c>
      <c r="CE18" t="s">
        <v>393</v>
      </c>
      <c r="CF18" s="1">
        <v>45751</v>
      </c>
      <c r="CI18">
        <v>1</v>
      </c>
      <c r="CJ18">
        <v>2</v>
      </c>
      <c r="CK18">
        <v>21</v>
      </c>
      <c r="CL18" t="s">
        <v>66</v>
      </c>
    </row>
    <row r="19" spans="1:90" x14ac:dyDescent="0.3">
      <c r="A19" t="s">
        <v>315</v>
      </c>
      <c r="B19" t="s">
        <v>316</v>
      </c>
      <c r="C19" t="s">
        <v>59</v>
      </c>
      <c r="E19" t="str">
        <f>"GAB2025266"</f>
        <v>GAB2025266</v>
      </c>
      <c r="F19" s="1">
        <v>45748</v>
      </c>
      <c r="G19">
        <v>202601</v>
      </c>
      <c r="H19" t="s">
        <v>77</v>
      </c>
      <c r="I19" t="s">
        <v>78</v>
      </c>
      <c r="J19" t="s">
        <v>317</v>
      </c>
      <c r="K19" t="s">
        <v>62</v>
      </c>
      <c r="L19" t="s">
        <v>77</v>
      </c>
      <c r="M19" t="s">
        <v>78</v>
      </c>
      <c r="N19" t="s">
        <v>394</v>
      </c>
      <c r="O19" t="s">
        <v>65</v>
      </c>
      <c r="P19" t="str">
        <f>"INVOICE 00034172 ORDGS031594  "</f>
        <v xml:space="preserve">INVOICE 00034172 ORDGS031594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18.79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0.3</v>
      </c>
      <c r="BJ19">
        <v>2.4</v>
      </c>
      <c r="BK19">
        <v>3</v>
      </c>
      <c r="BL19" s="4">
        <v>56.75</v>
      </c>
      <c r="BM19" s="4">
        <v>8.51</v>
      </c>
      <c r="BN19" s="4">
        <v>65.260000000000005</v>
      </c>
      <c r="BO19" s="4">
        <v>65.260000000000005</v>
      </c>
      <c r="BQ19" t="s">
        <v>395</v>
      </c>
      <c r="BR19" t="s">
        <v>320</v>
      </c>
      <c r="BS19" s="1">
        <v>45749</v>
      </c>
      <c r="BT19" s="2">
        <v>0.52361111111111114</v>
      </c>
      <c r="BU19" t="s">
        <v>396</v>
      </c>
      <c r="BV19" t="s">
        <v>66</v>
      </c>
      <c r="BW19" t="s">
        <v>71</v>
      </c>
      <c r="BX19" t="s">
        <v>230</v>
      </c>
      <c r="BY19">
        <v>12187.4</v>
      </c>
      <c r="BZ19" t="s">
        <v>79</v>
      </c>
      <c r="CC19" t="s">
        <v>78</v>
      </c>
      <c r="CD19">
        <v>7945</v>
      </c>
      <c r="CE19" t="s">
        <v>389</v>
      </c>
      <c r="CF19" s="1">
        <v>45750</v>
      </c>
      <c r="CI19">
        <v>1</v>
      </c>
      <c r="CJ19">
        <v>1</v>
      </c>
      <c r="CK19">
        <v>22</v>
      </c>
      <c r="CL19" t="s">
        <v>66</v>
      </c>
    </row>
    <row r="20" spans="1:90" x14ac:dyDescent="0.3">
      <c r="A20" t="s">
        <v>315</v>
      </c>
      <c r="B20" t="s">
        <v>316</v>
      </c>
      <c r="C20" t="s">
        <v>59</v>
      </c>
      <c r="E20" t="str">
        <f>"GAB2025267"</f>
        <v>GAB2025267</v>
      </c>
      <c r="F20" s="1">
        <v>45748</v>
      </c>
      <c r="G20">
        <v>202601</v>
      </c>
      <c r="H20" t="s">
        <v>77</v>
      </c>
      <c r="I20" t="s">
        <v>78</v>
      </c>
      <c r="J20" t="s">
        <v>317</v>
      </c>
      <c r="K20" t="s">
        <v>62</v>
      </c>
      <c r="L20" t="s">
        <v>89</v>
      </c>
      <c r="M20" t="s">
        <v>90</v>
      </c>
      <c r="N20" t="s">
        <v>397</v>
      </c>
      <c r="O20" t="s">
        <v>65</v>
      </c>
      <c r="P20" t="str">
        <f>"INVOICE 00034176 ORDGS031552  "</f>
        <v xml:space="preserve">INVOICE 00034176 ORDGS031552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30.07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0.2</v>
      </c>
      <c r="BJ20">
        <v>2.2999999999999998</v>
      </c>
      <c r="BK20">
        <v>2.5</v>
      </c>
      <c r="BL20" s="4">
        <v>90.81</v>
      </c>
      <c r="BM20" s="4">
        <v>13.62</v>
      </c>
      <c r="BN20" s="4">
        <v>104.43</v>
      </c>
      <c r="BO20" s="4">
        <v>104.43</v>
      </c>
      <c r="BQ20" t="s">
        <v>398</v>
      </c>
      <c r="BR20" t="s">
        <v>320</v>
      </c>
      <c r="BS20" s="1">
        <v>45755</v>
      </c>
      <c r="BT20" s="2">
        <v>0.54166666666666663</v>
      </c>
      <c r="BU20" t="s">
        <v>399</v>
      </c>
      <c r="BV20" t="s">
        <v>66</v>
      </c>
      <c r="BW20" t="s">
        <v>112</v>
      </c>
      <c r="BX20" t="s">
        <v>120</v>
      </c>
      <c r="BY20">
        <v>11355.58</v>
      </c>
      <c r="BZ20" t="s">
        <v>79</v>
      </c>
      <c r="CC20" t="s">
        <v>90</v>
      </c>
      <c r="CD20">
        <v>4092</v>
      </c>
      <c r="CE20" t="s">
        <v>393</v>
      </c>
      <c r="CF20" s="1">
        <v>45756</v>
      </c>
      <c r="CI20">
        <v>2</v>
      </c>
      <c r="CJ20">
        <v>5</v>
      </c>
      <c r="CK20">
        <v>21</v>
      </c>
      <c r="CL20" t="s">
        <v>66</v>
      </c>
    </row>
    <row r="21" spans="1:90" x14ac:dyDescent="0.3">
      <c r="A21" t="s">
        <v>315</v>
      </c>
      <c r="B21" t="s">
        <v>316</v>
      </c>
      <c r="C21" t="s">
        <v>59</v>
      </c>
      <c r="E21" t="str">
        <f>"GAB2025268"</f>
        <v>GAB2025268</v>
      </c>
      <c r="F21" s="1">
        <v>45748</v>
      </c>
      <c r="G21">
        <v>202601</v>
      </c>
      <c r="H21" t="s">
        <v>77</v>
      </c>
      <c r="I21" t="s">
        <v>78</v>
      </c>
      <c r="J21" t="s">
        <v>317</v>
      </c>
      <c r="K21" t="s">
        <v>62</v>
      </c>
      <c r="L21" t="s">
        <v>280</v>
      </c>
      <c r="M21" t="s">
        <v>281</v>
      </c>
      <c r="N21" t="s">
        <v>400</v>
      </c>
      <c r="O21" t="s">
        <v>65</v>
      </c>
      <c r="P21" t="str">
        <f>"INVOICE 00034178 ORDGS031507  "</f>
        <v xml:space="preserve">INVOICE 00034178 ORDGS031507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30.07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0.2</v>
      </c>
      <c r="BJ21">
        <v>2.2999999999999998</v>
      </c>
      <c r="BK21">
        <v>2.5</v>
      </c>
      <c r="BL21" s="4">
        <v>90.81</v>
      </c>
      <c r="BM21" s="4">
        <v>13.62</v>
      </c>
      <c r="BN21" s="4">
        <v>104.43</v>
      </c>
      <c r="BO21" s="4">
        <v>104.43</v>
      </c>
      <c r="BQ21" t="s">
        <v>401</v>
      </c>
      <c r="BR21" t="s">
        <v>320</v>
      </c>
      <c r="BS21" s="1">
        <v>45750</v>
      </c>
      <c r="BT21" s="2">
        <v>0.40833333333333333</v>
      </c>
      <c r="BU21" t="s">
        <v>402</v>
      </c>
      <c r="BV21" t="s">
        <v>66</v>
      </c>
      <c r="BW21" t="s">
        <v>177</v>
      </c>
      <c r="BX21" t="s">
        <v>213</v>
      </c>
      <c r="BY21">
        <v>11610.9</v>
      </c>
      <c r="BZ21" t="s">
        <v>79</v>
      </c>
      <c r="CA21" t="s">
        <v>282</v>
      </c>
      <c r="CC21" t="s">
        <v>281</v>
      </c>
      <c r="CD21">
        <v>1541</v>
      </c>
      <c r="CE21" t="s">
        <v>343</v>
      </c>
      <c r="CF21" s="1">
        <v>45751</v>
      </c>
      <c r="CI21">
        <v>1</v>
      </c>
      <c r="CJ21">
        <v>2</v>
      </c>
      <c r="CK21">
        <v>21</v>
      </c>
      <c r="CL21" t="s">
        <v>66</v>
      </c>
    </row>
    <row r="22" spans="1:90" x14ac:dyDescent="0.3">
      <c r="A22" t="s">
        <v>315</v>
      </c>
      <c r="B22" t="s">
        <v>316</v>
      </c>
      <c r="C22" t="s">
        <v>59</v>
      </c>
      <c r="E22" t="str">
        <f>"GAB2025269"</f>
        <v>GAB2025269</v>
      </c>
      <c r="F22" s="1">
        <v>45748</v>
      </c>
      <c r="G22">
        <v>202601</v>
      </c>
      <c r="H22" t="s">
        <v>77</v>
      </c>
      <c r="I22" t="s">
        <v>78</v>
      </c>
      <c r="J22" t="s">
        <v>317</v>
      </c>
      <c r="K22" t="s">
        <v>62</v>
      </c>
      <c r="L22" t="s">
        <v>91</v>
      </c>
      <c r="M22" t="s">
        <v>92</v>
      </c>
      <c r="N22" t="s">
        <v>403</v>
      </c>
      <c r="O22" t="s">
        <v>65</v>
      </c>
      <c r="P22" t="str">
        <f>"INVOICES 00034182 ORDGS031511 "</f>
        <v xml:space="preserve">INVOICES 00034182 ORDGS031511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30.07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0.3</v>
      </c>
      <c r="BJ22">
        <v>2.4</v>
      </c>
      <c r="BK22">
        <v>2.5</v>
      </c>
      <c r="BL22" s="4">
        <v>90.81</v>
      </c>
      <c r="BM22" s="4">
        <v>13.62</v>
      </c>
      <c r="BN22" s="4">
        <v>104.43</v>
      </c>
      <c r="BO22" s="4">
        <v>104.43</v>
      </c>
      <c r="BQ22" t="s">
        <v>404</v>
      </c>
      <c r="BR22" t="s">
        <v>320</v>
      </c>
      <c r="BS22" s="1">
        <v>45750</v>
      </c>
      <c r="BT22" s="2">
        <v>0.36458333333333331</v>
      </c>
      <c r="BU22" t="s">
        <v>405</v>
      </c>
      <c r="BV22" t="s">
        <v>66</v>
      </c>
      <c r="BW22" t="s">
        <v>71</v>
      </c>
      <c r="BX22" t="s">
        <v>166</v>
      </c>
      <c r="BY22">
        <v>11950.5</v>
      </c>
      <c r="BZ22" t="s">
        <v>79</v>
      </c>
      <c r="CA22" t="s">
        <v>147</v>
      </c>
      <c r="CC22" t="s">
        <v>92</v>
      </c>
      <c r="CD22" s="3" t="s">
        <v>94</v>
      </c>
      <c r="CE22" t="s">
        <v>382</v>
      </c>
      <c r="CF22" s="1">
        <v>45750</v>
      </c>
      <c r="CI22">
        <v>1</v>
      </c>
      <c r="CJ22">
        <v>2</v>
      </c>
      <c r="CK22">
        <v>21</v>
      </c>
      <c r="CL22" t="s">
        <v>66</v>
      </c>
    </row>
    <row r="23" spans="1:90" x14ac:dyDescent="0.3">
      <c r="A23" t="s">
        <v>315</v>
      </c>
      <c r="B23" t="s">
        <v>316</v>
      </c>
      <c r="C23" t="s">
        <v>59</v>
      </c>
      <c r="E23" t="str">
        <f>"GAB2025270"</f>
        <v>GAB2025270</v>
      </c>
      <c r="F23" s="1">
        <v>45748</v>
      </c>
      <c r="G23">
        <v>202601</v>
      </c>
      <c r="H23" t="s">
        <v>77</v>
      </c>
      <c r="I23" t="s">
        <v>78</v>
      </c>
      <c r="J23" t="s">
        <v>317</v>
      </c>
      <c r="K23" t="s">
        <v>62</v>
      </c>
      <c r="L23" t="s">
        <v>406</v>
      </c>
      <c r="M23" t="s">
        <v>407</v>
      </c>
      <c r="N23" t="s">
        <v>408</v>
      </c>
      <c r="O23" t="s">
        <v>65</v>
      </c>
      <c r="P23" t="str">
        <f>"INVOICE 00116594 CT093601     "</f>
        <v xml:space="preserve">INVOICE 00116594 CT093601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67.66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0.4</v>
      </c>
      <c r="BJ23">
        <v>2.6</v>
      </c>
      <c r="BK23">
        <v>3</v>
      </c>
      <c r="BL23" s="4">
        <v>204.34</v>
      </c>
      <c r="BM23" s="4">
        <v>30.65</v>
      </c>
      <c r="BN23" s="4">
        <v>234.99</v>
      </c>
      <c r="BO23" s="4">
        <v>234.99</v>
      </c>
      <c r="BQ23" t="s">
        <v>409</v>
      </c>
      <c r="BR23" t="s">
        <v>320</v>
      </c>
      <c r="BS23" s="1">
        <v>45750</v>
      </c>
      <c r="BT23" s="2">
        <v>0.47569444444444442</v>
      </c>
      <c r="BU23" t="s">
        <v>410</v>
      </c>
      <c r="BV23" t="s">
        <v>66</v>
      </c>
      <c r="BY23">
        <v>12787.99</v>
      </c>
      <c r="BZ23" t="s">
        <v>79</v>
      </c>
      <c r="CA23" t="s">
        <v>411</v>
      </c>
      <c r="CC23" t="s">
        <v>407</v>
      </c>
      <c r="CD23">
        <v>2515</v>
      </c>
      <c r="CE23" t="s">
        <v>412</v>
      </c>
      <c r="CF23" s="1">
        <v>45751</v>
      </c>
      <c r="CI23">
        <v>1</v>
      </c>
      <c r="CJ23">
        <v>2</v>
      </c>
      <c r="CK23">
        <v>23</v>
      </c>
      <c r="CL23" t="s">
        <v>66</v>
      </c>
    </row>
    <row r="24" spans="1:90" x14ac:dyDescent="0.3">
      <c r="A24" t="s">
        <v>315</v>
      </c>
      <c r="B24" t="s">
        <v>316</v>
      </c>
      <c r="C24" t="s">
        <v>59</v>
      </c>
      <c r="E24" t="str">
        <f>"GAB2025271"</f>
        <v>GAB2025271</v>
      </c>
      <c r="F24" s="1">
        <v>45748</v>
      </c>
      <c r="G24">
        <v>202601</v>
      </c>
      <c r="H24" t="s">
        <v>77</v>
      </c>
      <c r="I24" t="s">
        <v>78</v>
      </c>
      <c r="J24" t="s">
        <v>317</v>
      </c>
      <c r="K24" t="s">
        <v>62</v>
      </c>
      <c r="L24" t="s">
        <v>413</v>
      </c>
      <c r="M24" t="s">
        <v>414</v>
      </c>
      <c r="N24" t="s">
        <v>415</v>
      </c>
      <c r="O24" t="s">
        <v>65</v>
      </c>
      <c r="P24" t="str">
        <f>"INVOICE 00116595 CT093595     "</f>
        <v xml:space="preserve">INVOICE 00116595 CT093595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30.07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0.2</v>
      </c>
      <c r="BJ24">
        <v>2.2999999999999998</v>
      </c>
      <c r="BK24">
        <v>2.5</v>
      </c>
      <c r="BL24" s="4">
        <v>90.81</v>
      </c>
      <c r="BM24" s="4">
        <v>13.62</v>
      </c>
      <c r="BN24" s="4">
        <v>104.43</v>
      </c>
      <c r="BO24" s="4">
        <v>104.43</v>
      </c>
      <c r="BQ24" t="s">
        <v>416</v>
      </c>
      <c r="BR24" t="s">
        <v>320</v>
      </c>
      <c r="BS24" s="1">
        <v>45750</v>
      </c>
      <c r="BT24" s="2">
        <v>0.54166666666666663</v>
      </c>
      <c r="BU24" t="s">
        <v>417</v>
      </c>
      <c r="BV24" t="s">
        <v>66</v>
      </c>
      <c r="BW24" t="s">
        <v>71</v>
      </c>
      <c r="BX24" t="s">
        <v>418</v>
      </c>
      <c r="BY24">
        <v>11490</v>
      </c>
      <c r="BZ24" t="s">
        <v>79</v>
      </c>
      <c r="CC24" t="s">
        <v>414</v>
      </c>
      <c r="CD24">
        <v>8301</v>
      </c>
      <c r="CE24" t="s">
        <v>343</v>
      </c>
      <c r="CF24" s="1">
        <v>45751</v>
      </c>
      <c r="CI24">
        <v>2</v>
      </c>
      <c r="CJ24">
        <v>2</v>
      </c>
      <c r="CK24">
        <v>21</v>
      </c>
      <c r="CL24" t="s">
        <v>66</v>
      </c>
    </row>
    <row r="25" spans="1:90" x14ac:dyDescent="0.3">
      <c r="A25" t="s">
        <v>315</v>
      </c>
      <c r="B25" t="s">
        <v>316</v>
      </c>
      <c r="C25" t="s">
        <v>59</v>
      </c>
      <c r="E25" t="str">
        <f>"GAB2025272"</f>
        <v>GAB2025272</v>
      </c>
      <c r="F25" s="1">
        <v>45748</v>
      </c>
      <c r="G25">
        <v>202601</v>
      </c>
      <c r="H25" t="s">
        <v>77</v>
      </c>
      <c r="I25" t="s">
        <v>78</v>
      </c>
      <c r="J25" t="s">
        <v>317</v>
      </c>
      <c r="K25" t="s">
        <v>62</v>
      </c>
      <c r="L25" t="s">
        <v>419</v>
      </c>
      <c r="M25" t="s">
        <v>420</v>
      </c>
      <c r="N25" t="s">
        <v>421</v>
      </c>
      <c r="O25" t="s">
        <v>65</v>
      </c>
      <c r="P25" t="str">
        <f>"INVOICE 00116607 CT093281     "</f>
        <v xml:space="preserve">INVOICE 00116607 CT093281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57.13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0.2</v>
      </c>
      <c r="BJ25">
        <v>2.1</v>
      </c>
      <c r="BK25">
        <v>2.5</v>
      </c>
      <c r="BL25" s="4">
        <v>172.55</v>
      </c>
      <c r="BM25" s="4">
        <v>25.88</v>
      </c>
      <c r="BN25" s="4">
        <v>198.43</v>
      </c>
      <c r="BO25" s="4">
        <v>198.43</v>
      </c>
      <c r="BQ25" t="s">
        <v>422</v>
      </c>
      <c r="BR25" t="s">
        <v>320</v>
      </c>
      <c r="BS25" s="1">
        <v>45750</v>
      </c>
      <c r="BT25" s="2">
        <v>0.43263888888888891</v>
      </c>
      <c r="BU25" t="s">
        <v>423</v>
      </c>
      <c r="BV25" t="s">
        <v>74</v>
      </c>
      <c r="BY25">
        <v>10397.6</v>
      </c>
      <c r="BZ25" t="s">
        <v>79</v>
      </c>
      <c r="CA25" t="s">
        <v>424</v>
      </c>
      <c r="CC25" t="s">
        <v>420</v>
      </c>
      <c r="CD25" s="3" t="s">
        <v>425</v>
      </c>
      <c r="CE25" t="s">
        <v>393</v>
      </c>
      <c r="CF25" s="1">
        <v>45750</v>
      </c>
      <c r="CI25">
        <v>2</v>
      </c>
      <c r="CJ25">
        <v>2</v>
      </c>
      <c r="CK25">
        <v>23</v>
      </c>
      <c r="CL25" t="s">
        <v>66</v>
      </c>
    </row>
    <row r="26" spans="1:90" x14ac:dyDescent="0.3">
      <c r="A26" t="s">
        <v>315</v>
      </c>
      <c r="B26" t="s">
        <v>316</v>
      </c>
      <c r="C26" t="s">
        <v>59</v>
      </c>
      <c r="E26" t="str">
        <f>"GAB2025273"</f>
        <v>GAB2025273</v>
      </c>
      <c r="F26" s="1">
        <v>45748</v>
      </c>
      <c r="G26">
        <v>202601</v>
      </c>
      <c r="H26" t="s">
        <v>77</v>
      </c>
      <c r="I26" t="s">
        <v>78</v>
      </c>
      <c r="J26" t="s">
        <v>317</v>
      </c>
      <c r="K26" t="s">
        <v>62</v>
      </c>
      <c r="L26" t="s">
        <v>72</v>
      </c>
      <c r="M26" t="s">
        <v>73</v>
      </c>
      <c r="N26" t="s">
        <v>426</v>
      </c>
      <c r="O26" t="s">
        <v>65</v>
      </c>
      <c r="P26" t="str">
        <f>"INVOICE 00116599 CT093611     "</f>
        <v xml:space="preserve">INVOICE 00116599 CT093611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30.07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0.4</v>
      </c>
      <c r="BJ26">
        <v>2.1</v>
      </c>
      <c r="BK26">
        <v>2.5</v>
      </c>
      <c r="BL26" s="4">
        <v>90.81</v>
      </c>
      <c r="BM26" s="4">
        <v>13.62</v>
      </c>
      <c r="BN26" s="4">
        <v>104.43</v>
      </c>
      <c r="BO26" s="4">
        <v>104.43</v>
      </c>
      <c r="BR26" t="s">
        <v>320</v>
      </c>
      <c r="BS26" s="1">
        <v>45750</v>
      </c>
      <c r="BT26" s="2">
        <v>0.5625</v>
      </c>
      <c r="BU26" t="s">
        <v>427</v>
      </c>
      <c r="BV26" t="s">
        <v>66</v>
      </c>
      <c r="BW26" t="s">
        <v>234</v>
      </c>
      <c r="BX26" t="s">
        <v>428</v>
      </c>
      <c r="BY26">
        <v>10633.5</v>
      </c>
      <c r="BZ26" t="s">
        <v>79</v>
      </c>
      <c r="CA26" t="s">
        <v>429</v>
      </c>
      <c r="CC26" t="s">
        <v>73</v>
      </c>
      <c r="CD26">
        <v>3610</v>
      </c>
      <c r="CE26" t="s">
        <v>343</v>
      </c>
      <c r="CF26" s="1">
        <v>45751</v>
      </c>
      <c r="CI26">
        <v>2</v>
      </c>
      <c r="CJ26">
        <v>2</v>
      </c>
      <c r="CK26">
        <v>21</v>
      </c>
      <c r="CL26" t="s">
        <v>66</v>
      </c>
    </row>
    <row r="27" spans="1:90" x14ac:dyDescent="0.3">
      <c r="A27" t="s">
        <v>315</v>
      </c>
      <c r="B27" t="s">
        <v>316</v>
      </c>
      <c r="C27" t="s">
        <v>59</v>
      </c>
      <c r="E27" t="str">
        <f>"GAB2025274"</f>
        <v>GAB2025274</v>
      </c>
      <c r="F27" s="1">
        <v>45748</v>
      </c>
      <c r="G27">
        <v>202601</v>
      </c>
      <c r="H27" t="s">
        <v>77</v>
      </c>
      <c r="I27" t="s">
        <v>78</v>
      </c>
      <c r="J27" t="s">
        <v>317</v>
      </c>
      <c r="K27" t="s">
        <v>62</v>
      </c>
      <c r="L27" t="s">
        <v>206</v>
      </c>
      <c r="M27" t="s">
        <v>207</v>
      </c>
      <c r="N27" t="s">
        <v>430</v>
      </c>
      <c r="O27" t="s">
        <v>65</v>
      </c>
      <c r="P27" t="str">
        <f>"INVOICE 00116600 CT093369     "</f>
        <v xml:space="preserve">INVOICE 00116600 CT093369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24.06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0.9</v>
      </c>
      <c r="BJ27">
        <v>1.7</v>
      </c>
      <c r="BK27">
        <v>2</v>
      </c>
      <c r="BL27" s="4">
        <v>72.66</v>
      </c>
      <c r="BM27" s="4">
        <v>10.9</v>
      </c>
      <c r="BN27" s="4">
        <v>83.56</v>
      </c>
      <c r="BO27" s="4">
        <v>83.56</v>
      </c>
      <c r="BQ27" t="s">
        <v>431</v>
      </c>
      <c r="BR27" t="s">
        <v>320</v>
      </c>
      <c r="BS27" s="1">
        <v>45750</v>
      </c>
      <c r="BT27" s="2">
        <v>0.39583333333333331</v>
      </c>
      <c r="BU27" t="s">
        <v>432</v>
      </c>
      <c r="BV27" t="s">
        <v>74</v>
      </c>
      <c r="BY27">
        <v>8617.98</v>
      </c>
      <c r="BZ27" t="s">
        <v>79</v>
      </c>
      <c r="CA27" t="s">
        <v>433</v>
      </c>
      <c r="CC27" t="s">
        <v>207</v>
      </c>
      <c r="CD27" s="3" t="s">
        <v>287</v>
      </c>
      <c r="CE27" t="s">
        <v>434</v>
      </c>
      <c r="CF27" s="1">
        <v>45750</v>
      </c>
      <c r="CI27">
        <v>2</v>
      </c>
      <c r="CJ27">
        <v>2</v>
      </c>
      <c r="CK27">
        <v>21</v>
      </c>
      <c r="CL27" t="s">
        <v>66</v>
      </c>
    </row>
    <row r="28" spans="1:90" x14ac:dyDescent="0.3">
      <c r="A28" t="s">
        <v>315</v>
      </c>
      <c r="B28" t="s">
        <v>316</v>
      </c>
      <c r="C28" t="s">
        <v>59</v>
      </c>
      <c r="E28" t="str">
        <f>"GAB2025275"</f>
        <v>GAB2025275</v>
      </c>
      <c r="F28" s="1">
        <v>45748</v>
      </c>
      <c r="G28">
        <v>202601</v>
      </c>
      <c r="H28" t="s">
        <v>77</v>
      </c>
      <c r="I28" t="s">
        <v>78</v>
      </c>
      <c r="J28" t="s">
        <v>317</v>
      </c>
      <c r="K28" t="s">
        <v>62</v>
      </c>
      <c r="L28" t="s">
        <v>254</v>
      </c>
      <c r="M28" t="s">
        <v>255</v>
      </c>
      <c r="N28" t="s">
        <v>435</v>
      </c>
      <c r="O28" t="s">
        <v>65</v>
      </c>
      <c r="P28" t="str">
        <f>"INVOICE 00116601 CT093368     "</f>
        <v xml:space="preserve">INVOICE 00116601 CT093368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57.13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0.5</v>
      </c>
      <c r="BJ28">
        <v>2.2999999999999998</v>
      </c>
      <c r="BK28">
        <v>2.5</v>
      </c>
      <c r="BL28" s="4">
        <v>172.55</v>
      </c>
      <c r="BM28" s="4">
        <v>25.88</v>
      </c>
      <c r="BN28" s="4">
        <v>198.43</v>
      </c>
      <c r="BO28" s="4">
        <v>198.43</v>
      </c>
      <c r="BQ28" t="s">
        <v>436</v>
      </c>
      <c r="BR28" t="s">
        <v>320</v>
      </c>
      <c r="BS28" s="1">
        <v>45750</v>
      </c>
      <c r="BT28" s="2">
        <v>0.61597222222222225</v>
      </c>
      <c r="BU28" t="s">
        <v>437</v>
      </c>
      <c r="BV28" t="s">
        <v>66</v>
      </c>
      <c r="BW28" t="s">
        <v>112</v>
      </c>
      <c r="BX28" t="s">
        <v>428</v>
      </c>
      <c r="BY28">
        <v>11502.27</v>
      </c>
      <c r="BZ28" t="s">
        <v>79</v>
      </c>
      <c r="CA28" t="s">
        <v>298</v>
      </c>
      <c r="CC28" t="s">
        <v>255</v>
      </c>
      <c r="CD28">
        <v>4400</v>
      </c>
      <c r="CE28" t="s">
        <v>438</v>
      </c>
      <c r="CF28" s="1">
        <v>45751</v>
      </c>
      <c r="CI28">
        <v>2</v>
      </c>
      <c r="CJ28">
        <v>2</v>
      </c>
      <c r="CK28">
        <v>23</v>
      </c>
      <c r="CL28" t="s">
        <v>66</v>
      </c>
    </row>
    <row r="29" spans="1:90" x14ac:dyDescent="0.3">
      <c r="A29" t="s">
        <v>315</v>
      </c>
      <c r="B29" t="s">
        <v>316</v>
      </c>
      <c r="C29" t="s">
        <v>59</v>
      </c>
      <c r="E29" t="str">
        <f>"GAB2025276"</f>
        <v>GAB2025276</v>
      </c>
      <c r="F29" s="1">
        <v>45748</v>
      </c>
      <c r="G29">
        <v>202601</v>
      </c>
      <c r="H29" t="s">
        <v>77</v>
      </c>
      <c r="I29" t="s">
        <v>78</v>
      </c>
      <c r="J29" t="s">
        <v>317</v>
      </c>
      <c r="K29" t="s">
        <v>62</v>
      </c>
      <c r="L29" t="s">
        <v>83</v>
      </c>
      <c r="M29" t="s">
        <v>84</v>
      </c>
      <c r="N29" t="s">
        <v>439</v>
      </c>
      <c r="O29" t="s">
        <v>65</v>
      </c>
      <c r="P29" t="str">
        <f>"INVOICE 00116602 CT093416     "</f>
        <v xml:space="preserve">INVOICE 00116602 CT093416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30.07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0.2</v>
      </c>
      <c r="BJ29">
        <v>2.2999999999999998</v>
      </c>
      <c r="BK29">
        <v>2.5</v>
      </c>
      <c r="BL29" s="4">
        <v>90.81</v>
      </c>
      <c r="BM29" s="4">
        <v>13.62</v>
      </c>
      <c r="BN29" s="4">
        <v>104.43</v>
      </c>
      <c r="BO29" s="4">
        <v>104.43</v>
      </c>
      <c r="BQ29" t="s">
        <v>440</v>
      </c>
      <c r="BR29" t="s">
        <v>320</v>
      </c>
      <c r="BS29" s="1">
        <v>45750</v>
      </c>
      <c r="BT29" s="2">
        <v>0.38680555555555557</v>
      </c>
      <c r="BU29" t="s">
        <v>441</v>
      </c>
      <c r="BV29" t="s">
        <v>66</v>
      </c>
      <c r="BY29">
        <v>11438</v>
      </c>
      <c r="BZ29" t="s">
        <v>79</v>
      </c>
      <c r="CA29" t="s">
        <v>176</v>
      </c>
      <c r="CC29" t="s">
        <v>84</v>
      </c>
      <c r="CD29">
        <v>3201</v>
      </c>
      <c r="CE29" t="s">
        <v>393</v>
      </c>
      <c r="CF29" s="1">
        <v>45750</v>
      </c>
      <c r="CI29">
        <v>1</v>
      </c>
      <c r="CJ29">
        <v>2</v>
      </c>
      <c r="CK29">
        <v>21</v>
      </c>
      <c r="CL29" t="s">
        <v>66</v>
      </c>
    </row>
    <row r="30" spans="1:90" x14ac:dyDescent="0.3">
      <c r="A30" t="s">
        <v>315</v>
      </c>
      <c r="B30" t="s">
        <v>316</v>
      </c>
      <c r="C30" t="s">
        <v>59</v>
      </c>
      <c r="E30" t="str">
        <f>"GAB2025277"</f>
        <v>GAB2025277</v>
      </c>
      <c r="F30" s="1">
        <v>45748</v>
      </c>
      <c r="G30">
        <v>202601</v>
      </c>
      <c r="H30" t="s">
        <v>77</v>
      </c>
      <c r="I30" t="s">
        <v>78</v>
      </c>
      <c r="J30" t="s">
        <v>317</v>
      </c>
      <c r="K30" t="s">
        <v>62</v>
      </c>
      <c r="L30" t="s">
        <v>108</v>
      </c>
      <c r="M30" t="s">
        <v>109</v>
      </c>
      <c r="N30" t="s">
        <v>442</v>
      </c>
      <c r="O30" t="s">
        <v>65</v>
      </c>
      <c r="P30" t="str">
        <f>"INVOICE 00116605 CT092547     "</f>
        <v xml:space="preserve">INVOICE 00116605 CT092547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24.06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0.2</v>
      </c>
      <c r="BJ30">
        <v>2</v>
      </c>
      <c r="BK30">
        <v>2</v>
      </c>
      <c r="BL30" s="4">
        <v>72.66</v>
      </c>
      <c r="BM30" s="4">
        <v>10.9</v>
      </c>
      <c r="BN30" s="4">
        <v>83.56</v>
      </c>
      <c r="BO30" s="4">
        <v>83.56</v>
      </c>
      <c r="BQ30" t="s">
        <v>443</v>
      </c>
      <c r="BR30" t="s">
        <v>320</v>
      </c>
      <c r="BS30" s="1">
        <v>45751</v>
      </c>
      <c r="BT30" s="2">
        <v>0.42499999999999999</v>
      </c>
      <c r="BU30" t="s">
        <v>444</v>
      </c>
      <c r="BV30" t="s">
        <v>66</v>
      </c>
      <c r="BW30" t="s">
        <v>71</v>
      </c>
      <c r="BX30" t="s">
        <v>157</v>
      </c>
      <c r="BY30">
        <v>9762.5</v>
      </c>
      <c r="BZ30" t="s">
        <v>79</v>
      </c>
      <c r="CA30" t="s">
        <v>445</v>
      </c>
      <c r="CC30" t="s">
        <v>109</v>
      </c>
      <c r="CD30">
        <v>2194</v>
      </c>
      <c r="CE30" t="s">
        <v>343</v>
      </c>
      <c r="CF30" s="1">
        <v>45752</v>
      </c>
      <c r="CI30">
        <v>1</v>
      </c>
      <c r="CJ30">
        <v>3</v>
      </c>
      <c r="CK30">
        <v>21</v>
      </c>
      <c r="CL30" t="s">
        <v>66</v>
      </c>
    </row>
    <row r="31" spans="1:90" x14ac:dyDescent="0.3">
      <c r="A31" t="s">
        <v>315</v>
      </c>
      <c r="B31" t="s">
        <v>316</v>
      </c>
      <c r="C31" t="s">
        <v>59</v>
      </c>
      <c r="E31" t="str">
        <f>"GAB2025278"</f>
        <v>GAB2025278</v>
      </c>
      <c r="F31" s="1">
        <v>45748</v>
      </c>
      <c r="G31">
        <v>202601</v>
      </c>
      <c r="H31" t="s">
        <v>77</v>
      </c>
      <c r="I31" t="s">
        <v>78</v>
      </c>
      <c r="J31" t="s">
        <v>317</v>
      </c>
      <c r="K31" t="s">
        <v>62</v>
      </c>
      <c r="L31" t="s">
        <v>91</v>
      </c>
      <c r="M31" t="s">
        <v>92</v>
      </c>
      <c r="N31" t="s">
        <v>446</v>
      </c>
      <c r="O31" t="s">
        <v>65</v>
      </c>
      <c r="P31" t="str">
        <f>"INVOICE 00116606 CT093201     "</f>
        <v xml:space="preserve">INVOICE 00116606 CT093201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24.06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0.2</v>
      </c>
      <c r="BJ31">
        <v>1.9</v>
      </c>
      <c r="BK31">
        <v>2</v>
      </c>
      <c r="BL31" s="4">
        <v>72.66</v>
      </c>
      <c r="BM31" s="4">
        <v>10.9</v>
      </c>
      <c r="BN31" s="4">
        <v>83.56</v>
      </c>
      <c r="BO31" s="4">
        <v>83.56</v>
      </c>
      <c r="BQ31" t="s">
        <v>447</v>
      </c>
      <c r="BR31" t="s">
        <v>320</v>
      </c>
      <c r="BS31" s="1">
        <v>45750</v>
      </c>
      <c r="BT31" s="2">
        <v>0.31944444444444442</v>
      </c>
      <c r="BU31" t="s">
        <v>448</v>
      </c>
      <c r="BV31" t="s">
        <v>66</v>
      </c>
      <c r="BW31" t="s">
        <v>71</v>
      </c>
      <c r="BX31" t="s">
        <v>218</v>
      </c>
      <c r="BY31">
        <v>9467.64</v>
      </c>
      <c r="BZ31" t="s">
        <v>79</v>
      </c>
      <c r="CA31" t="s">
        <v>449</v>
      </c>
      <c r="CC31" t="s">
        <v>92</v>
      </c>
      <c r="CD31" s="3" t="s">
        <v>94</v>
      </c>
      <c r="CE31" t="s">
        <v>393</v>
      </c>
      <c r="CF31" s="1">
        <v>45751</v>
      </c>
      <c r="CI31">
        <v>1</v>
      </c>
      <c r="CJ31">
        <v>2</v>
      </c>
      <c r="CK31">
        <v>21</v>
      </c>
      <c r="CL31" t="s">
        <v>66</v>
      </c>
    </row>
    <row r="32" spans="1:90" x14ac:dyDescent="0.3">
      <c r="A32" t="s">
        <v>315</v>
      </c>
      <c r="B32" t="s">
        <v>316</v>
      </c>
      <c r="C32" t="s">
        <v>59</v>
      </c>
      <c r="E32" t="str">
        <f>"GAB2025279"</f>
        <v>GAB2025279</v>
      </c>
      <c r="F32" s="1">
        <v>45748</v>
      </c>
      <c r="G32">
        <v>202601</v>
      </c>
      <c r="H32" t="s">
        <v>77</v>
      </c>
      <c r="I32" t="s">
        <v>78</v>
      </c>
      <c r="J32" t="s">
        <v>317</v>
      </c>
      <c r="K32" t="s">
        <v>62</v>
      </c>
      <c r="L32" t="s">
        <v>142</v>
      </c>
      <c r="M32" t="s">
        <v>143</v>
      </c>
      <c r="N32" t="s">
        <v>450</v>
      </c>
      <c r="O32" t="s">
        <v>65</v>
      </c>
      <c r="P32" t="str">
        <f>"MICHELLE FICK                 "</f>
        <v xml:space="preserve">MICHELLE FICK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30.07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2.1</v>
      </c>
      <c r="BK32">
        <v>2.5</v>
      </c>
      <c r="BL32" s="4">
        <v>90.81</v>
      </c>
      <c r="BM32" s="4">
        <v>13.62</v>
      </c>
      <c r="BN32" s="4">
        <v>104.43</v>
      </c>
      <c r="BO32" s="4">
        <v>104.43</v>
      </c>
      <c r="BQ32" t="s">
        <v>451</v>
      </c>
      <c r="BR32" t="s">
        <v>320</v>
      </c>
      <c r="BS32" s="1">
        <v>45750</v>
      </c>
      <c r="BT32" s="2">
        <v>0.35555555555555557</v>
      </c>
      <c r="BU32" t="s">
        <v>452</v>
      </c>
      <c r="BV32" t="s">
        <v>66</v>
      </c>
      <c r="BW32" t="s">
        <v>71</v>
      </c>
      <c r="BX32" t="s">
        <v>99</v>
      </c>
      <c r="BY32">
        <v>10649.6</v>
      </c>
      <c r="BZ32" t="s">
        <v>79</v>
      </c>
      <c r="CA32" t="s">
        <v>453</v>
      </c>
      <c r="CC32" t="s">
        <v>143</v>
      </c>
      <c r="CD32" s="3" t="s">
        <v>144</v>
      </c>
      <c r="CE32" t="s">
        <v>454</v>
      </c>
      <c r="CF32" s="1">
        <v>45750</v>
      </c>
      <c r="CI32">
        <v>1</v>
      </c>
      <c r="CJ32">
        <v>2</v>
      </c>
      <c r="CK32">
        <v>21</v>
      </c>
      <c r="CL32" t="s">
        <v>66</v>
      </c>
    </row>
    <row r="33" spans="1:90" x14ac:dyDescent="0.3">
      <c r="A33" t="s">
        <v>315</v>
      </c>
      <c r="B33" t="s">
        <v>316</v>
      </c>
      <c r="C33" t="s">
        <v>59</v>
      </c>
      <c r="E33" t="str">
        <f>"GAB2025280"</f>
        <v>GAB2025280</v>
      </c>
      <c r="F33" s="1">
        <v>45748</v>
      </c>
      <c r="G33">
        <v>202601</v>
      </c>
      <c r="H33" t="s">
        <v>77</v>
      </c>
      <c r="I33" t="s">
        <v>78</v>
      </c>
      <c r="J33" t="s">
        <v>317</v>
      </c>
      <c r="K33" t="s">
        <v>62</v>
      </c>
      <c r="L33" t="s">
        <v>106</v>
      </c>
      <c r="M33" t="s">
        <v>107</v>
      </c>
      <c r="N33" t="s">
        <v>455</v>
      </c>
      <c r="O33" t="s">
        <v>65</v>
      </c>
      <c r="P33" t="str">
        <f>"INVOICE 00116614 CT093613     "</f>
        <v xml:space="preserve">INVOICE 00116614 CT093613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24.06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16.739999999999998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0.2</v>
      </c>
      <c r="BJ33">
        <v>2</v>
      </c>
      <c r="BK33">
        <v>2</v>
      </c>
      <c r="BL33" s="4">
        <v>89.4</v>
      </c>
      <c r="BM33" s="4">
        <v>13.41</v>
      </c>
      <c r="BN33" s="4">
        <v>102.81</v>
      </c>
      <c r="BO33" s="4">
        <v>102.81</v>
      </c>
      <c r="BQ33" t="s">
        <v>456</v>
      </c>
      <c r="BR33" t="s">
        <v>320</v>
      </c>
      <c r="BS33" s="1">
        <v>45750</v>
      </c>
      <c r="BT33" s="2">
        <v>0.43333333333333335</v>
      </c>
      <c r="BU33" t="s">
        <v>457</v>
      </c>
      <c r="BV33" t="s">
        <v>66</v>
      </c>
      <c r="BW33" t="s">
        <v>71</v>
      </c>
      <c r="BX33" t="s">
        <v>128</v>
      </c>
      <c r="BY33">
        <v>9985.68</v>
      </c>
      <c r="BZ33" t="s">
        <v>97</v>
      </c>
      <c r="CA33" t="s">
        <v>458</v>
      </c>
      <c r="CC33" t="s">
        <v>107</v>
      </c>
      <c r="CD33">
        <v>1475</v>
      </c>
      <c r="CE33" t="s">
        <v>343</v>
      </c>
      <c r="CF33" s="1">
        <v>45750</v>
      </c>
      <c r="CI33">
        <v>1</v>
      </c>
      <c r="CJ33">
        <v>2</v>
      </c>
      <c r="CK33">
        <v>21</v>
      </c>
      <c r="CL33" t="s">
        <v>66</v>
      </c>
    </row>
    <row r="34" spans="1:90" x14ac:dyDescent="0.3">
      <c r="A34" t="s">
        <v>315</v>
      </c>
      <c r="B34" t="s">
        <v>316</v>
      </c>
      <c r="C34" t="s">
        <v>59</v>
      </c>
      <c r="E34" t="str">
        <f>"GAB2025281"</f>
        <v>GAB2025281</v>
      </c>
      <c r="F34" s="1">
        <v>45748</v>
      </c>
      <c r="G34">
        <v>202601</v>
      </c>
      <c r="H34" t="s">
        <v>77</v>
      </c>
      <c r="I34" t="s">
        <v>78</v>
      </c>
      <c r="J34" t="s">
        <v>317</v>
      </c>
      <c r="K34" t="s">
        <v>62</v>
      </c>
      <c r="L34" t="s">
        <v>77</v>
      </c>
      <c r="M34" t="s">
        <v>78</v>
      </c>
      <c r="N34" t="s">
        <v>459</v>
      </c>
      <c r="O34" t="s">
        <v>65</v>
      </c>
      <c r="P34" t="str">
        <f>"INVOICE 00116617 CT093610     "</f>
        <v xml:space="preserve">INVOICE 00116617 CT093610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18.79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0.3</v>
      </c>
      <c r="BJ34">
        <v>2.2999999999999998</v>
      </c>
      <c r="BK34">
        <v>3</v>
      </c>
      <c r="BL34" s="4">
        <v>56.75</v>
      </c>
      <c r="BM34" s="4">
        <v>8.51</v>
      </c>
      <c r="BN34" s="4">
        <v>65.260000000000005</v>
      </c>
      <c r="BO34" s="4">
        <v>65.260000000000005</v>
      </c>
      <c r="BQ34" t="s">
        <v>460</v>
      </c>
      <c r="BR34" t="s">
        <v>320</v>
      </c>
      <c r="BS34" s="1">
        <v>45750</v>
      </c>
      <c r="BT34" s="2">
        <v>0.33333333333333331</v>
      </c>
      <c r="BU34" t="s">
        <v>252</v>
      </c>
      <c r="BV34" t="s">
        <v>66</v>
      </c>
      <c r="BW34" t="s">
        <v>71</v>
      </c>
      <c r="BX34" t="s">
        <v>461</v>
      </c>
      <c r="BY34">
        <v>11383.52</v>
      </c>
      <c r="BZ34" t="s">
        <v>79</v>
      </c>
      <c r="CC34" t="s">
        <v>78</v>
      </c>
      <c r="CD34">
        <v>7700</v>
      </c>
      <c r="CE34" t="s">
        <v>382</v>
      </c>
      <c r="CF34" s="1">
        <v>45751</v>
      </c>
      <c r="CI34">
        <v>1</v>
      </c>
      <c r="CJ34">
        <v>2</v>
      </c>
      <c r="CK34">
        <v>22</v>
      </c>
      <c r="CL34" t="s">
        <v>66</v>
      </c>
    </row>
    <row r="35" spans="1:90" x14ac:dyDescent="0.3">
      <c r="A35" t="s">
        <v>315</v>
      </c>
      <c r="B35" t="s">
        <v>316</v>
      </c>
      <c r="C35" t="s">
        <v>59</v>
      </c>
      <c r="E35" t="str">
        <f>"GAB2025282"</f>
        <v>GAB2025282</v>
      </c>
      <c r="F35" s="1">
        <v>45748</v>
      </c>
      <c r="G35">
        <v>202601</v>
      </c>
      <c r="H35" t="s">
        <v>77</v>
      </c>
      <c r="I35" t="s">
        <v>78</v>
      </c>
      <c r="J35" t="s">
        <v>317</v>
      </c>
      <c r="K35" t="s">
        <v>62</v>
      </c>
      <c r="L35" t="s">
        <v>102</v>
      </c>
      <c r="M35" t="s">
        <v>102</v>
      </c>
      <c r="N35" t="s">
        <v>462</v>
      </c>
      <c r="O35" t="s">
        <v>65</v>
      </c>
      <c r="P35" t="str">
        <f>"INVOICE 00116618 CT093616     "</f>
        <v xml:space="preserve">INVOICE 00116618 CT093616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33.83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0.2</v>
      </c>
      <c r="BJ35">
        <v>1.8</v>
      </c>
      <c r="BK35">
        <v>2</v>
      </c>
      <c r="BL35" s="4">
        <v>102.18</v>
      </c>
      <c r="BM35" s="4">
        <v>15.33</v>
      </c>
      <c r="BN35" s="4">
        <v>117.51</v>
      </c>
      <c r="BO35" s="4">
        <v>117.51</v>
      </c>
      <c r="BQ35" t="s">
        <v>463</v>
      </c>
      <c r="BR35" t="s">
        <v>320</v>
      </c>
      <c r="BS35" s="1">
        <v>45749</v>
      </c>
      <c r="BT35" s="2">
        <v>0.49583333333333335</v>
      </c>
      <c r="BU35" t="s">
        <v>464</v>
      </c>
      <c r="BV35" t="s">
        <v>74</v>
      </c>
      <c r="BY35">
        <v>8918.91</v>
      </c>
      <c r="BZ35" t="s">
        <v>79</v>
      </c>
      <c r="CA35" t="s">
        <v>104</v>
      </c>
      <c r="CC35" t="s">
        <v>102</v>
      </c>
      <c r="CD35">
        <v>7646</v>
      </c>
      <c r="CE35" t="s">
        <v>343</v>
      </c>
      <c r="CF35" s="1">
        <v>45750</v>
      </c>
      <c r="CI35">
        <v>1</v>
      </c>
      <c r="CJ35">
        <v>1</v>
      </c>
      <c r="CK35">
        <v>24</v>
      </c>
      <c r="CL35" t="s">
        <v>66</v>
      </c>
    </row>
    <row r="36" spans="1:90" x14ac:dyDescent="0.3">
      <c r="A36" t="s">
        <v>315</v>
      </c>
      <c r="B36" t="s">
        <v>316</v>
      </c>
      <c r="C36" t="s">
        <v>59</v>
      </c>
      <c r="E36" t="str">
        <f>"GAB2025284"</f>
        <v>GAB2025284</v>
      </c>
      <c r="F36" s="1">
        <v>45748</v>
      </c>
      <c r="G36">
        <v>202601</v>
      </c>
      <c r="H36" t="s">
        <v>77</v>
      </c>
      <c r="I36" t="s">
        <v>78</v>
      </c>
      <c r="J36" t="s">
        <v>317</v>
      </c>
      <c r="K36" t="s">
        <v>62</v>
      </c>
      <c r="L36" t="s">
        <v>95</v>
      </c>
      <c r="M36" t="s">
        <v>96</v>
      </c>
      <c r="N36" t="s">
        <v>465</v>
      </c>
      <c r="O36" t="s">
        <v>65</v>
      </c>
      <c r="P36" t="str">
        <f>"INVOICES 00034194 ORDGS031321 "</f>
        <v xml:space="preserve">INVOICES 00034194 ORDGS031321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30.07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0.2</v>
      </c>
      <c r="BJ36">
        <v>2.2999999999999998</v>
      </c>
      <c r="BK36">
        <v>2.5</v>
      </c>
      <c r="BL36" s="4">
        <v>90.81</v>
      </c>
      <c r="BM36" s="4">
        <v>13.62</v>
      </c>
      <c r="BN36" s="4">
        <v>104.43</v>
      </c>
      <c r="BO36" s="4">
        <v>104.43</v>
      </c>
      <c r="BQ36" t="s">
        <v>466</v>
      </c>
      <c r="BR36" t="s">
        <v>320</v>
      </c>
      <c r="BS36" s="1">
        <v>45750</v>
      </c>
      <c r="BT36" s="2">
        <v>0.37013888888888891</v>
      </c>
      <c r="BU36" t="s">
        <v>467</v>
      </c>
      <c r="BV36" t="s">
        <v>66</v>
      </c>
      <c r="BW36" t="s">
        <v>71</v>
      </c>
      <c r="BX36" t="s">
        <v>468</v>
      </c>
      <c r="BY36">
        <v>11524</v>
      </c>
      <c r="BZ36" t="s">
        <v>79</v>
      </c>
      <c r="CA36" t="s">
        <v>469</v>
      </c>
      <c r="CC36" t="s">
        <v>96</v>
      </c>
      <c r="CD36">
        <v>2000</v>
      </c>
      <c r="CE36" t="s">
        <v>393</v>
      </c>
      <c r="CF36" s="1">
        <v>45750</v>
      </c>
      <c r="CI36">
        <v>1</v>
      </c>
      <c r="CJ36">
        <v>2</v>
      </c>
      <c r="CK36">
        <v>21</v>
      </c>
      <c r="CL36" t="s">
        <v>66</v>
      </c>
    </row>
    <row r="37" spans="1:90" x14ac:dyDescent="0.3">
      <c r="A37" t="s">
        <v>315</v>
      </c>
      <c r="B37" t="s">
        <v>316</v>
      </c>
      <c r="C37" t="s">
        <v>59</v>
      </c>
      <c r="E37" t="str">
        <f>"GAB2025288"</f>
        <v>GAB2025288</v>
      </c>
      <c r="F37" s="1">
        <v>45748</v>
      </c>
      <c r="G37">
        <v>202601</v>
      </c>
      <c r="H37" t="s">
        <v>77</v>
      </c>
      <c r="I37" t="s">
        <v>78</v>
      </c>
      <c r="J37" t="s">
        <v>317</v>
      </c>
      <c r="K37" t="s">
        <v>62</v>
      </c>
      <c r="L37" t="s">
        <v>470</v>
      </c>
      <c r="M37" t="s">
        <v>471</v>
      </c>
      <c r="N37" t="s">
        <v>472</v>
      </c>
      <c r="O37" t="s">
        <v>65</v>
      </c>
      <c r="P37" t="str">
        <f>"INVOICE 00116577 00116624 CT09"</f>
        <v>INVOICE 00116577 00116624 CT09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46.61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16.739999999999998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0.8</v>
      </c>
      <c r="BJ37">
        <v>1.7</v>
      </c>
      <c r="BK37">
        <v>2</v>
      </c>
      <c r="BL37" s="4">
        <v>157.51</v>
      </c>
      <c r="BM37" s="4">
        <v>23.63</v>
      </c>
      <c r="BN37" s="4">
        <v>181.14</v>
      </c>
      <c r="BO37" s="4">
        <v>181.14</v>
      </c>
      <c r="BQ37" t="s">
        <v>473</v>
      </c>
      <c r="BR37" t="s">
        <v>320</v>
      </c>
      <c r="BS37" s="1">
        <v>45750</v>
      </c>
      <c r="BT37" s="2">
        <v>0.51666666666666672</v>
      </c>
      <c r="BU37" t="s">
        <v>474</v>
      </c>
      <c r="BV37" t="s">
        <v>66</v>
      </c>
      <c r="BW37" t="s">
        <v>71</v>
      </c>
      <c r="BX37" t="s">
        <v>475</v>
      </c>
      <c r="BY37">
        <v>8363.52</v>
      </c>
      <c r="BZ37" t="s">
        <v>97</v>
      </c>
      <c r="CC37" t="s">
        <v>471</v>
      </c>
      <c r="CD37">
        <v>2745</v>
      </c>
      <c r="CE37" t="s">
        <v>476</v>
      </c>
      <c r="CF37" s="1">
        <v>45751</v>
      </c>
      <c r="CI37">
        <v>2</v>
      </c>
      <c r="CJ37">
        <v>2</v>
      </c>
      <c r="CK37">
        <v>23</v>
      </c>
      <c r="CL37" t="s">
        <v>66</v>
      </c>
    </row>
    <row r="38" spans="1:90" x14ac:dyDescent="0.3">
      <c r="A38" t="s">
        <v>315</v>
      </c>
      <c r="B38" t="s">
        <v>316</v>
      </c>
      <c r="C38" t="s">
        <v>59</v>
      </c>
      <c r="E38" t="str">
        <f>"GAB2025291"</f>
        <v>GAB2025291</v>
      </c>
      <c r="F38" s="1">
        <v>45748</v>
      </c>
      <c r="G38">
        <v>202601</v>
      </c>
      <c r="H38" t="s">
        <v>77</v>
      </c>
      <c r="I38" t="s">
        <v>78</v>
      </c>
      <c r="J38" t="s">
        <v>317</v>
      </c>
      <c r="K38" t="s">
        <v>62</v>
      </c>
      <c r="L38" t="s">
        <v>413</v>
      </c>
      <c r="M38" t="s">
        <v>414</v>
      </c>
      <c r="N38" t="s">
        <v>477</v>
      </c>
      <c r="O38" t="s">
        <v>65</v>
      </c>
      <c r="P38" t="str">
        <f>"INVOICE 00116628 CT093624     "</f>
        <v xml:space="preserve">INVOICE 00116628 CT093624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36.08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0.3</v>
      </c>
      <c r="BJ38">
        <v>2.6</v>
      </c>
      <c r="BK38">
        <v>3</v>
      </c>
      <c r="BL38" s="4">
        <v>108.96</v>
      </c>
      <c r="BM38" s="4">
        <v>16.34</v>
      </c>
      <c r="BN38" s="4">
        <v>125.3</v>
      </c>
      <c r="BO38" s="4">
        <v>125.3</v>
      </c>
      <c r="BQ38" t="s">
        <v>478</v>
      </c>
      <c r="BR38" t="s">
        <v>320</v>
      </c>
      <c r="BS38" s="1">
        <v>45750</v>
      </c>
      <c r="BT38" s="2">
        <v>0.54166666666666663</v>
      </c>
      <c r="BU38" t="s">
        <v>479</v>
      </c>
      <c r="BV38" t="s">
        <v>66</v>
      </c>
      <c r="BW38" t="s">
        <v>71</v>
      </c>
      <c r="BX38" t="s">
        <v>418</v>
      </c>
      <c r="BY38">
        <v>12880.35</v>
      </c>
      <c r="BZ38" t="s">
        <v>79</v>
      </c>
      <c r="CC38" t="s">
        <v>414</v>
      </c>
      <c r="CD38">
        <v>8301</v>
      </c>
      <c r="CE38" t="s">
        <v>389</v>
      </c>
      <c r="CF38" s="1">
        <v>45751</v>
      </c>
      <c r="CI38">
        <v>2</v>
      </c>
      <c r="CJ38">
        <v>2</v>
      </c>
      <c r="CK38">
        <v>21</v>
      </c>
      <c r="CL38" t="s">
        <v>66</v>
      </c>
    </row>
    <row r="39" spans="1:90" x14ac:dyDescent="0.3">
      <c r="A39" t="s">
        <v>315</v>
      </c>
      <c r="B39" t="s">
        <v>316</v>
      </c>
      <c r="C39" t="s">
        <v>59</v>
      </c>
      <c r="E39" t="str">
        <f>"GAB2025292"</f>
        <v>GAB2025292</v>
      </c>
      <c r="F39" s="1">
        <v>45748</v>
      </c>
      <c r="G39">
        <v>202601</v>
      </c>
      <c r="H39" t="s">
        <v>77</v>
      </c>
      <c r="I39" t="s">
        <v>78</v>
      </c>
      <c r="J39" t="s">
        <v>317</v>
      </c>
      <c r="K39" t="s">
        <v>62</v>
      </c>
      <c r="L39" t="s">
        <v>95</v>
      </c>
      <c r="M39" t="s">
        <v>96</v>
      </c>
      <c r="N39" t="s">
        <v>480</v>
      </c>
      <c r="O39" t="s">
        <v>65</v>
      </c>
      <c r="P39" t="str">
        <f>"INVOICE 00116625 CT093617     "</f>
        <v xml:space="preserve">INVOICE 00116625 CT093617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24.06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16.739999999999998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0.2</v>
      </c>
      <c r="BJ39">
        <v>2</v>
      </c>
      <c r="BK39">
        <v>2</v>
      </c>
      <c r="BL39" s="4">
        <v>89.4</v>
      </c>
      <c r="BM39" s="4">
        <v>13.41</v>
      </c>
      <c r="BN39" s="4">
        <v>102.81</v>
      </c>
      <c r="BO39" s="4">
        <v>102.81</v>
      </c>
      <c r="BR39" t="s">
        <v>320</v>
      </c>
      <c r="BS39" s="1">
        <v>45750</v>
      </c>
      <c r="BT39" s="2">
        <v>0.64652777777777781</v>
      </c>
      <c r="BU39" t="s">
        <v>481</v>
      </c>
      <c r="BV39" t="s">
        <v>66</v>
      </c>
      <c r="BY39">
        <v>10241.19</v>
      </c>
      <c r="BZ39" t="s">
        <v>97</v>
      </c>
      <c r="CA39" t="s">
        <v>482</v>
      </c>
      <c r="CC39" t="s">
        <v>96</v>
      </c>
      <c r="CD39">
        <v>1827</v>
      </c>
      <c r="CE39" t="s">
        <v>343</v>
      </c>
      <c r="CF39" s="1">
        <v>45751</v>
      </c>
      <c r="CI39">
        <v>0</v>
      </c>
      <c r="CJ39">
        <v>0</v>
      </c>
      <c r="CK39">
        <v>21</v>
      </c>
      <c r="CL39" t="s">
        <v>66</v>
      </c>
    </row>
    <row r="40" spans="1:90" x14ac:dyDescent="0.3">
      <c r="A40" t="s">
        <v>315</v>
      </c>
      <c r="B40" t="s">
        <v>316</v>
      </c>
      <c r="C40" t="s">
        <v>59</v>
      </c>
      <c r="E40" t="str">
        <f>"GAB2025293"</f>
        <v>GAB2025293</v>
      </c>
      <c r="F40" s="1">
        <v>45748</v>
      </c>
      <c r="G40">
        <v>202601</v>
      </c>
      <c r="H40" t="s">
        <v>77</v>
      </c>
      <c r="I40" t="s">
        <v>78</v>
      </c>
      <c r="J40" t="s">
        <v>317</v>
      </c>
      <c r="K40" t="s">
        <v>62</v>
      </c>
      <c r="L40" t="s">
        <v>83</v>
      </c>
      <c r="M40" t="s">
        <v>84</v>
      </c>
      <c r="N40" t="s">
        <v>483</v>
      </c>
      <c r="O40" t="s">
        <v>65</v>
      </c>
      <c r="P40" t="str">
        <f>"INVOICE 00034195 ORDGS031355  "</f>
        <v xml:space="preserve">INVOICE 00034195 ORDGS031355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24.06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0.3</v>
      </c>
      <c r="BJ40">
        <v>1.9</v>
      </c>
      <c r="BK40">
        <v>2</v>
      </c>
      <c r="BL40" s="4">
        <v>72.66</v>
      </c>
      <c r="BM40" s="4">
        <v>10.9</v>
      </c>
      <c r="BN40" s="4">
        <v>83.56</v>
      </c>
      <c r="BO40" s="4">
        <v>83.56</v>
      </c>
      <c r="BQ40" t="s">
        <v>395</v>
      </c>
      <c r="BR40" t="s">
        <v>320</v>
      </c>
      <c r="BS40" s="1">
        <v>45750</v>
      </c>
      <c r="BT40" s="2">
        <v>0.39305555555555555</v>
      </c>
      <c r="BU40" t="s">
        <v>484</v>
      </c>
      <c r="BV40" t="s">
        <v>66</v>
      </c>
      <c r="BY40">
        <v>9344.16</v>
      </c>
      <c r="BZ40" t="s">
        <v>79</v>
      </c>
      <c r="CA40" t="s">
        <v>176</v>
      </c>
      <c r="CC40" t="s">
        <v>84</v>
      </c>
      <c r="CD40">
        <v>3201</v>
      </c>
      <c r="CE40" t="s">
        <v>343</v>
      </c>
      <c r="CF40" s="1">
        <v>45750</v>
      </c>
      <c r="CI40">
        <v>1</v>
      </c>
      <c r="CJ40">
        <v>2</v>
      </c>
      <c r="CK40">
        <v>21</v>
      </c>
      <c r="CL40" t="s">
        <v>66</v>
      </c>
    </row>
    <row r="41" spans="1:90" x14ac:dyDescent="0.3">
      <c r="A41" t="s">
        <v>315</v>
      </c>
      <c r="B41" t="s">
        <v>316</v>
      </c>
      <c r="C41" t="s">
        <v>59</v>
      </c>
      <c r="E41" t="str">
        <f>"GAB2025294"</f>
        <v>GAB2025294</v>
      </c>
      <c r="F41" s="1">
        <v>45748</v>
      </c>
      <c r="G41">
        <v>202601</v>
      </c>
      <c r="H41" t="s">
        <v>77</v>
      </c>
      <c r="I41" t="s">
        <v>78</v>
      </c>
      <c r="J41" t="s">
        <v>317</v>
      </c>
      <c r="K41" t="s">
        <v>62</v>
      </c>
      <c r="L41" t="s">
        <v>89</v>
      </c>
      <c r="M41" t="s">
        <v>90</v>
      </c>
      <c r="N41" t="s">
        <v>485</v>
      </c>
      <c r="O41" t="s">
        <v>65</v>
      </c>
      <c r="P41" t="str">
        <f>"INVOICE 00034196 ORDGS031617  "</f>
        <v xml:space="preserve">INVOICE 00034196 ORDGS031617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36.08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0.3</v>
      </c>
      <c r="BJ41">
        <v>2.6</v>
      </c>
      <c r="BK41">
        <v>3</v>
      </c>
      <c r="BL41" s="4">
        <v>108.96</v>
      </c>
      <c r="BM41" s="4">
        <v>16.34</v>
      </c>
      <c r="BN41" s="4">
        <v>125.3</v>
      </c>
      <c r="BO41" s="4">
        <v>125.3</v>
      </c>
      <c r="BR41" t="s">
        <v>320</v>
      </c>
      <c r="BS41" s="1">
        <v>45750</v>
      </c>
      <c r="BT41" s="2">
        <v>0.5</v>
      </c>
      <c r="BU41" t="s">
        <v>258</v>
      </c>
      <c r="BV41" t="s">
        <v>66</v>
      </c>
      <c r="BW41" t="s">
        <v>112</v>
      </c>
      <c r="BX41" t="s">
        <v>113</v>
      </c>
      <c r="BY41">
        <v>13218.75</v>
      </c>
      <c r="BZ41" t="s">
        <v>79</v>
      </c>
      <c r="CA41" t="s">
        <v>269</v>
      </c>
      <c r="CC41" t="s">
        <v>90</v>
      </c>
      <c r="CD41">
        <v>4001</v>
      </c>
      <c r="CE41" t="s">
        <v>389</v>
      </c>
      <c r="CF41" s="1">
        <v>45751</v>
      </c>
      <c r="CI41">
        <v>2</v>
      </c>
      <c r="CJ41">
        <v>2</v>
      </c>
      <c r="CK41">
        <v>21</v>
      </c>
      <c r="CL41" t="s">
        <v>66</v>
      </c>
    </row>
    <row r="42" spans="1:90" x14ac:dyDescent="0.3">
      <c r="A42" t="s">
        <v>315</v>
      </c>
      <c r="B42" t="s">
        <v>316</v>
      </c>
      <c r="C42" t="s">
        <v>59</v>
      </c>
      <c r="E42" t="str">
        <f>"GAB2025295"</f>
        <v>GAB2025295</v>
      </c>
      <c r="F42" s="1">
        <v>45748</v>
      </c>
      <c r="G42">
        <v>202601</v>
      </c>
      <c r="H42" t="s">
        <v>77</v>
      </c>
      <c r="I42" t="s">
        <v>78</v>
      </c>
      <c r="J42" t="s">
        <v>317</v>
      </c>
      <c r="K42" t="s">
        <v>62</v>
      </c>
      <c r="L42" t="s">
        <v>89</v>
      </c>
      <c r="M42" t="s">
        <v>90</v>
      </c>
      <c r="N42" t="s">
        <v>486</v>
      </c>
      <c r="O42" t="s">
        <v>65</v>
      </c>
      <c r="P42" t="str">
        <f>"INVOICE 00034197 ORDGS031386  "</f>
        <v xml:space="preserve">INVOICE 00034197 ORDGS031386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30.07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0.4</v>
      </c>
      <c r="BJ42">
        <v>2.2999999999999998</v>
      </c>
      <c r="BK42">
        <v>2.5</v>
      </c>
      <c r="BL42" s="4">
        <v>90.81</v>
      </c>
      <c r="BM42" s="4">
        <v>13.62</v>
      </c>
      <c r="BN42" s="4">
        <v>104.43</v>
      </c>
      <c r="BO42" s="4">
        <v>104.43</v>
      </c>
      <c r="BQ42" t="s">
        <v>487</v>
      </c>
      <c r="BR42" t="s">
        <v>320</v>
      </c>
      <c r="BS42" s="1">
        <v>45750</v>
      </c>
      <c r="BT42" s="2">
        <v>0.38958333333333334</v>
      </c>
      <c r="BU42" t="s">
        <v>488</v>
      </c>
      <c r="BV42" t="s">
        <v>74</v>
      </c>
      <c r="BY42">
        <v>11531.1</v>
      </c>
      <c r="BZ42" t="s">
        <v>79</v>
      </c>
      <c r="CA42" t="s">
        <v>115</v>
      </c>
      <c r="CC42" t="s">
        <v>90</v>
      </c>
      <c r="CD42">
        <v>4068</v>
      </c>
      <c r="CE42" t="s">
        <v>382</v>
      </c>
      <c r="CF42" s="1">
        <v>45751</v>
      </c>
      <c r="CI42">
        <v>2</v>
      </c>
      <c r="CJ42">
        <v>2</v>
      </c>
      <c r="CK42">
        <v>21</v>
      </c>
      <c r="CL42" t="s">
        <v>66</v>
      </c>
    </row>
    <row r="43" spans="1:90" x14ac:dyDescent="0.3">
      <c r="A43" t="s">
        <v>489</v>
      </c>
      <c r="B43" t="s">
        <v>316</v>
      </c>
      <c r="C43" t="s">
        <v>59</v>
      </c>
      <c r="E43" t="str">
        <f>"009945076005"</f>
        <v>009945076005</v>
      </c>
      <c r="F43" s="1">
        <v>45748</v>
      </c>
      <c r="G43">
        <v>202601</v>
      </c>
      <c r="H43" t="s">
        <v>142</v>
      </c>
      <c r="I43" t="s">
        <v>143</v>
      </c>
      <c r="J43" t="s">
        <v>490</v>
      </c>
      <c r="K43" t="s">
        <v>62</v>
      </c>
      <c r="L43" t="s">
        <v>89</v>
      </c>
      <c r="M43" t="s">
        <v>90</v>
      </c>
      <c r="N43" t="s">
        <v>491</v>
      </c>
      <c r="O43" t="s">
        <v>65</v>
      </c>
      <c r="P43" t="str">
        <f>"NA                            "</f>
        <v xml:space="preserve">NA 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24.06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0.2</v>
      </c>
      <c r="BK43">
        <v>1</v>
      </c>
      <c r="BL43" s="4">
        <v>72.66</v>
      </c>
      <c r="BM43" s="4">
        <v>10.9</v>
      </c>
      <c r="BN43" s="4">
        <v>83.56</v>
      </c>
      <c r="BO43" s="4">
        <v>83.56</v>
      </c>
      <c r="BQ43" t="s">
        <v>492</v>
      </c>
      <c r="BR43" t="s">
        <v>493</v>
      </c>
      <c r="BS43" s="1">
        <v>45749</v>
      </c>
      <c r="BT43" s="2">
        <v>0.59166666666666667</v>
      </c>
      <c r="BU43" t="s">
        <v>494</v>
      </c>
      <c r="BV43" t="s">
        <v>66</v>
      </c>
      <c r="BY43">
        <v>1200</v>
      </c>
      <c r="BZ43" t="s">
        <v>79</v>
      </c>
      <c r="CC43" t="s">
        <v>90</v>
      </c>
      <c r="CD43">
        <v>4000</v>
      </c>
      <c r="CE43" t="s">
        <v>236</v>
      </c>
      <c r="CF43" s="1">
        <v>45755</v>
      </c>
      <c r="CI43">
        <v>1</v>
      </c>
      <c r="CJ43">
        <v>1</v>
      </c>
      <c r="CK43">
        <v>21</v>
      </c>
      <c r="CL43" t="s">
        <v>66</v>
      </c>
    </row>
    <row r="44" spans="1:90" x14ac:dyDescent="0.3">
      <c r="A44" t="s">
        <v>315</v>
      </c>
      <c r="B44" t="s">
        <v>316</v>
      </c>
      <c r="C44" t="s">
        <v>59</v>
      </c>
      <c r="E44" t="str">
        <f>"009944817294"</f>
        <v>009944817294</v>
      </c>
      <c r="F44" s="1">
        <v>45748</v>
      </c>
      <c r="G44">
        <v>202601</v>
      </c>
      <c r="H44" t="s">
        <v>100</v>
      </c>
      <c r="I44" t="s">
        <v>101</v>
      </c>
      <c r="J44" t="s">
        <v>495</v>
      </c>
      <c r="K44" t="s">
        <v>62</v>
      </c>
      <c r="L44" t="s">
        <v>142</v>
      </c>
      <c r="M44" t="s">
        <v>143</v>
      </c>
      <c r="N44" t="s">
        <v>496</v>
      </c>
      <c r="O44" t="s">
        <v>98</v>
      </c>
      <c r="P44" t="str">
        <f>"                              "</f>
        <v xml:space="preserve">   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5.57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46.52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8</v>
      </c>
      <c r="BJ44">
        <v>14.4</v>
      </c>
      <c r="BK44">
        <v>15</v>
      </c>
      <c r="BL44" s="4">
        <v>146.07</v>
      </c>
      <c r="BM44" s="4">
        <v>21.91</v>
      </c>
      <c r="BN44" s="4">
        <v>167.98</v>
      </c>
      <c r="BO44" s="4">
        <v>167.98</v>
      </c>
      <c r="BQ44" t="s">
        <v>497</v>
      </c>
      <c r="BR44" t="s">
        <v>498</v>
      </c>
      <c r="BS44" s="1">
        <v>45750</v>
      </c>
      <c r="BT44" s="2">
        <v>0.31527777777777777</v>
      </c>
      <c r="BU44" t="s">
        <v>452</v>
      </c>
      <c r="BV44" t="s">
        <v>74</v>
      </c>
      <c r="BY44">
        <v>72000</v>
      </c>
      <c r="BZ44" t="s">
        <v>114</v>
      </c>
      <c r="CA44" t="s">
        <v>453</v>
      </c>
      <c r="CC44" t="s">
        <v>143</v>
      </c>
      <c r="CD44" s="3" t="s">
        <v>499</v>
      </c>
      <c r="CE44" t="s">
        <v>76</v>
      </c>
      <c r="CF44" s="1">
        <v>45750</v>
      </c>
      <c r="CI44">
        <v>3</v>
      </c>
      <c r="CJ44">
        <v>2</v>
      </c>
      <c r="CK44">
        <v>41</v>
      </c>
      <c r="CL44" t="s">
        <v>66</v>
      </c>
    </row>
    <row r="45" spans="1:90" x14ac:dyDescent="0.3">
      <c r="A45" t="s">
        <v>315</v>
      </c>
      <c r="B45" t="s">
        <v>316</v>
      </c>
      <c r="C45" t="s">
        <v>59</v>
      </c>
      <c r="E45" t="str">
        <f>"080011465336"</f>
        <v>080011465336</v>
      </c>
      <c r="F45" s="1">
        <v>45749</v>
      </c>
      <c r="G45">
        <v>202601</v>
      </c>
      <c r="H45" t="s">
        <v>83</v>
      </c>
      <c r="I45" t="s">
        <v>84</v>
      </c>
      <c r="J45" t="s">
        <v>500</v>
      </c>
      <c r="K45" t="s">
        <v>62</v>
      </c>
      <c r="L45" t="s">
        <v>77</v>
      </c>
      <c r="M45" t="s">
        <v>78</v>
      </c>
      <c r="N45" t="s">
        <v>450</v>
      </c>
      <c r="O45" t="s">
        <v>98</v>
      </c>
      <c r="P45" t="str">
        <f>"-                             "</f>
        <v xml:space="preserve">- 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16.739999999999998</v>
      </c>
      <c r="Z45">
        <v>0</v>
      </c>
      <c r="AA45">
        <v>0</v>
      </c>
      <c r="AB45">
        <v>0</v>
      </c>
      <c r="AC45">
        <v>5.57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274.02999999999997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20</v>
      </c>
      <c r="BI45">
        <v>100</v>
      </c>
      <c r="BJ45">
        <v>145.1</v>
      </c>
      <c r="BK45">
        <v>146</v>
      </c>
      <c r="BL45" s="4">
        <v>898.6</v>
      </c>
      <c r="BM45" s="4">
        <v>134.79</v>
      </c>
      <c r="BN45" s="4">
        <v>1033.3900000000001</v>
      </c>
      <c r="BO45" s="4">
        <v>1033.3900000000001</v>
      </c>
      <c r="BP45" t="s">
        <v>501</v>
      </c>
      <c r="BQ45" t="s">
        <v>502</v>
      </c>
      <c r="BR45" t="s">
        <v>503</v>
      </c>
      <c r="BS45" s="1">
        <v>45754</v>
      </c>
      <c r="BT45" s="2">
        <v>0.45694444444444443</v>
      </c>
      <c r="BU45" t="s">
        <v>263</v>
      </c>
      <c r="BV45" t="s">
        <v>74</v>
      </c>
      <c r="BY45">
        <v>125932</v>
      </c>
      <c r="BZ45" t="s">
        <v>309</v>
      </c>
      <c r="CA45" t="s">
        <v>193</v>
      </c>
      <c r="CC45" t="s">
        <v>78</v>
      </c>
      <c r="CD45">
        <v>7485</v>
      </c>
      <c r="CE45" t="s">
        <v>504</v>
      </c>
      <c r="CF45" s="1">
        <v>45755</v>
      </c>
      <c r="CI45">
        <v>4</v>
      </c>
      <c r="CJ45">
        <v>3</v>
      </c>
      <c r="CK45">
        <v>41</v>
      </c>
      <c r="CL45" t="s">
        <v>66</v>
      </c>
    </row>
    <row r="46" spans="1:90" x14ac:dyDescent="0.3">
      <c r="A46" t="s">
        <v>315</v>
      </c>
      <c r="B46" t="s">
        <v>316</v>
      </c>
      <c r="C46" t="s">
        <v>59</v>
      </c>
      <c r="E46" t="str">
        <f>"080011481428"</f>
        <v>080011481428</v>
      </c>
      <c r="F46" s="1">
        <v>45749</v>
      </c>
      <c r="G46">
        <v>202601</v>
      </c>
      <c r="H46" t="s">
        <v>68</v>
      </c>
      <c r="I46" t="s">
        <v>69</v>
      </c>
      <c r="J46" t="s">
        <v>505</v>
      </c>
      <c r="K46" t="s">
        <v>62</v>
      </c>
      <c r="L46" t="s">
        <v>77</v>
      </c>
      <c r="M46" t="s">
        <v>78</v>
      </c>
      <c r="N46" t="s">
        <v>450</v>
      </c>
      <c r="O46" t="s">
        <v>98</v>
      </c>
      <c r="P46" t="str">
        <f>"Hester                        "</f>
        <v xml:space="preserve">Hester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5.57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42.76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5.4</v>
      </c>
      <c r="BJ46">
        <v>4.0999999999999996</v>
      </c>
      <c r="BK46">
        <v>6</v>
      </c>
      <c r="BL46" s="4">
        <v>142.31</v>
      </c>
      <c r="BM46" s="4">
        <v>21.35</v>
      </c>
      <c r="BN46" s="4">
        <v>163.66</v>
      </c>
      <c r="BO46" s="4">
        <v>163.66</v>
      </c>
      <c r="BP46" t="s">
        <v>81</v>
      </c>
      <c r="BQ46" t="s">
        <v>506</v>
      </c>
      <c r="BR46" t="s">
        <v>507</v>
      </c>
      <c r="BS46" s="1">
        <v>45754</v>
      </c>
      <c r="BT46" s="2">
        <v>0.45694444444444443</v>
      </c>
      <c r="BU46" t="s">
        <v>263</v>
      </c>
      <c r="BV46" t="s">
        <v>74</v>
      </c>
      <c r="BY46">
        <v>20412</v>
      </c>
      <c r="BZ46" t="s">
        <v>114</v>
      </c>
      <c r="CA46" t="s">
        <v>193</v>
      </c>
      <c r="CC46" t="s">
        <v>78</v>
      </c>
      <c r="CD46">
        <v>7460</v>
      </c>
      <c r="CE46" t="s">
        <v>82</v>
      </c>
      <c r="CF46" s="1">
        <v>45755</v>
      </c>
      <c r="CI46">
        <v>3</v>
      </c>
      <c r="CJ46">
        <v>3</v>
      </c>
      <c r="CK46">
        <v>41</v>
      </c>
      <c r="CL46" t="s">
        <v>66</v>
      </c>
    </row>
    <row r="47" spans="1:90" x14ac:dyDescent="0.3">
      <c r="A47" t="s">
        <v>315</v>
      </c>
      <c r="B47" t="s">
        <v>316</v>
      </c>
      <c r="C47" t="s">
        <v>59</v>
      </c>
      <c r="E47" t="str">
        <f>"GAB2025296"</f>
        <v>GAB2025296</v>
      </c>
      <c r="F47" s="1">
        <v>45749</v>
      </c>
      <c r="G47">
        <v>202601</v>
      </c>
      <c r="H47" t="s">
        <v>77</v>
      </c>
      <c r="I47" t="s">
        <v>78</v>
      </c>
      <c r="J47" t="s">
        <v>317</v>
      </c>
      <c r="K47" t="s">
        <v>62</v>
      </c>
      <c r="L47" t="s">
        <v>508</v>
      </c>
      <c r="M47" t="s">
        <v>509</v>
      </c>
      <c r="N47" t="s">
        <v>510</v>
      </c>
      <c r="O47" t="s">
        <v>98</v>
      </c>
      <c r="P47" t="str">
        <f>"INV-00116635 CT093524         "</f>
        <v xml:space="preserve">INV-00116635 CT093524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5.57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60.31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1.2</v>
      </c>
      <c r="BJ47">
        <v>2.5</v>
      </c>
      <c r="BK47">
        <v>3</v>
      </c>
      <c r="BL47" s="4">
        <v>198.43</v>
      </c>
      <c r="BM47" s="4">
        <v>29.76</v>
      </c>
      <c r="BN47" s="4">
        <v>228.19</v>
      </c>
      <c r="BO47" s="4">
        <v>228.19</v>
      </c>
      <c r="BQ47" t="s">
        <v>326</v>
      </c>
      <c r="BR47" t="s">
        <v>320</v>
      </c>
      <c r="BS47" s="1">
        <v>45754</v>
      </c>
      <c r="BT47" s="2">
        <v>0.4375</v>
      </c>
      <c r="BU47" t="s">
        <v>511</v>
      </c>
      <c r="BV47" t="s">
        <v>74</v>
      </c>
      <c r="BY47">
        <v>12406.2</v>
      </c>
      <c r="CA47" t="s">
        <v>512</v>
      </c>
      <c r="CC47" t="s">
        <v>509</v>
      </c>
      <c r="CD47">
        <v>9744</v>
      </c>
      <c r="CE47" t="s">
        <v>322</v>
      </c>
      <c r="CF47" s="1">
        <v>45755</v>
      </c>
      <c r="CI47">
        <v>7</v>
      </c>
      <c r="CJ47">
        <v>3</v>
      </c>
      <c r="CK47">
        <v>43</v>
      </c>
      <c r="CL47" t="s">
        <v>66</v>
      </c>
    </row>
    <row r="48" spans="1:90" x14ac:dyDescent="0.3">
      <c r="A48" t="s">
        <v>315</v>
      </c>
      <c r="B48" t="s">
        <v>316</v>
      </c>
      <c r="C48" t="s">
        <v>59</v>
      </c>
      <c r="E48" t="str">
        <f>"GAB2025297"</f>
        <v>GAB2025297</v>
      </c>
      <c r="F48" s="1">
        <v>45749</v>
      </c>
      <c r="G48">
        <v>202601</v>
      </c>
      <c r="H48" t="s">
        <v>77</v>
      </c>
      <c r="I48" t="s">
        <v>78</v>
      </c>
      <c r="J48" t="s">
        <v>317</v>
      </c>
      <c r="K48" t="s">
        <v>62</v>
      </c>
      <c r="L48" t="s">
        <v>63</v>
      </c>
      <c r="M48" t="s">
        <v>64</v>
      </c>
      <c r="N48" t="s">
        <v>318</v>
      </c>
      <c r="O48" t="s">
        <v>98</v>
      </c>
      <c r="P48" t="str">
        <f>"INV-00116638 CT093535         "</f>
        <v xml:space="preserve">INV-00116638 CT093535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5.57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95.72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3</v>
      </c>
      <c r="BI48">
        <v>19.100000000000001</v>
      </c>
      <c r="BJ48">
        <v>44.8</v>
      </c>
      <c r="BK48">
        <v>45</v>
      </c>
      <c r="BL48" s="4">
        <v>311.67</v>
      </c>
      <c r="BM48" s="4">
        <v>46.75</v>
      </c>
      <c r="BN48" s="4">
        <v>358.42</v>
      </c>
      <c r="BO48" s="4">
        <v>358.42</v>
      </c>
      <c r="BQ48" t="s">
        <v>319</v>
      </c>
      <c r="BR48" t="s">
        <v>320</v>
      </c>
      <c r="BS48" s="1">
        <v>45751</v>
      </c>
      <c r="BT48" s="2">
        <v>0.47013888888888888</v>
      </c>
      <c r="BU48" t="s">
        <v>513</v>
      </c>
      <c r="BV48" t="s">
        <v>74</v>
      </c>
      <c r="BY48">
        <v>223847.84</v>
      </c>
      <c r="CA48" t="s">
        <v>299</v>
      </c>
      <c r="CC48" t="s">
        <v>64</v>
      </c>
      <c r="CD48">
        <v>5201</v>
      </c>
      <c r="CE48" t="s">
        <v>322</v>
      </c>
      <c r="CF48" s="1">
        <v>45751</v>
      </c>
      <c r="CI48">
        <v>3</v>
      </c>
      <c r="CJ48">
        <v>2</v>
      </c>
      <c r="CK48">
        <v>41</v>
      </c>
      <c r="CL48" t="s">
        <v>66</v>
      </c>
    </row>
    <row r="49" spans="1:90" x14ac:dyDescent="0.3">
      <c r="A49" t="s">
        <v>315</v>
      </c>
      <c r="B49" t="s">
        <v>316</v>
      </c>
      <c r="C49" t="s">
        <v>59</v>
      </c>
      <c r="E49" t="str">
        <f>"GAB2025298"</f>
        <v>GAB2025298</v>
      </c>
      <c r="F49" s="1">
        <v>45749</v>
      </c>
      <c r="G49">
        <v>202601</v>
      </c>
      <c r="H49" t="s">
        <v>77</v>
      </c>
      <c r="I49" t="s">
        <v>78</v>
      </c>
      <c r="J49" t="s">
        <v>317</v>
      </c>
      <c r="K49" t="s">
        <v>62</v>
      </c>
      <c r="L49" t="s">
        <v>514</v>
      </c>
      <c r="M49" t="s">
        <v>515</v>
      </c>
      <c r="N49" t="s">
        <v>516</v>
      </c>
      <c r="O49" t="s">
        <v>98</v>
      </c>
      <c r="P49" t="str">
        <f>"INV-00116639 CT093408         "</f>
        <v xml:space="preserve">INV-00116639 CT093408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5.57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60.31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4</v>
      </c>
      <c r="BJ49">
        <v>6.3</v>
      </c>
      <c r="BK49">
        <v>7</v>
      </c>
      <c r="BL49" s="4">
        <v>198.43</v>
      </c>
      <c r="BM49" s="4">
        <v>29.76</v>
      </c>
      <c r="BN49" s="4">
        <v>228.19</v>
      </c>
      <c r="BO49" s="4">
        <v>228.19</v>
      </c>
      <c r="BR49" t="s">
        <v>320</v>
      </c>
      <c r="BS49" s="1">
        <v>45755</v>
      </c>
      <c r="BT49" s="2">
        <v>0.37638888888888888</v>
      </c>
      <c r="BU49" t="s">
        <v>517</v>
      </c>
      <c r="BV49" t="s">
        <v>74</v>
      </c>
      <c r="BY49">
        <v>31348.799999999999</v>
      </c>
      <c r="CC49" t="s">
        <v>515</v>
      </c>
      <c r="CD49">
        <v>5100</v>
      </c>
      <c r="CE49" t="s">
        <v>322</v>
      </c>
      <c r="CF49" s="1">
        <v>45756</v>
      </c>
      <c r="CI49">
        <v>4</v>
      </c>
      <c r="CJ49">
        <v>4</v>
      </c>
      <c r="CK49">
        <v>43</v>
      </c>
      <c r="CL49" t="s">
        <v>66</v>
      </c>
    </row>
    <row r="50" spans="1:90" x14ac:dyDescent="0.3">
      <c r="A50" t="s">
        <v>315</v>
      </c>
      <c r="B50" t="s">
        <v>316</v>
      </c>
      <c r="C50" t="s">
        <v>59</v>
      </c>
      <c r="E50" t="str">
        <f>"GAB2025302"</f>
        <v>GAB2025302</v>
      </c>
      <c r="F50" s="1">
        <v>45749</v>
      </c>
      <c r="G50">
        <v>202601</v>
      </c>
      <c r="H50" t="s">
        <v>77</v>
      </c>
      <c r="I50" t="s">
        <v>78</v>
      </c>
      <c r="J50" t="s">
        <v>317</v>
      </c>
      <c r="K50" t="s">
        <v>62</v>
      </c>
      <c r="L50" t="s">
        <v>518</v>
      </c>
      <c r="M50" t="s">
        <v>519</v>
      </c>
      <c r="N50" t="s">
        <v>520</v>
      </c>
      <c r="O50" t="s">
        <v>98</v>
      </c>
      <c r="P50" t="str">
        <f>"INV-00116637 00116636  CT09353"</f>
        <v>INV-00116637 00116636  CT09353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5.57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60.31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1.5</v>
      </c>
      <c r="BJ50">
        <v>2.2999999999999998</v>
      </c>
      <c r="BK50">
        <v>3</v>
      </c>
      <c r="BL50" s="4">
        <v>198.43</v>
      </c>
      <c r="BM50" s="4">
        <v>29.76</v>
      </c>
      <c r="BN50" s="4">
        <v>228.19</v>
      </c>
      <c r="BO50" s="4">
        <v>228.19</v>
      </c>
      <c r="BR50" t="s">
        <v>320</v>
      </c>
      <c r="BS50" s="1">
        <v>45755</v>
      </c>
      <c r="BT50" s="2">
        <v>0.53194444444444444</v>
      </c>
      <c r="BU50" t="s">
        <v>521</v>
      </c>
      <c r="BV50" t="s">
        <v>74</v>
      </c>
      <c r="BY50">
        <v>11548.12</v>
      </c>
      <c r="CC50" t="s">
        <v>519</v>
      </c>
      <c r="CD50">
        <v>5360</v>
      </c>
      <c r="CE50" t="s">
        <v>322</v>
      </c>
      <c r="CF50" s="1">
        <v>45761</v>
      </c>
      <c r="CI50">
        <v>7</v>
      </c>
      <c r="CJ50">
        <v>4</v>
      </c>
      <c r="CK50">
        <v>43</v>
      </c>
      <c r="CL50" t="s">
        <v>66</v>
      </c>
    </row>
    <row r="51" spans="1:90" x14ac:dyDescent="0.3">
      <c r="A51" t="s">
        <v>315</v>
      </c>
      <c r="B51" t="s">
        <v>316</v>
      </c>
      <c r="C51" t="s">
        <v>59</v>
      </c>
      <c r="E51" t="str">
        <f>"GAB2025308"</f>
        <v>GAB2025308</v>
      </c>
      <c r="F51" s="1">
        <v>45749</v>
      </c>
      <c r="G51">
        <v>202601</v>
      </c>
      <c r="H51" t="s">
        <v>77</v>
      </c>
      <c r="I51" t="s">
        <v>78</v>
      </c>
      <c r="J51" t="s">
        <v>317</v>
      </c>
      <c r="K51" t="s">
        <v>62</v>
      </c>
      <c r="L51" t="s">
        <v>313</v>
      </c>
      <c r="M51" t="s">
        <v>314</v>
      </c>
      <c r="N51" t="s">
        <v>522</v>
      </c>
      <c r="O51" t="s">
        <v>98</v>
      </c>
      <c r="P51" t="str">
        <f>"INV-00116653 CT093652         "</f>
        <v xml:space="preserve">INV-00116653 CT093652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5.57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63.95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8.8000000000000007</v>
      </c>
      <c r="BJ51">
        <v>26.6</v>
      </c>
      <c r="BK51">
        <v>27</v>
      </c>
      <c r="BL51" s="4">
        <v>210.06</v>
      </c>
      <c r="BM51" s="4">
        <v>31.51</v>
      </c>
      <c r="BN51" s="4">
        <v>241.57</v>
      </c>
      <c r="BO51" s="4">
        <v>241.57</v>
      </c>
      <c r="BQ51" t="s">
        <v>523</v>
      </c>
      <c r="BR51" t="s">
        <v>320</v>
      </c>
      <c r="BS51" s="1">
        <v>45754</v>
      </c>
      <c r="BT51" s="2">
        <v>0.39583333333333331</v>
      </c>
      <c r="BU51" t="s">
        <v>190</v>
      </c>
      <c r="BV51" t="s">
        <v>74</v>
      </c>
      <c r="BY51">
        <v>133095.5</v>
      </c>
      <c r="CA51" t="s">
        <v>524</v>
      </c>
      <c r="CC51" t="s">
        <v>314</v>
      </c>
      <c r="CD51">
        <v>1200</v>
      </c>
      <c r="CE51" t="s">
        <v>525</v>
      </c>
      <c r="CF51" s="1">
        <v>45754</v>
      </c>
      <c r="CI51">
        <v>3</v>
      </c>
      <c r="CJ51">
        <v>3</v>
      </c>
      <c r="CK51">
        <v>41</v>
      </c>
      <c r="CL51" t="s">
        <v>66</v>
      </c>
    </row>
    <row r="52" spans="1:90" x14ac:dyDescent="0.3">
      <c r="A52" t="s">
        <v>315</v>
      </c>
      <c r="B52" t="s">
        <v>316</v>
      </c>
      <c r="C52" t="s">
        <v>59</v>
      </c>
      <c r="E52" t="str">
        <f>"GAB2025309"</f>
        <v>GAB2025309</v>
      </c>
      <c r="F52" s="1">
        <v>45749</v>
      </c>
      <c r="G52">
        <v>202601</v>
      </c>
      <c r="H52" t="s">
        <v>77</v>
      </c>
      <c r="I52" t="s">
        <v>78</v>
      </c>
      <c r="J52" t="s">
        <v>317</v>
      </c>
      <c r="K52" t="s">
        <v>62</v>
      </c>
      <c r="L52" t="s">
        <v>526</v>
      </c>
      <c r="M52" t="s">
        <v>527</v>
      </c>
      <c r="N52" t="s">
        <v>528</v>
      </c>
      <c r="O52" t="s">
        <v>98</v>
      </c>
      <c r="P52" t="str">
        <f>"INV-00034239 031441           "</f>
        <v xml:space="preserve">INV-00034239 031441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5.57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60.31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1.5</v>
      </c>
      <c r="BJ52">
        <v>2.5</v>
      </c>
      <c r="BK52">
        <v>3</v>
      </c>
      <c r="BL52" s="4">
        <v>198.43</v>
      </c>
      <c r="BM52" s="4">
        <v>29.76</v>
      </c>
      <c r="BN52" s="4">
        <v>228.19</v>
      </c>
      <c r="BO52" s="4">
        <v>228.19</v>
      </c>
      <c r="BQ52" t="s">
        <v>529</v>
      </c>
      <c r="BR52" t="s">
        <v>320</v>
      </c>
      <c r="BS52" s="1">
        <v>45761</v>
      </c>
      <c r="BT52" s="2">
        <v>0.67361111111111116</v>
      </c>
      <c r="BU52" t="s">
        <v>530</v>
      </c>
      <c r="BV52" t="s">
        <v>66</v>
      </c>
      <c r="BW52" t="s">
        <v>197</v>
      </c>
      <c r="BX52" t="s">
        <v>531</v>
      </c>
      <c r="BY52">
        <v>12435.2</v>
      </c>
      <c r="CC52" t="s">
        <v>527</v>
      </c>
      <c r="CD52">
        <v>9795</v>
      </c>
      <c r="CE52" t="s">
        <v>322</v>
      </c>
      <c r="CF52" s="1">
        <v>45762</v>
      </c>
      <c r="CI52">
        <v>5</v>
      </c>
      <c r="CJ52">
        <v>8</v>
      </c>
      <c r="CK52">
        <v>43</v>
      </c>
      <c r="CL52" t="s">
        <v>66</v>
      </c>
    </row>
    <row r="53" spans="1:90" x14ac:dyDescent="0.3">
      <c r="A53" t="s">
        <v>315</v>
      </c>
      <c r="B53" t="s">
        <v>316</v>
      </c>
      <c r="C53" t="s">
        <v>59</v>
      </c>
      <c r="E53" t="str">
        <f>"GAB2025313"</f>
        <v>GAB2025313</v>
      </c>
      <c r="F53" s="1">
        <v>45749</v>
      </c>
      <c r="G53">
        <v>202601</v>
      </c>
      <c r="H53" t="s">
        <v>77</v>
      </c>
      <c r="I53" t="s">
        <v>78</v>
      </c>
      <c r="J53" t="s">
        <v>317</v>
      </c>
      <c r="K53" t="s">
        <v>62</v>
      </c>
      <c r="L53" t="s">
        <v>532</v>
      </c>
      <c r="M53" t="s">
        <v>533</v>
      </c>
      <c r="N53" t="s">
        <v>534</v>
      </c>
      <c r="O53" t="s">
        <v>98</v>
      </c>
      <c r="P53" t="str">
        <f>"INV-00116670 CT093653         "</f>
        <v xml:space="preserve">INV-00116670 CT093653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5.57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60.31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1.5</v>
      </c>
      <c r="BJ53">
        <v>6.8</v>
      </c>
      <c r="BK53">
        <v>7</v>
      </c>
      <c r="BL53" s="4">
        <v>198.43</v>
      </c>
      <c r="BM53" s="4">
        <v>29.76</v>
      </c>
      <c r="BN53" s="4">
        <v>228.19</v>
      </c>
      <c r="BO53" s="4">
        <v>228.19</v>
      </c>
      <c r="BQ53" t="s">
        <v>535</v>
      </c>
      <c r="BR53" t="s">
        <v>320</v>
      </c>
      <c r="BS53" s="1">
        <v>45754</v>
      </c>
      <c r="BT53" s="2">
        <v>0.54861111111111116</v>
      </c>
      <c r="BU53" t="s">
        <v>248</v>
      </c>
      <c r="BV53" t="s">
        <v>74</v>
      </c>
      <c r="BY53">
        <v>34065.9</v>
      </c>
      <c r="CA53" t="s">
        <v>536</v>
      </c>
      <c r="CC53" t="s">
        <v>533</v>
      </c>
      <c r="CD53">
        <v>9459</v>
      </c>
      <c r="CE53" t="s">
        <v>322</v>
      </c>
      <c r="CF53" s="1">
        <v>45754</v>
      </c>
      <c r="CI53">
        <v>4</v>
      </c>
      <c r="CJ53">
        <v>3</v>
      </c>
      <c r="CK53">
        <v>43</v>
      </c>
      <c r="CL53" t="s">
        <v>66</v>
      </c>
    </row>
    <row r="54" spans="1:90" x14ac:dyDescent="0.3">
      <c r="A54" t="s">
        <v>315</v>
      </c>
      <c r="B54" t="s">
        <v>316</v>
      </c>
      <c r="C54" t="s">
        <v>59</v>
      </c>
      <c r="E54" t="str">
        <f>"GAB2025314"</f>
        <v>GAB2025314</v>
      </c>
      <c r="F54" s="1">
        <v>45749</v>
      </c>
      <c r="G54">
        <v>202601</v>
      </c>
      <c r="H54" t="s">
        <v>77</v>
      </c>
      <c r="I54" t="s">
        <v>78</v>
      </c>
      <c r="J54" t="s">
        <v>317</v>
      </c>
      <c r="K54" t="s">
        <v>62</v>
      </c>
      <c r="L54" t="s">
        <v>142</v>
      </c>
      <c r="M54" t="s">
        <v>143</v>
      </c>
      <c r="N54" t="s">
        <v>537</v>
      </c>
      <c r="O54" t="s">
        <v>98</v>
      </c>
      <c r="P54" t="str">
        <f>"INV-00116672 CT092887         "</f>
        <v xml:space="preserve">INV-00116672 CT092887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5.57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113.38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7</v>
      </c>
      <c r="BI54">
        <v>17.2</v>
      </c>
      <c r="BJ54">
        <v>54.8</v>
      </c>
      <c r="BK54">
        <v>55</v>
      </c>
      <c r="BL54" s="4">
        <v>368.13</v>
      </c>
      <c r="BM54" s="4">
        <v>55.22</v>
      </c>
      <c r="BN54" s="4">
        <v>423.35</v>
      </c>
      <c r="BO54" s="4">
        <v>423.35</v>
      </c>
      <c r="BQ54" t="s">
        <v>538</v>
      </c>
      <c r="BR54" t="s">
        <v>320</v>
      </c>
      <c r="BS54" s="1">
        <v>45751</v>
      </c>
      <c r="BT54" s="2">
        <v>0.4375</v>
      </c>
      <c r="BU54" t="s">
        <v>539</v>
      </c>
      <c r="BV54" t="s">
        <v>74</v>
      </c>
      <c r="BY54">
        <v>273864.94</v>
      </c>
      <c r="CA54" t="s">
        <v>540</v>
      </c>
      <c r="CC54" t="s">
        <v>143</v>
      </c>
      <c r="CD54" s="3" t="s">
        <v>144</v>
      </c>
      <c r="CE54" t="s">
        <v>339</v>
      </c>
      <c r="CF54" s="1">
        <v>45751</v>
      </c>
      <c r="CI54">
        <v>3</v>
      </c>
      <c r="CJ54">
        <v>2</v>
      </c>
      <c r="CK54">
        <v>41</v>
      </c>
      <c r="CL54" t="s">
        <v>66</v>
      </c>
    </row>
    <row r="55" spans="1:90" x14ac:dyDescent="0.3">
      <c r="A55" t="s">
        <v>315</v>
      </c>
      <c r="B55" t="s">
        <v>316</v>
      </c>
      <c r="C55" t="s">
        <v>59</v>
      </c>
      <c r="E55" t="str">
        <f>"GAB2025317"</f>
        <v>GAB2025317</v>
      </c>
      <c r="F55" s="1">
        <v>45749</v>
      </c>
      <c r="G55">
        <v>202601</v>
      </c>
      <c r="H55" t="s">
        <v>77</v>
      </c>
      <c r="I55" t="s">
        <v>78</v>
      </c>
      <c r="J55" t="s">
        <v>317</v>
      </c>
      <c r="K55" t="s">
        <v>62</v>
      </c>
      <c r="L55" t="s">
        <v>131</v>
      </c>
      <c r="M55" t="s">
        <v>132</v>
      </c>
      <c r="N55" t="s">
        <v>541</v>
      </c>
      <c r="O55" t="s">
        <v>98</v>
      </c>
      <c r="P55" t="str">
        <f>"INV-00116677 CT093643         "</f>
        <v xml:space="preserve">INV-00116677 CT093643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5.57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94.19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2</v>
      </c>
      <c r="BI55">
        <v>8.4</v>
      </c>
      <c r="BJ55">
        <v>25.8</v>
      </c>
      <c r="BK55">
        <v>26</v>
      </c>
      <c r="BL55" s="4">
        <v>306.77999999999997</v>
      </c>
      <c r="BM55" s="4">
        <v>46.02</v>
      </c>
      <c r="BN55" s="4">
        <v>352.8</v>
      </c>
      <c r="BO55" s="4">
        <v>352.8</v>
      </c>
      <c r="BQ55" t="s">
        <v>542</v>
      </c>
      <c r="BR55" t="s">
        <v>320</v>
      </c>
      <c r="BS55" s="1">
        <v>45754</v>
      </c>
      <c r="BT55" s="2">
        <v>0.57777777777777772</v>
      </c>
      <c r="BU55" t="s">
        <v>543</v>
      </c>
      <c r="BV55" t="s">
        <v>74</v>
      </c>
      <c r="BY55">
        <v>128856.94</v>
      </c>
      <c r="CA55" t="s">
        <v>187</v>
      </c>
      <c r="CC55" t="s">
        <v>132</v>
      </c>
      <c r="CD55" s="3" t="s">
        <v>188</v>
      </c>
      <c r="CE55" t="s">
        <v>525</v>
      </c>
      <c r="CF55" s="1">
        <v>45755</v>
      </c>
      <c r="CI55">
        <v>3</v>
      </c>
      <c r="CJ55">
        <v>3</v>
      </c>
      <c r="CK55">
        <v>43</v>
      </c>
      <c r="CL55" t="s">
        <v>66</v>
      </c>
    </row>
    <row r="56" spans="1:90" x14ac:dyDescent="0.3">
      <c r="A56" t="s">
        <v>315</v>
      </c>
      <c r="B56" t="s">
        <v>316</v>
      </c>
      <c r="C56" t="s">
        <v>59</v>
      </c>
      <c r="E56" t="str">
        <f>"GAB2025318"</f>
        <v>GAB2025318</v>
      </c>
      <c r="F56" s="1">
        <v>45749</v>
      </c>
      <c r="G56">
        <v>202601</v>
      </c>
      <c r="H56" t="s">
        <v>77</v>
      </c>
      <c r="I56" t="s">
        <v>78</v>
      </c>
      <c r="J56" t="s">
        <v>317</v>
      </c>
      <c r="K56" t="s">
        <v>62</v>
      </c>
      <c r="L56" t="s">
        <v>142</v>
      </c>
      <c r="M56" t="s">
        <v>143</v>
      </c>
      <c r="N56" t="s">
        <v>349</v>
      </c>
      <c r="O56" t="s">
        <v>98</v>
      </c>
      <c r="P56" t="str">
        <f>"INV-00116676 00116649 00116651"</f>
        <v>INV-00116676 00116649 00116651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5.57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42.76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2.2999999999999998</v>
      </c>
      <c r="BJ56">
        <v>6.3</v>
      </c>
      <c r="BK56">
        <v>7</v>
      </c>
      <c r="BL56" s="4">
        <v>142.31</v>
      </c>
      <c r="BM56" s="4">
        <v>21.35</v>
      </c>
      <c r="BN56" s="4">
        <v>163.66</v>
      </c>
      <c r="BO56" s="4">
        <v>163.66</v>
      </c>
      <c r="BQ56" t="s">
        <v>350</v>
      </c>
      <c r="BR56" t="s">
        <v>320</v>
      </c>
      <c r="BS56" s="1">
        <v>45754</v>
      </c>
      <c r="BT56" s="2">
        <v>0.44027777777777777</v>
      </c>
      <c r="BU56" t="s">
        <v>544</v>
      </c>
      <c r="BV56" t="s">
        <v>74</v>
      </c>
      <c r="BY56">
        <v>31348.799999999999</v>
      </c>
      <c r="CA56" t="s">
        <v>545</v>
      </c>
      <c r="CC56" t="s">
        <v>143</v>
      </c>
      <c r="CD56" s="3" t="s">
        <v>144</v>
      </c>
      <c r="CE56" t="s">
        <v>322</v>
      </c>
      <c r="CF56" s="1">
        <v>45754</v>
      </c>
      <c r="CI56">
        <v>3</v>
      </c>
      <c r="CJ56">
        <v>3</v>
      </c>
      <c r="CK56">
        <v>41</v>
      </c>
      <c r="CL56" t="s">
        <v>66</v>
      </c>
    </row>
    <row r="57" spans="1:90" x14ac:dyDescent="0.3">
      <c r="A57" t="s">
        <v>315</v>
      </c>
      <c r="B57" t="s">
        <v>316</v>
      </c>
      <c r="C57" t="s">
        <v>59</v>
      </c>
      <c r="E57" t="str">
        <f>"GAB2025326"</f>
        <v>GAB2025326</v>
      </c>
      <c r="F57" s="1">
        <v>45749</v>
      </c>
      <c r="G57">
        <v>202601</v>
      </c>
      <c r="H57" t="s">
        <v>77</v>
      </c>
      <c r="I57" t="s">
        <v>78</v>
      </c>
      <c r="J57" t="s">
        <v>317</v>
      </c>
      <c r="K57" t="s">
        <v>62</v>
      </c>
      <c r="L57" t="s">
        <v>546</v>
      </c>
      <c r="M57" t="s">
        <v>547</v>
      </c>
      <c r="N57" t="s">
        <v>548</v>
      </c>
      <c r="O57" t="s">
        <v>98</v>
      </c>
      <c r="P57" t="str">
        <f>"INV-00116681 CT093667         "</f>
        <v xml:space="preserve">INV-00116681 CT093667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5.57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65.709999999999994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2</v>
      </c>
      <c r="BI57">
        <v>8.9</v>
      </c>
      <c r="BJ57">
        <v>27.1</v>
      </c>
      <c r="BK57">
        <v>28</v>
      </c>
      <c r="BL57" s="4">
        <v>215.7</v>
      </c>
      <c r="BM57" s="4">
        <v>32.36</v>
      </c>
      <c r="BN57" s="4">
        <v>248.06</v>
      </c>
      <c r="BO57" s="4">
        <v>248.06</v>
      </c>
      <c r="BR57" t="s">
        <v>320</v>
      </c>
      <c r="BS57" s="1">
        <v>45756</v>
      </c>
      <c r="BT57" s="2">
        <v>0.54166666666666663</v>
      </c>
      <c r="BU57" t="s">
        <v>549</v>
      </c>
      <c r="BV57" t="s">
        <v>66</v>
      </c>
      <c r="BW57" t="s">
        <v>197</v>
      </c>
      <c r="BX57" t="s">
        <v>531</v>
      </c>
      <c r="BY57">
        <v>135422.5</v>
      </c>
      <c r="CC57" t="s">
        <v>547</v>
      </c>
      <c r="CD57">
        <v>9301</v>
      </c>
      <c r="CE57" t="s">
        <v>525</v>
      </c>
      <c r="CF57" s="1">
        <v>45757</v>
      </c>
      <c r="CI57">
        <v>4</v>
      </c>
      <c r="CJ57">
        <v>5</v>
      </c>
      <c r="CK57">
        <v>41</v>
      </c>
      <c r="CL57" t="s">
        <v>66</v>
      </c>
    </row>
    <row r="58" spans="1:90" x14ac:dyDescent="0.3">
      <c r="A58" t="s">
        <v>315</v>
      </c>
      <c r="B58" t="s">
        <v>316</v>
      </c>
      <c r="C58" t="s">
        <v>59</v>
      </c>
      <c r="E58" t="str">
        <f>"GAB2025327"</f>
        <v>GAB2025327</v>
      </c>
      <c r="F58" s="1">
        <v>45749</v>
      </c>
      <c r="G58">
        <v>202601</v>
      </c>
      <c r="H58" t="s">
        <v>77</v>
      </c>
      <c r="I58" t="s">
        <v>78</v>
      </c>
      <c r="J58" t="s">
        <v>317</v>
      </c>
      <c r="K58" t="s">
        <v>62</v>
      </c>
      <c r="L58" t="s">
        <v>83</v>
      </c>
      <c r="M58" t="s">
        <v>84</v>
      </c>
      <c r="N58" t="s">
        <v>550</v>
      </c>
      <c r="O58" t="s">
        <v>98</v>
      </c>
      <c r="P58" t="str">
        <f>"INV-00116682 CT093664         "</f>
        <v xml:space="preserve">INV-00116682 CT093664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5.57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42.76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4.3</v>
      </c>
      <c r="BJ58">
        <v>12.7</v>
      </c>
      <c r="BK58">
        <v>13</v>
      </c>
      <c r="BL58" s="4">
        <v>142.31</v>
      </c>
      <c r="BM58" s="4">
        <v>21.35</v>
      </c>
      <c r="BN58" s="4">
        <v>163.66</v>
      </c>
      <c r="BO58" s="4">
        <v>163.66</v>
      </c>
      <c r="BQ58" t="s">
        <v>551</v>
      </c>
      <c r="BR58" t="s">
        <v>320</v>
      </c>
      <c r="BS58" s="1">
        <v>45754</v>
      </c>
      <c r="BT58" s="2">
        <v>0.36805555555555558</v>
      </c>
      <c r="BU58" t="s">
        <v>552</v>
      </c>
      <c r="BV58" t="s">
        <v>74</v>
      </c>
      <c r="BY58">
        <v>63281.4</v>
      </c>
      <c r="CA58" t="s">
        <v>176</v>
      </c>
      <c r="CC58" t="s">
        <v>84</v>
      </c>
      <c r="CD58">
        <v>3201</v>
      </c>
      <c r="CE58" t="s">
        <v>525</v>
      </c>
      <c r="CF58" s="1">
        <v>45755</v>
      </c>
      <c r="CI58">
        <v>4</v>
      </c>
      <c r="CJ58">
        <v>3</v>
      </c>
      <c r="CK58">
        <v>41</v>
      </c>
      <c r="CL58" t="s">
        <v>66</v>
      </c>
    </row>
    <row r="59" spans="1:90" x14ac:dyDescent="0.3">
      <c r="A59" t="s">
        <v>315</v>
      </c>
      <c r="B59" t="s">
        <v>316</v>
      </c>
      <c r="C59" t="s">
        <v>59</v>
      </c>
      <c r="E59" t="str">
        <f>"GAB2025299"</f>
        <v>GAB2025299</v>
      </c>
      <c r="F59" s="1">
        <v>45749</v>
      </c>
      <c r="G59">
        <v>202601</v>
      </c>
      <c r="H59" t="s">
        <v>77</v>
      </c>
      <c r="I59" t="s">
        <v>78</v>
      </c>
      <c r="J59" t="s">
        <v>317</v>
      </c>
      <c r="K59" t="s">
        <v>62</v>
      </c>
      <c r="L59" t="s">
        <v>148</v>
      </c>
      <c r="M59" t="s">
        <v>149</v>
      </c>
      <c r="N59" t="s">
        <v>553</v>
      </c>
      <c r="O59" t="s">
        <v>65</v>
      </c>
      <c r="P59" t="str">
        <f>"INV-00034234 031624           "</f>
        <v xml:space="preserve">INV-00034234 031624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33.159999999999997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0.1</v>
      </c>
      <c r="BJ59">
        <v>2.7</v>
      </c>
      <c r="BK59">
        <v>3</v>
      </c>
      <c r="BL59" s="4">
        <v>106.04</v>
      </c>
      <c r="BM59" s="4">
        <v>15.91</v>
      </c>
      <c r="BN59" s="4">
        <v>121.95</v>
      </c>
      <c r="BO59" s="4">
        <v>121.95</v>
      </c>
      <c r="BQ59" t="s">
        <v>404</v>
      </c>
      <c r="BR59" t="s">
        <v>320</v>
      </c>
      <c r="BS59" s="1">
        <v>45750</v>
      </c>
      <c r="BT59" s="2">
        <v>0.37638888888888888</v>
      </c>
      <c r="BU59" t="s">
        <v>119</v>
      </c>
      <c r="BV59" t="s">
        <v>74</v>
      </c>
      <c r="BY59">
        <v>13353.21</v>
      </c>
      <c r="BZ59" t="s">
        <v>79</v>
      </c>
      <c r="CA59" t="s">
        <v>150</v>
      </c>
      <c r="CC59" t="s">
        <v>149</v>
      </c>
      <c r="CD59">
        <v>6230</v>
      </c>
      <c r="CE59" t="s">
        <v>393</v>
      </c>
      <c r="CF59" s="1">
        <v>45750</v>
      </c>
      <c r="CI59">
        <v>2</v>
      </c>
      <c r="CJ59">
        <v>1</v>
      </c>
      <c r="CK59">
        <v>21</v>
      </c>
      <c r="CL59" t="s">
        <v>66</v>
      </c>
    </row>
    <row r="60" spans="1:90" x14ac:dyDescent="0.3">
      <c r="A60" t="s">
        <v>315</v>
      </c>
      <c r="B60" t="s">
        <v>316</v>
      </c>
      <c r="C60" t="s">
        <v>59</v>
      </c>
      <c r="E60" t="str">
        <f>"GAB2025300"</f>
        <v>GAB2025300</v>
      </c>
      <c r="F60" s="1">
        <v>45749</v>
      </c>
      <c r="G60">
        <v>202601</v>
      </c>
      <c r="H60" t="s">
        <v>77</v>
      </c>
      <c r="I60" t="s">
        <v>78</v>
      </c>
      <c r="J60" t="s">
        <v>317</v>
      </c>
      <c r="K60" t="s">
        <v>62</v>
      </c>
      <c r="L60" t="s">
        <v>77</v>
      </c>
      <c r="M60" t="s">
        <v>78</v>
      </c>
      <c r="N60" t="s">
        <v>554</v>
      </c>
      <c r="O60" t="s">
        <v>65</v>
      </c>
      <c r="P60" t="str">
        <f>"INV-00116632 CT093625         "</f>
        <v xml:space="preserve">INV-00116632 CT093625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17.27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0.9</v>
      </c>
      <c r="BJ60">
        <v>2.9</v>
      </c>
      <c r="BK60">
        <v>3</v>
      </c>
      <c r="BL60" s="4">
        <v>55.23</v>
      </c>
      <c r="BM60" s="4">
        <v>8.2799999999999994</v>
      </c>
      <c r="BN60" s="4">
        <v>63.51</v>
      </c>
      <c r="BO60" s="4">
        <v>63.51</v>
      </c>
      <c r="BQ60" t="s">
        <v>156</v>
      </c>
      <c r="BR60" t="s">
        <v>320</v>
      </c>
      <c r="BS60" s="1">
        <v>45750</v>
      </c>
      <c r="BT60" s="2">
        <v>0.37986111111111109</v>
      </c>
      <c r="BU60" t="s">
        <v>555</v>
      </c>
      <c r="BV60" t="s">
        <v>74</v>
      </c>
      <c r="BY60">
        <v>14304</v>
      </c>
      <c r="BZ60" t="s">
        <v>79</v>
      </c>
      <c r="CA60" t="s">
        <v>215</v>
      </c>
      <c r="CC60" t="s">
        <v>78</v>
      </c>
      <c r="CD60">
        <v>7441</v>
      </c>
      <c r="CE60" t="s">
        <v>556</v>
      </c>
      <c r="CF60" s="1">
        <v>45751</v>
      </c>
      <c r="CI60">
        <v>1</v>
      </c>
      <c r="CJ60">
        <v>1</v>
      </c>
      <c r="CK60">
        <v>22</v>
      </c>
      <c r="CL60" t="s">
        <v>66</v>
      </c>
    </row>
    <row r="61" spans="1:90" x14ac:dyDescent="0.3">
      <c r="A61" t="s">
        <v>315</v>
      </c>
      <c r="B61" t="s">
        <v>316</v>
      </c>
      <c r="C61" t="s">
        <v>59</v>
      </c>
      <c r="E61" t="str">
        <f>"GAB2025301"</f>
        <v>GAB2025301</v>
      </c>
      <c r="F61" s="1">
        <v>45749</v>
      </c>
      <c r="G61">
        <v>202601</v>
      </c>
      <c r="H61" t="s">
        <v>77</v>
      </c>
      <c r="I61" t="s">
        <v>78</v>
      </c>
      <c r="J61" t="s">
        <v>317</v>
      </c>
      <c r="K61" t="s">
        <v>62</v>
      </c>
      <c r="L61" t="s">
        <v>63</v>
      </c>
      <c r="M61" t="s">
        <v>64</v>
      </c>
      <c r="N61" t="s">
        <v>336</v>
      </c>
      <c r="O61" t="s">
        <v>65</v>
      </c>
      <c r="P61" t="str">
        <f>"INV-00116631 CT093623         "</f>
        <v xml:space="preserve">INV-00116631 CT093623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27.64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0.3</v>
      </c>
      <c r="BJ61">
        <v>2.2999999999999998</v>
      </c>
      <c r="BK61">
        <v>2.5</v>
      </c>
      <c r="BL61" s="4">
        <v>88.38</v>
      </c>
      <c r="BM61" s="4">
        <v>13.26</v>
      </c>
      <c r="BN61" s="4">
        <v>101.64</v>
      </c>
      <c r="BO61" s="4">
        <v>101.64</v>
      </c>
      <c r="BR61" t="s">
        <v>320</v>
      </c>
      <c r="BS61" s="1">
        <v>45750</v>
      </c>
      <c r="BT61" s="2">
        <v>0.49861111111111112</v>
      </c>
      <c r="BU61" t="s">
        <v>557</v>
      </c>
      <c r="BV61" t="s">
        <v>66</v>
      </c>
      <c r="BY61">
        <v>11289.6</v>
      </c>
      <c r="BZ61" t="s">
        <v>79</v>
      </c>
      <c r="CA61" t="s">
        <v>299</v>
      </c>
      <c r="CC61" t="s">
        <v>64</v>
      </c>
      <c r="CD61">
        <v>5200</v>
      </c>
      <c r="CE61" t="s">
        <v>382</v>
      </c>
      <c r="CF61" s="1">
        <v>45750</v>
      </c>
      <c r="CI61">
        <v>1</v>
      </c>
      <c r="CJ61">
        <v>1</v>
      </c>
      <c r="CK61">
        <v>21</v>
      </c>
      <c r="CL61" t="s">
        <v>66</v>
      </c>
    </row>
    <row r="62" spans="1:90" x14ac:dyDescent="0.3">
      <c r="A62" t="s">
        <v>315</v>
      </c>
      <c r="B62" t="s">
        <v>316</v>
      </c>
      <c r="C62" t="s">
        <v>59</v>
      </c>
      <c r="E62" t="str">
        <f>"GAB2025303"</f>
        <v>GAB2025303</v>
      </c>
      <c r="F62" s="1">
        <v>45749</v>
      </c>
      <c r="G62">
        <v>202601</v>
      </c>
      <c r="H62" t="s">
        <v>77</v>
      </c>
      <c r="I62" t="s">
        <v>78</v>
      </c>
      <c r="J62" t="s">
        <v>317</v>
      </c>
      <c r="K62" t="s">
        <v>62</v>
      </c>
      <c r="L62" t="s">
        <v>95</v>
      </c>
      <c r="M62" t="s">
        <v>96</v>
      </c>
      <c r="N62" t="s">
        <v>558</v>
      </c>
      <c r="O62" t="s">
        <v>65</v>
      </c>
      <c r="P62" t="str">
        <f>"INV-00034214 00034193 00034215"</f>
        <v>INV-00034214 00034193 00034215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27.64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0.4</v>
      </c>
      <c r="BJ62">
        <v>2.4</v>
      </c>
      <c r="BK62">
        <v>2.5</v>
      </c>
      <c r="BL62" s="4">
        <v>88.38</v>
      </c>
      <c r="BM62" s="4">
        <v>13.26</v>
      </c>
      <c r="BN62" s="4">
        <v>101.64</v>
      </c>
      <c r="BO62" s="4">
        <v>101.64</v>
      </c>
      <c r="BQ62" t="s">
        <v>559</v>
      </c>
      <c r="BR62" t="s">
        <v>320</v>
      </c>
      <c r="BS62" s="1">
        <v>45755</v>
      </c>
      <c r="BT62" s="2">
        <v>0.51597222222222228</v>
      </c>
      <c r="BU62" t="s">
        <v>560</v>
      </c>
      <c r="BV62" t="s">
        <v>66</v>
      </c>
      <c r="BW62" t="s">
        <v>71</v>
      </c>
      <c r="BX62" t="s">
        <v>128</v>
      </c>
      <c r="BY62">
        <v>12101.4</v>
      </c>
      <c r="BZ62" t="s">
        <v>79</v>
      </c>
      <c r="CA62" t="s">
        <v>561</v>
      </c>
      <c r="CC62" t="s">
        <v>96</v>
      </c>
      <c r="CD62">
        <v>2000</v>
      </c>
      <c r="CE62" t="s">
        <v>382</v>
      </c>
      <c r="CF62" s="1">
        <v>45755</v>
      </c>
      <c r="CI62">
        <v>1</v>
      </c>
      <c r="CJ62">
        <v>4</v>
      </c>
      <c r="CK62">
        <v>21</v>
      </c>
      <c r="CL62" t="s">
        <v>66</v>
      </c>
    </row>
    <row r="63" spans="1:90" x14ac:dyDescent="0.3">
      <c r="A63" t="s">
        <v>315</v>
      </c>
      <c r="B63" t="s">
        <v>316</v>
      </c>
      <c r="C63" t="s">
        <v>59</v>
      </c>
      <c r="E63" t="str">
        <f>"GAB2025304"</f>
        <v>GAB2025304</v>
      </c>
      <c r="F63" s="1">
        <v>45749</v>
      </c>
      <c r="G63">
        <v>202601</v>
      </c>
      <c r="H63" t="s">
        <v>77</v>
      </c>
      <c r="I63" t="s">
        <v>78</v>
      </c>
      <c r="J63" t="s">
        <v>317</v>
      </c>
      <c r="K63" t="s">
        <v>62</v>
      </c>
      <c r="L63" t="s">
        <v>83</v>
      </c>
      <c r="M63" t="s">
        <v>84</v>
      </c>
      <c r="N63" t="s">
        <v>562</v>
      </c>
      <c r="O63" t="s">
        <v>65</v>
      </c>
      <c r="P63" t="str">
        <f>"INV-00116645 CT093630         "</f>
        <v xml:space="preserve">INV-00116645 CT093630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27.64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0.4</v>
      </c>
      <c r="BJ63">
        <v>2.2999999999999998</v>
      </c>
      <c r="BK63">
        <v>2.5</v>
      </c>
      <c r="BL63" s="4">
        <v>88.38</v>
      </c>
      <c r="BM63" s="4">
        <v>13.26</v>
      </c>
      <c r="BN63" s="4">
        <v>101.64</v>
      </c>
      <c r="BO63" s="4">
        <v>101.64</v>
      </c>
      <c r="BQ63" t="s">
        <v>440</v>
      </c>
      <c r="BR63" t="s">
        <v>320</v>
      </c>
      <c r="BS63" s="1">
        <v>45751</v>
      </c>
      <c r="BT63" s="2">
        <v>0.41666666666666669</v>
      </c>
      <c r="BU63" t="s">
        <v>441</v>
      </c>
      <c r="BV63" t="s">
        <v>66</v>
      </c>
      <c r="BY63">
        <v>11640.3</v>
      </c>
      <c r="BZ63" t="s">
        <v>79</v>
      </c>
      <c r="CA63" t="s">
        <v>176</v>
      </c>
      <c r="CC63" t="s">
        <v>84</v>
      </c>
      <c r="CD63">
        <v>3201</v>
      </c>
      <c r="CE63" t="s">
        <v>563</v>
      </c>
      <c r="CF63" s="1">
        <v>45754</v>
      </c>
      <c r="CI63">
        <v>1</v>
      </c>
      <c r="CJ63">
        <v>2</v>
      </c>
      <c r="CK63">
        <v>21</v>
      </c>
      <c r="CL63" t="s">
        <v>66</v>
      </c>
    </row>
    <row r="64" spans="1:90" x14ac:dyDescent="0.3">
      <c r="A64" t="s">
        <v>315</v>
      </c>
      <c r="B64" t="s">
        <v>316</v>
      </c>
      <c r="C64" t="s">
        <v>59</v>
      </c>
      <c r="E64" t="str">
        <f>"GAB2025305"</f>
        <v>GAB2025305</v>
      </c>
      <c r="F64" s="1">
        <v>45749</v>
      </c>
      <c r="G64">
        <v>202601</v>
      </c>
      <c r="H64" t="s">
        <v>77</v>
      </c>
      <c r="I64" t="s">
        <v>78</v>
      </c>
      <c r="J64" t="s">
        <v>317</v>
      </c>
      <c r="K64" t="s">
        <v>62</v>
      </c>
      <c r="L64" t="s">
        <v>142</v>
      </c>
      <c r="M64" t="s">
        <v>143</v>
      </c>
      <c r="N64" t="s">
        <v>450</v>
      </c>
      <c r="O64" t="s">
        <v>65</v>
      </c>
      <c r="P64" t="str">
        <f>"INV-00116643 CT093628         "</f>
        <v xml:space="preserve">INV-00116643 CT093628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22.11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0.2</v>
      </c>
      <c r="BJ64">
        <v>1.8</v>
      </c>
      <c r="BK64">
        <v>2</v>
      </c>
      <c r="BL64" s="4">
        <v>70.709999999999994</v>
      </c>
      <c r="BM64" s="4">
        <v>10.61</v>
      </c>
      <c r="BN64" s="4">
        <v>81.319999999999993</v>
      </c>
      <c r="BO64" s="4">
        <v>81.319999999999993</v>
      </c>
      <c r="BQ64" t="s">
        <v>564</v>
      </c>
      <c r="BR64" t="s">
        <v>320</v>
      </c>
      <c r="BS64" s="1">
        <v>45750</v>
      </c>
      <c r="BT64" s="2">
        <v>0.35555555555555557</v>
      </c>
      <c r="BU64" t="s">
        <v>452</v>
      </c>
      <c r="BV64" t="s">
        <v>74</v>
      </c>
      <c r="BY64">
        <v>9173.64</v>
      </c>
      <c r="BZ64" t="s">
        <v>79</v>
      </c>
      <c r="CA64" t="s">
        <v>453</v>
      </c>
      <c r="CC64" t="s">
        <v>143</v>
      </c>
      <c r="CD64" s="3" t="s">
        <v>144</v>
      </c>
      <c r="CE64" t="s">
        <v>565</v>
      </c>
      <c r="CF64" s="1">
        <v>45750</v>
      </c>
      <c r="CI64">
        <v>1</v>
      </c>
      <c r="CJ64">
        <v>1</v>
      </c>
      <c r="CK64">
        <v>21</v>
      </c>
      <c r="CL64" t="s">
        <v>66</v>
      </c>
    </row>
    <row r="65" spans="1:90" x14ac:dyDescent="0.3">
      <c r="A65" t="s">
        <v>315</v>
      </c>
      <c r="B65" t="s">
        <v>316</v>
      </c>
      <c r="C65" t="s">
        <v>59</v>
      </c>
      <c r="E65" t="str">
        <f>"GAB2025306"</f>
        <v>GAB2025306</v>
      </c>
      <c r="F65" s="1">
        <v>45749</v>
      </c>
      <c r="G65">
        <v>202601</v>
      </c>
      <c r="H65" t="s">
        <v>77</v>
      </c>
      <c r="I65" t="s">
        <v>78</v>
      </c>
      <c r="J65" t="s">
        <v>317</v>
      </c>
      <c r="K65" t="s">
        <v>62</v>
      </c>
      <c r="L65" t="s">
        <v>160</v>
      </c>
      <c r="M65" t="s">
        <v>161</v>
      </c>
      <c r="N65" t="s">
        <v>566</v>
      </c>
      <c r="O65" t="s">
        <v>65</v>
      </c>
      <c r="P65" t="str">
        <f>"INV-00116644 CT093631         "</f>
        <v xml:space="preserve">INV-00116644 CT093631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52.52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0.3</v>
      </c>
      <c r="BJ65">
        <v>2.4</v>
      </c>
      <c r="BK65">
        <v>2.5</v>
      </c>
      <c r="BL65" s="4">
        <v>167.94</v>
      </c>
      <c r="BM65" s="4">
        <v>25.19</v>
      </c>
      <c r="BN65" s="4">
        <v>193.13</v>
      </c>
      <c r="BO65" s="4">
        <v>193.13</v>
      </c>
      <c r="BQ65" t="s">
        <v>567</v>
      </c>
      <c r="BR65" t="s">
        <v>320</v>
      </c>
      <c r="BS65" s="1">
        <v>45750</v>
      </c>
      <c r="BT65" s="2">
        <v>0.37569444444444444</v>
      </c>
      <c r="BU65" t="s">
        <v>568</v>
      </c>
      <c r="BV65" t="s">
        <v>74</v>
      </c>
      <c r="BY65">
        <v>12225.6</v>
      </c>
      <c r="BZ65" t="s">
        <v>79</v>
      </c>
      <c r="CA65" t="s">
        <v>569</v>
      </c>
      <c r="CC65" t="s">
        <v>161</v>
      </c>
      <c r="CD65">
        <v>1900</v>
      </c>
      <c r="CE65" t="s">
        <v>382</v>
      </c>
      <c r="CF65" s="1">
        <v>45750</v>
      </c>
      <c r="CI65">
        <v>1</v>
      </c>
      <c r="CJ65">
        <v>1</v>
      </c>
      <c r="CK65">
        <v>23</v>
      </c>
      <c r="CL65" t="s">
        <v>66</v>
      </c>
    </row>
    <row r="66" spans="1:90" x14ac:dyDescent="0.3">
      <c r="A66" t="s">
        <v>315</v>
      </c>
      <c r="B66" t="s">
        <v>316</v>
      </c>
      <c r="C66" t="s">
        <v>59</v>
      </c>
      <c r="E66" t="str">
        <f>"GAB2025307"</f>
        <v>GAB2025307</v>
      </c>
      <c r="F66" s="1">
        <v>45749</v>
      </c>
      <c r="G66">
        <v>202601</v>
      </c>
      <c r="H66" t="s">
        <v>77</v>
      </c>
      <c r="I66" t="s">
        <v>78</v>
      </c>
      <c r="J66" t="s">
        <v>317</v>
      </c>
      <c r="K66" t="s">
        <v>62</v>
      </c>
      <c r="L66" t="s">
        <v>194</v>
      </c>
      <c r="M66" t="s">
        <v>195</v>
      </c>
      <c r="N66" t="s">
        <v>570</v>
      </c>
      <c r="O66" t="s">
        <v>65</v>
      </c>
      <c r="P66" t="str">
        <f>"INV-00116652 CT093627         "</f>
        <v xml:space="preserve">INV-00116652 CT093627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27.64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0.3</v>
      </c>
      <c r="BJ66">
        <v>2.5</v>
      </c>
      <c r="BK66">
        <v>2.5</v>
      </c>
      <c r="BL66" s="4">
        <v>88.38</v>
      </c>
      <c r="BM66" s="4">
        <v>13.26</v>
      </c>
      <c r="BN66" s="4">
        <v>101.64</v>
      </c>
      <c r="BO66" s="4">
        <v>101.64</v>
      </c>
      <c r="BR66" t="s">
        <v>320</v>
      </c>
      <c r="BS66" s="1">
        <v>45750</v>
      </c>
      <c r="BT66" s="2">
        <v>0.41180555555555554</v>
      </c>
      <c r="BU66" t="s">
        <v>571</v>
      </c>
      <c r="BV66" t="s">
        <v>74</v>
      </c>
      <c r="BY66">
        <v>12370.82</v>
      </c>
      <c r="BZ66" t="s">
        <v>79</v>
      </c>
      <c r="CA66" t="s">
        <v>168</v>
      </c>
      <c r="CC66" t="s">
        <v>195</v>
      </c>
      <c r="CD66">
        <v>1501</v>
      </c>
      <c r="CE66" t="s">
        <v>572</v>
      </c>
      <c r="CF66" s="1">
        <v>45751</v>
      </c>
      <c r="CI66">
        <v>1</v>
      </c>
      <c r="CJ66">
        <v>1</v>
      </c>
      <c r="CK66">
        <v>21</v>
      </c>
      <c r="CL66" t="s">
        <v>66</v>
      </c>
    </row>
    <row r="67" spans="1:90" x14ac:dyDescent="0.3">
      <c r="A67" t="s">
        <v>315</v>
      </c>
      <c r="B67" t="s">
        <v>316</v>
      </c>
      <c r="C67" t="s">
        <v>59</v>
      </c>
      <c r="E67" t="str">
        <f>"GAB2025310"</f>
        <v>GAB2025310</v>
      </c>
      <c r="F67" s="1">
        <v>45749</v>
      </c>
      <c r="G67">
        <v>202601</v>
      </c>
      <c r="H67" t="s">
        <v>77</v>
      </c>
      <c r="I67" t="s">
        <v>78</v>
      </c>
      <c r="J67" t="s">
        <v>317</v>
      </c>
      <c r="K67" t="s">
        <v>62</v>
      </c>
      <c r="L67" t="s">
        <v>91</v>
      </c>
      <c r="M67" t="s">
        <v>92</v>
      </c>
      <c r="N67" t="s">
        <v>573</v>
      </c>
      <c r="O67" t="s">
        <v>65</v>
      </c>
      <c r="P67" t="str">
        <f>"INV-00034235 031502           "</f>
        <v xml:space="preserve">INV-00034235 031502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22.11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0.8</v>
      </c>
      <c r="BJ67">
        <v>1.7</v>
      </c>
      <c r="BK67">
        <v>2</v>
      </c>
      <c r="BL67" s="4">
        <v>70.709999999999994</v>
      </c>
      <c r="BM67" s="4">
        <v>10.61</v>
      </c>
      <c r="BN67" s="4">
        <v>81.319999999999993</v>
      </c>
      <c r="BO67" s="4">
        <v>81.319999999999993</v>
      </c>
      <c r="BQ67" t="s">
        <v>574</v>
      </c>
      <c r="BR67" t="s">
        <v>320</v>
      </c>
      <c r="BS67" s="1">
        <v>45750</v>
      </c>
      <c r="BT67" s="2">
        <v>0.32847222222222222</v>
      </c>
      <c r="BU67" t="s">
        <v>227</v>
      </c>
      <c r="BV67" t="s">
        <v>74</v>
      </c>
      <c r="BY67">
        <v>8555.76</v>
      </c>
      <c r="BZ67" t="s">
        <v>79</v>
      </c>
      <c r="CA67" t="s">
        <v>165</v>
      </c>
      <c r="CC67" t="s">
        <v>92</v>
      </c>
      <c r="CD67" s="3" t="s">
        <v>575</v>
      </c>
      <c r="CE67" t="s">
        <v>576</v>
      </c>
      <c r="CF67" s="1">
        <v>45750</v>
      </c>
      <c r="CI67">
        <v>1</v>
      </c>
      <c r="CJ67">
        <v>1</v>
      </c>
      <c r="CK67">
        <v>21</v>
      </c>
      <c r="CL67" t="s">
        <v>66</v>
      </c>
    </row>
    <row r="68" spans="1:90" x14ac:dyDescent="0.3">
      <c r="A68" t="s">
        <v>315</v>
      </c>
      <c r="B68" t="s">
        <v>316</v>
      </c>
      <c r="C68" t="s">
        <v>59</v>
      </c>
      <c r="E68" t="str">
        <f>"GAB2025311"</f>
        <v>GAB2025311</v>
      </c>
      <c r="F68" s="1">
        <v>45749</v>
      </c>
      <c r="G68">
        <v>202601</v>
      </c>
      <c r="H68" t="s">
        <v>77</v>
      </c>
      <c r="I68" t="s">
        <v>78</v>
      </c>
      <c r="J68" t="s">
        <v>317</v>
      </c>
      <c r="K68" t="s">
        <v>62</v>
      </c>
      <c r="L68" t="s">
        <v>206</v>
      </c>
      <c r="M68" t="s">
        <v>207</v>
      </c>
      <c r="N68" t="s">
        <v>430</v>
      </c>
      <c r="O68" t="s">
        <v>65</v>
      </c>
      <c r="P68" t="str">
        <f>"INV-00116646 CT093591         "</f>
        <v xml:space="preserve">INV-00116646 CT093591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33.159999999999997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0.5</v>
      </c>
      <c r="BJ68">
        <v>2.9</v>
      </c>
      <c r="BK68">
        <v>3</v>
      </c>
      <c r="BL68" s="4">
        <v>106.04</v>
      </c>
      <c r="BM68" s="4">
        <v>15.91</v>
      </c>
      <c r="BN68" s="4">
        <v>121.95</v>
      </c>
      <c r="BO68" s="4">
        <v>121.95</v>
      </c>
      <c r="BQ68" t="s">
        <v>577</v>
      </c>
      <c r="BR68" t="s">
        <v>320</v>
      </c>
      <c r="BS68" s="1">
        <v>45751</v>
      </c>
      <c r="BT68" s="2">
        <v>0.4201388888888889</v>
      </c>
      <c r="BU68" t="s">
        <v>432</v>
      </c>
      <c r="BV68" t="s">
        <v>74</v>
      </c>
      <c r="BY68">
        <v>14408.35</v>
      </c>
      <c r="BZ68" t="s">
        <v>79</v>
      </c>
      <c r="CA68" t="s">
        <v>433</v>
      </c>
      <c r="CC68" t="s">
        <v>207</v>
      </c>
      <c r="CD68" s="3" t="s">
        <v>287</v>
      </c>
      <c r="CE68" t="s">
        <v>578</v>
      </c>
      <c r="CF68" s="1">
        <v>45751</v>
      </c>
      <c r="CI68">
        <v>2</v>
      </c>
      <c r="CJ68">
        <v>2</v>
      </c>
      <c r="CK68">
        <v>21</v>
      </c>
      <c r="CL68" t="s">
        <v>66</v>
      </c>
    </row>
    <row r="69" spans="1:90" x14ac:dyDescent="0.3">
      <c r="A69" t="s">
        <v>315</v>
      </c>
      <c r="B69" t="s">
        <v>316</v>
      </c>
      <c r="C69" t="s">
        <v>59</v>
      </c>
      <c r="E69" t="str">
        <f>"GAB2025312"</f>
        <v>GAB2025312</v>
      </c>
      <c r="F69" s="1">
        <v>45749</v>
      </c>
      <c r="G69">
        <v>202601</v>
      </c>
      <c r="H69" t="s">
        <v>77</v>
      </c>
      <c r="I69" t="s">
        <v>78</v>
      </c>
      <c r="J69" t="s">
        <v>317</v>
      </c>
      <c r="K69" t="s">
        <v>62</v>
      </c>
      <c r="L69" t="s">
        <v>406</v>
      </c>
      <c r="M69" t="s">
        <v>407</v>
      </c>
      <c r="N69" t="s">
        <v>408</v>
      </c>
      <c r="O69" t="s">
        <v>65</v>
      </c>
      <c r="P69" t="str">
        <f>"INV-00116650 CT093248         "</f>
        <v xml:space="preserve">INV-00116650 CT093248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52.52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0.1</v>
      </c>
      <c r="BJ69">
        <v>2.2000000000000002</v>
      </c>
      <c r="BK69">
        <v>2.5</v>
      </c>
      <c r="BL69" s="4">
        <v>167.94</v>
      </c>
      <c r="BM69" s="4">
        <v>25.19</v>
      </c>
      <c r="BN69" s="4">
        <v>193.13</v>
      </c>
      <c r="BO69" s="4">
        <v>193.13</v>
      </c>
      <c r="BQ69" t="s">
        <v>409</v>
      </c>
      <c r="BR69" t="s">
        <v>320</v>
      </c>
      <c r="BS69" s="1">
        <v>45750</v>
      </c>
      <c r="BT69" s="2">
        <v>0.47499999999999998</v>
      </c>
      <c r="BU69" t="s">
        <v>410</v>
      </c>
      <c r="BV69" t="s">
        <v>74</v>
      </c>
      <c r="BY69">
        <v>11079.28</v>
      </c>
      <c r="BZ69" t="s">
        <v>79</v>
      </c>
      <c r="CA69" t="s">
        <v>411</v>
      </c>
      <c r="CC69" t="s">
        <v>407</v>
      </c>
      <c r="CD69">
        <v>2515</v>
      </c>
      <c r="CE69" t="s">
        <v>393</v>
      </c>
      <c r="CF69" s="1">
        <v>45751</v>
      </c>
      <c r="CI69">
        <v>1</v>
      </c>
      <c r="CJ69">
        <v>1</v>
      </c>
      <c r="CK69">
        <v>23</v>
      </c>
      <c r="CL69" t="s">
        <v>66</v>
      </c>
    </row>
    <row r="70" spans="1:90" x14ac:dyDescent="0.3">
      <c r="A70" t="s">
        <v>315</v>
      </c>
      <c r="B70" t="s">
        <v>316</v>
      </c>
      <c r="C70" t="s">
        <v>59</v>
      </c>
      <c r="E70" t="str">
        <f>"GAB2025315"</f>
        <v>GAB2025315</v>
      </c>
      <c r="F70" s="1">
        <v>45749</v>
      </c>
      <c r="G70">
        <v>202601</v>
      </c>
      <c r="H70" t="s">
        <v>77</v>
      </c>
      <c r="I70" t="s">
        <v>78</v>
      </c>
      <c r="J70" t="s">
        <v>317</v>
      </c>
      <c r="K70" t="s">
        <v>62</v>
      </c>
      <c r="L70" t="s">
        <v>77</v>
      </c>
      <c r="M70" t="s">
        <v>78</v>
      </c>
      <c r="N70" t="s">
        <v>579</v>
      </c>
      <c r="O70" t="s">
        <v>65</v>
      </c>
      <c r="P70" t="str">
        <f>"INV-00116671 CT093657         "</f>
        <v xml:space="preserve">INV-00116671 CT093657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17.27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0.8</v>
      </c>
      <c r="BJ70">
        <v>2.2999999999999998</v>
      </c>
      <c r="BK70">
        <v>3</v>
      </c>
      <c r="BL70" s="4">
        <v>55.23</v>
      </c>
      <c r="BM70" s="4">
        <v>8.2799999999999994</v>
      </c>
      <c r="BN70" s="4">
        <v>63.51</v>
      </c>
      <c r="BO70" s="4">
        <v>63.51</v>
      </c>
      <c r="BQ70" t="s">
        <v>580</v>
      </c>
      <c r="BR70" t="s">
        <v>320</v>
      </c>
      <c r="BS70" s="1">
        <v>45750</v>
      </c>
      <c r="BT70" s="2">
        <v>0.41805555555555557</v>
      </c>
      <c r="BU70" t="s">
        <v>581</v>
      </c>
      <c r="BV70" t="s">
        <v>74</v>
      </c>
      <c r="BY70">
        <v>11463.65</v>
      </c>
      <c r="BZ70" t="s">
        <v>79</v>
      </c>
      <c r="CA70" t="s">
        <v>582</v>
      </c>
      <c r="CC70" t="s">
        <v>78</v>
      </c>
      <c r="CD70">
        <v>7550</v>
      </c>
      <c r="CE70" t="s">
        <v>476</v>
      </c>
      <c r="CF70" s="1">
        <v>45751</v>
      </c>
      <c r="CI70">
        <v>1</v>
      </c>
      <c r="CJ70">
        <v>1</v>
      </c>
      <c r="CK70">
        <v>22</v>
      </c>
      <c r="CL70" t="s">
        <v>66</v>
      </c>
    </row>
    <row r="71" spans="1:90" x14ac:dyDescent="0.3">
      <c r="A71" t="s">
        <v>315</v>
      </c>
      <c r="B71" t="s">
        <v>316</v>
      </c>
      <c r="C71" t="s">
        <v>59</v>
      </c>
      <c r="E71" t="str">
        <f>"GAB2025319"</f>
        <v>GAB2025319</v>
      </c>
      <c r="F71" s="1">
        <v>45749</v>
      </c>
      <c r="G71">
        <v>202601</v>
      </c>
      <c r="H71" t="s">
        <v>77</v>
      </c>
      <c r="I71" t="s">
        <v>78</v>
      </c>
      <c r="J71" t="s">
        <v>317</v>
      </c>
      <c r="K71" t="s">
        <v>62</v>
      </c>
      <c r="L71" t="s">
        <v>245</v>
      </c>
      <c r="M71" t="s">
        <v>246</v>
      </c>
      <c r="N71" t="s">
        <v>583</v>
      </c>
      <c r="O71" t="s">
        <v>65</v>
      </c>
      <c r="P71" t="str">
        <f>"INV-00116675 CT093663         "</f>
        <v xml:space="preserve">INV-00116675 CT093663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42.84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0.5</v>
      </c>
      <c r="BJ71">
        <v>1.8</v>
      </c>
      <c r="BK71">
        <v>2</v>
      </c>
      <c r="BL71" s="4">
        <v>137</v>
      </c>
      <c r="BM71" s="4">
        <v>20.55</v>
      </c>
      <c r="BN71" s="4">
        <v>157.55000000000001</v>
      </c>
      <c r="BO71" s="4">
        <v>157.55000000000001</v>
      </c>
      <c r="BQ71" t="s">
        <v>584</v>
      </c>
      <c r="BR71" t="s">
        <v>320</v>
      </c>
      <c r="BS71" s="1">
        <v>45751</v>
      </c>
      <c r="BT71" s="2">
        <v>0.43402777777777779</v>
      </c>
      <c r="BU71" t="s">
        <v>585</v>
      </c>
      <c r="BV71" t="s">
        <v>74</v>
      </c>
      <c r="BY71">
        <v>8758.4</v>
      </c>
      <c r="BZ71" t="s">
        <v>79</v>
      </c>
      <c r="CA71" t="s">
        <v>247</v>
      </c>
      <c r="CC71" t="s">
        <v>246</v>
      </c>
      <c r="CD71">
        <v>9700</v>
      </c>
      <c r="CE71" t="s">
        <v>586</v>
      </c>
      <c r="CF71" s="1">
        <v>45751</v>
      </c>
      <c r="CI71">
        <v>2</v>
      </c>
      <c r="CJ71">
        <v>2</v>
      </c>
      <c r="CK71">
        <v>23</v>
      </c>
      <c r="CL71" t="s">
        <v>66</v>
      </c>
    </row>
    <row r="72" spans="1:90" x14ac:dyDescent="0.3">
      <c r="A72" t="s">
        <v>315</v>
      </c>
      <c r="B72" t="s">
        <v>316</v>
      </c>
      <c r="C72" t="s">
        <v>59</v>
      </c>
      <c r="E72" t="str">
        <f>"GAB2025320"</f>
        <v>GAB2025320</v>
      </c>
      <c r="F72" s="1">
        <v>45749</v>
      </c>
      <c r="G72">
        <v>202601</v>
      </c>
      <c r="H72" t="s">
        <v>77</v>
      </c>
      <c r="I72" t="s">
        <v>78</v>
      </c>
      <c r="J72" t="s">
        <v>317</v>
      </c>
      <c r="K72" t="s">
        <v>62</v>
      </c>
      <c r="L72" t="s">
        <v>95</v>
      </c>
      <c r="M72" t="s">
        <v>96</v>
      </c>
      <c r="N72" t="s">
        <v>587</v>
      </c>
      <c r="O72" t="s">
        <v>65</v>
      </c>
      <c r="P72" t="str">
        <f>"INV-00034263 031604           "</f>
        <v xml:space="preserve">INV-00034263 031604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27.64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0.2</v>
      </c>
      <c r="BJ72">
        <v>2.1</v>
      </c>
      <c r="BK72">
        <v>2.5</v>
      </c>
      <c r="BL72" s="4">
        <v>88.38</v>
      </c>
      <c r="BM72" s="4">
        <v>13.26</v>
      </c>
      <c r="BN72" s="4">
        <v>101.64</v>
      </c>
      <c r="BO72" s="4">
        <v>101.64</v>
      </c>
      <c r="BQ72" t="s">
        <v>440</v>
      </c>
      <c r="BR72" t="s">
        <v>320</v>
      </c>
      <c r="BS72" s="1">
        <v>45750</v>
      </c>
      <c r="BT72" s="2">
        <v>0.41666666666666669</v>
      </c>
      <c r="BU72" t="s">
        <v>588</v>
      </c>
      <c r="BV72" t="s">
        <v>74</v>
      </c>
      <c r="BY72">
        <v>10444.35</v>
      </c>
      <c r="BZ72" t="s">
        <v>79</v>
      </c>
      <c r="CA72" t="s">
        <v>303</v>
      </c>
      <c r="CC72" t="s">
        <v>96</v>
      </c>
      <c r="CD72">
        <v>2000</v>
      </c>
      <c r="CE72" t="s">
        <v>343</v>
      </c>
      <c r="CF72" s="1">
        <v>45751</v>
      </c>
      <c r="CI72">
        <v>1</v>
      </c>
      <c r="CJ72">
        <v>1</v>
      </c>
      <c r="CK72">
        <v>21</v>
      </c>
      <c r="CL72" t="s">
        <v>66</v>
      </c>
    </row>
    <row r="73" spans="1:90" x14ac:dyDescent="0.3">
      <c r="A73" t="s">
        <v>315</v>
      </c>
      <c r="B73" t="s">
        <v>316</v>
      </c>
      <c r="C73" t="s">
        <v>59</v>
      </c>
      <c r="E73" t="str">
        <f>"GAB2025321"</f>
        <v>GAB2025321</v>
      </c>
      <c r="F73" s="1">
        <v>45749</v>
      </c>
      <c r="G73">
        <v>202601</v>
      </c>
      <c r="H73" t="s">
        <v>77</v>
      </c>
      <c r="I73" t="s">
        <v>78</v>
      </c>
      <c r="J73" t="s">
        <v>317</v>
      </c>
      <c r="K73" t="s">
        <v>62</v>
      </c>
      <c r="L73" t="s">
        <v>180</v>
      </c>
      <c r="M73" t="s">
        <v>181</v>
      </c>
      <c r="N73" t="s">
        <v>589</v>
      </c>
      <c r="O73" t="s">
        <v>65</v>
      </c>
      <c r="P73" t="str">
        <f>"INV-00034268 031619           "</f>
        <v xml:space="preserve">INV-00034268 031619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27.64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0.4</v>
      </c>
      <c r="BJ73">
        <v>2.4</v>
      </c>
      <c r="BK73">
        <v>2.5</v>
      </c>
      <c r="BL73" s="4">
        <v>88.38</v>
      </c>
      <c r="BM73" s="4">
        <v>13.26</v>
      </c>
      <c r="BN73" s="4">
        <v>101.64</v>
      </c>
      <c r="BO73" s="4">
        <v>101.64</v>
      </c>
      <c r="BQ73" t="s">
        <v>590</v>
      </c>
      <c r="BR73" t="s">
        <v>320</v>
      </c>
      <c r="BS73" s="1">
        <v>45750</v>
      </c>
      <c r="BT73" s="2">
        <v>0.37291666666666667</v>
      </c>
      <c r="BU73" t="s">
        <v>591</v>
      </c>
      <c r="BV73" t="s">
        <v>74</v>
      </c>
      <c r="BY73">
        <v>12052.8</v>
      </c>
      <c r="BZ73" t="s">
        <v>79</v>
      </c>
      <c r="CA73" t="s">
        <v>592</v>
      </c>
      <c r="CC73" t="s">
        <v>181</v>
      </c>
      <c r="CD73">
        <v>1560</v>
      </c>
      <c r="CE73" t="s">
        <v>382</v>
      </c>
      <c r="CF73" s="1">
        <v>45750</v>
      </c>
      <c r="CI73">
        <v>1</v>
      </c>
      <c r="CJ73">
        <v>1</v>
      </c>
      <c r="CK73">
        <v>21</v>
      </c>
      <c r="CL73" t="s">
        <v>66</v>
      </c>
    </row>
    <row r="74" spans="1:90" x14ac:dyDescent="0.3">
      <c r="A74" t="s">
        <v>315</v>
      </c>
      <c r="B74" t="s">
        <v>316</v>
      </c>
      <c r="C74" t="s">
        <v>59</v>
      </c>
      <c r="E74" t="str">
        <f>"GAB2025322"</f>
        <v>GAB2025322</v>
      </c>
      <c r="F74" s="1">
        <v>45749</v>
      </c>
      <c r="G74">
        <v>202601</v>
      </c>
      <c r="H74" t="s">
        <v>77</v>
      </c>
      <c r="I74" t="s">
        <v>78</v>
      </c>
      <c r="J74" t="s">
        <v>317</v>
      </c>
      <c r="K74" t="s">
        <v>62</v>
      </c>
      <c r="L74" t="s">
        <v>131</v>
      </c>
      <c r="M74" t="s">
        <v>132</v>
      </c>
      <c r="N74" t="s">
        <v>593</v>
      </c>
      <c r="O74" t="s">
        <v>65</v>
      </c>
      <c r="P74" t="str">
        <f>"INV-00034272 00034260 031586 0"</f>
        <v>INV-00034272 00034260 031586 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52.52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0.3</v>
      </c>
      <c r="BJ74">
        <v>2.4</v>
      </c>
      <c r="BK74">
        <v>2.5</v>
      </c>
      <c r="BL74" s="4">
        <v>167.94</v>
      </c>
      <c r="BM74" s="4">
        <v>25.19</v>
      </c>
      <c r="BN74" s="4">
        <v>193.13</v>
      </c>
      <c r="BO74" s="4">
        <v>193.13</v>
      </c>
      <c r="BQ74" t="s">
        <v>594</v>
      </c>
      <c r="BR74" t="s">
        <v>320</v>
      </c>
      <c r="BS74" s="1">
        <v>45750</v>
      </c>
      <c r="BT74" s="2">
        <v>0.36875000000000002</v>
      </c>
      <c r="BU74" t="s">
        <v>387</v>
      </c>
      <c r="BV74" t="s">
        <v>74</v>
      </c>
      <c r="BY74">
        <v>12163.47</v>
      </c>
      <c r="BZ74" t="s">
        <v>79</v>
      </c>
      <c r="CA74" t="s">
        <v>388</v>
      </c>
      <c r="CC74" t="s">
        <v>132</v>
      </c>
      <c r="CD74" s="3" t="s">
        <v>188</v>
      </c>
      <c r="CE74" t="s">
        <v>389</v>
      </c>
      <c r="CF74" s="1">
        <v>45751</v>
      </c>
      <c r="CI74">
        <v>2</v>
      </c>
      <c r="CJ74">
        <v>1</v>
      </c>
      <c r="CK74">
        <v>23</v>
      </c>
      <c r="CL74" t="s">
        <v>66</v>
      </c>
    </row>
    <row r="75" spans="1:90" x14ac:dyDescent="0.3">
      <c r="A75" t="s">
        <v>315</v>
      </c>
      <c r="B75" t="s">
        <v>316</v>
      </c>
      <c r="C75" t="s">
        <v>59</v>
      </c>
      <c r="E75" t="str">
        <f>"GAB2025323"</f>
        <v>GAB2025323</v>
      </c>
      <c r="F75" s="1">
        <v>45749</v>
      </c>
      <c r="G75">
        <v>202601</v>
      </c>
      <c r="H75" t="s">
        <v>77</v>
      </c>
      <c r="I75" t="s">
        <v>78</v>
      </c>
      <c r="J75" t="s">
        <v>317</v>
      </c>
      <c r="K75" t="s">
        <v>62</v>
      </c>
      <c r="L75" t="s">
        <v>95</v>
      </c>
      <c r="M75" t="s">
        <v>96</v>
      </c>
      <c r="N75" t="s">
        <v>595</v>
      </c>
      <c r="O75" t="s">
        <v>65</v>
      </c>
      <c r="P75" t="str">
        <f>"INV-00034270 00034271 031576 0"</f>
        <v>INV-00034270 00034271 031576 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22.11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0.1</v>
      </c>
      <c r="BJ75">
        <v>1.9</v>
      </c>
      <c r="BK75">
        <v>2</v>
      </c>
      <c r="BL75" s="4">
        <v>70.709999999999994</v>
      </c>
      <c r="BM75" s="4">
        <v>10.61</v>
      </c>
      <c r="BN75" s="4">
        <v>81.319999999999993</v>
      </c>
      <c r="BO75" s="4">
        <v>81.319999999999993</v>
      </c>
      <c r="BQ75" t="s">
        <v>440</v>
      </c>
      <c r="BR75" t="s">
        <v>320</v>
      </c>
      <c r="BS75" s="1">
        <v>45750</v>
      </c>
      <c r="BT75" s="2">
        <v>0.4201388888888889</v>
      </c>
      <c r="BU75" t="s">
        <v>283</v>
      </c>
      <c r="BV75" t="s">
        <v>74</v>
      </c>
      <c r="BY75">
        <v>9720.86</v>
      </c>
      <c r="BZ75" t="s">
        <v>79</v>
      </c>
      <c r="CA75" t="s">
        <v>596</v>
      </c>
      <c r="CC75" t="s">
        <v>96</v>
      </c>
      <c r="CD75">
        <v>2193</v>
      </c>
      <c r="CE75" t="s">
        <v>343</v>
      </c>
      <c r="CF75" s="1">
        <v>45750</v>
      </c>
      <c r="CI75">
        <v>1</v>
      </c>
      <c r="CJ75">
        <v>1</v>
      </c>
      <c r="CK75">
        <v>21</v>
      </c>
      <c r="CL75" t="s">
        <v>66</v>
      </c>
    </row>
    <row r="76" spans="1:90" x14ac:dyDescent="0.3">
      <c r="A76" t="s">
        <v>315</v>
      </c>
      <c r="B76" t="s">
        <v>316</v>
      </c>
      <c r="C76" t="s">
        <v>59</v>
      </c>
      <c r="E76" t="str">
        <f>"GAB2025324"</f>
        <v>GAB2025324</v>
      </c>
      <c r="F76" s="1">
        <v>45749</v>
      </c>
      <c r="G76">
        <v>202601</v>
      </c>
      <c r="H76" t="s">
        <v>77</v>
      </c>
      <c r="I76" t="s">
        <v>78</v>
      </c>
      <c r="J76" t="s">
        <v>317</v>
      </c>
      <c r="K76" t="s">
        <v>62</v>
      </c>
      <c r="L76" t="s">
        <v>145</v>
      </c>
      <c r="M76" t="s">
        <v>146</v>
      </c>
      <c r="N76" t="s">
        <v>597</v>
      </c>
      <c r="O76" t="s">
        <v>65</v>
      </c>
      <c r="P76" t="str">
        <f>"INV-00034271 031578           "</f>
        <v xml:space="preserve">INV-00034271 031578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42.84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0.1</v>
      </c>
      <c r="BJ76">
        <v>2</v>
      </c>
      <c r="BK76">
        <v>2</v>
      </c>
      <c r="BL76" s="4">
        <v>137</v>
      </c>
      <c r="BM76" s="4">
        <v>20.55</v>
      </c>
      <c r="BN76" s="4">
        <v>157.55000000000001</v>
      </c>
      <c r="BO76" s="4">
        <v>157.55000000000001</v>
      </c>
      <c r="BQ76" t="s">
        <v>404</v>
      </c>
      <c r="BR76" t="s">
        <v>320</v>
      </c>
      <c r="BS76" s="1">
        <v>45751</v>
      </c>
      <c r="BT76" s="2">
        <v>0.3611111111111111</v>
      </c>
      <c r="BU76" t="s">
        <v>598</v>
      </c>
      <c r="BV76" t="s">
        <v>74</v>
      </c>
      <c r="BY76">
        <v>10143</v>
      </c>
      <c r="BZ76" t="s">
        <v>79</v>
      </c>
      <c r="CA76" t="s">
        <v>599</v>
      </c>
      <c r="CC76" t="s">
        <v>146</v>
      </c>
      <c r="CD76">
        <v>3900</v>
      </c>
      <c r="CE76" t="s">
        <v>393</v>
      </c>
      <c r="CF76" s="1">
        <v>45751</v>
      </c>
      <c r="CI76">
        <v>2</v>
      </c>
      <c r="CJ76">
        <v>2</v>
      </c>
      <c r="CK76">
        <v>23</v>
      </c>
      <c r="CL76" t="s">
        <v>66</v>
      </c>
    </row>
    <row r="77" spans="1:90" x14ac:dyDescent="0.3">
      <c r="A77" t="s">
        <v>315</v>
      </c>
      <c r="B77" t="s">
        <v>316</v>
      </c>
      <c r="C77" t="s">
        <v>59</v>
      </c>
      <c r="E77" t="str">
        <f>"GAB2025325"</f>
        <v>GAB2025325</v>
      </c>
      <c r="F77" s="1">
        <v>45749</v>
      </c>
      <c r="G77">
        <v>202601</v>
      </c>
      <c r="H77" t="s">
        <v>77</v>
      </c>
      <c r="I77" t="s">
        <v>78</v>
      </c>
      <c r="J77" t="s">
        <v>317</v>
      </c>
      <c r="K77" t="s">
        <v>62</v>
      </c>
      <c r="L77" t="s">
        <v>106</v>
      </c>
      <c r="M77" t="s">
        <v>107</v>
      </c>
      <c r="N77" t="s">
        <v>600</v>
      </c>
      <c r="O77" t="s">
        <v>65</v>
      </c>
      <c r="P77" t="str">
        <f>"INV-00116680 CT093655         "</f>
        <v xml:space="preserve">INV-00116680 CT093655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22.11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16.739999999999998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0.2</v>
      </c>
      <c r="BJ77">
        <v>2</v>
      </c>
      <c r="BK77">
        <v>2</v>
      </c>
      <c r="BL77" s="4">
        <v>87.45</v>
      </c>
      <c r="BM77" s="4">
        <v>13.12</v>
      </c>
      <c r="BN77" s="4">
        <v>100.57</v>
      </c>
      <c r="BO77" s="4">
        <v>100.57</v>
      </c>
      <c r="BQ77" t="s">
        <v>456</v>
      </c>
      <c r="BR77" t="s">
        <v>320</v>
      </c>
      <c r="BS77" s="1">
        <v>45750</v>
      </c>
      <c r="BT77" s="2">
        <v>0.43333333333333335</v>
      </c>
      <c r="BU77" t="s">
        <v>457</v>
      </c>
      <c r="BV77" t="s">
        <v>74</v>
      </c>
      <c r="BY77">
        <v>10008.24</v>
      </c>
      <c r="BZ77" t="s">
        <v>97</v>
      </c>
      <c r="CA77" t="s">
        <v>458</v>
      </c>
      <c r="CC77" t="s">
        <v>107</v>
      </c>
      <c r="CD77">
        <v>1475</v>
      </c>
      <c r="CE77" t="s">
        <v>393</v>
      </c>
      <c r="CF77" s="1">
        <v>45750</v>
      </c>
      <c r="CI77">
        <v>1</v>
      </c>
      <c r="CJ77">
        <v>1</v>
      </c>
      <c r="CK77">
        <v>21</v>
      </c>
      <c r="CL77" t="s">
        <v>66</v>
      </c>
    </row>
    <row r="78" spans="1:90" x14ac:dyDescent="0.3">
      <c r="A78" t="s">
        <v>315</v>
      </c>
      <c r="B78" t="s">
        <v>316</v>
      </c>
      <c r="C78" t="s">
        <v>59</v>
      </c>
      <c r="E78" t="str">
        <f>"GAB2025328"</f>
        <v>GAB2025328</v>
      </c>
      <c r="F78" s="1">
        <v>45749</v>
      </c>
      <c r="G78">
        <v>202601</v>
      </c>
      <c r="H78" t="s">
        <v>77</v>
      </c>
      <c r="I78" t="s">
        <v>78</v>
      </c>
      <c r="J78" t="s">
        <v>317</v>
      </c>
      <c r="K78" t="s">
        <v>62</v>
      </c>
      <c r="L78" t="s">
        <v>77</v>
      </c>
      <c r="M78" t="s">
        <v>78</v>
      </c>
      <c r="N78" t="s">
        <v>601</v>
      </c>
      <c r="O78" t="s">
        <v>65</v>
      </c>
      <c r="P78" t="str">
        <f>"INV-00116683 CT093427         "</f>
        <v xml:space="preserve">INV-00116683 CT093427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17.27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16.739999999999998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0.6</v>
      </c>
      <c r="BJ78">
        <v>1.7</v>
      </c>
      <c r="BK78">
        <v>2</v>
      </c>
      <c r="BL78" s="4">
        <v>71.97</v>
      </c>
      <c r="BM78" s="4">
        <v>10.8</v>
      </c>
      <c r="BN78" s="4">
        <v>82.77</v>
      </c>
      <c r="BO78" s="4">
        <v>82.77</v>
      </c>
      <c r="BR78" t="s">
        <v>320</v>
      </c>
      <c r="BS78" s="1">
        <v>45750</v>
      </c>
      <c r="BT78" s="2">
        <v>0.42569444444444443</v>
      </c>
      <c r="BU78" t="s">
        <v>602</v>
      </c>
      <c r="BV78" t="s">
        <v>74</v>
      </c>
      <c r="BY78">
        <v>8350.49</v>
      </c>
      <c r="BZ78" t="s">
        <v>97</v>
      </c>
      <c r="CA78" t="s">
        <v>603</v>
      </c>
      <c r="CC78" t="s">
        <v>78</v>
      </c>
      <c r="CD78">
        <v>7784</v>
      </c>
      <c r="CE78" t="s">
        <v>604</v>
      </c>
      <c r="CF78" s="1">
        <v>45751</v>
      </c>
      <c r="CI78">
        <v>1</v>
      </c>
      <c r="CJ78">
        <v>1</v>
      </c>
      <c r="CK78">
        <v>22</v>
      </c>
      <c r="CL78" t="s">
        <v>66</v>
      </c>
    </row>
    <row r="79" spans="1:90" x14ac:dyDescent="0.3">
      <c r="A79" t="s">
        <v>315</v>
      </c>
      <c r="B79" t="s">
        <v>316</v>
      </c>
      <c r="C79" t="s">
        <v>59</v>
      </c>
      <c r="E79" t="str">
        <f>"GAB2025329"</f>
        <v>GAB2025329</v>
      </c>
      <c r="F79" s="1">
        <v>45749</v>
      </c>
      <c r="G79">
        <v>202601</v>
      </c>
      <c r="H79" t="s">
        <v>77</v>
      </c>
      <c r="I79" t="s">
        <v>78</v>
      </c>
      <c r="J79" t="s">
        <v>317</v>
      </c>
      <c r="K79" t="s">
        <v>62</v>
      </c>
      <c r="L79" t="s">
        <v>413</v>
      </c>
      <c r="M79" t="s">
        <v>414</v>
      </c>
      <c r="N79" t="s">
        <v>605</v>
      </c>
      <c r="O79" t="s">
        <v>65</v>
      </c>
      <c r="P79" t="str">
        <f>"INV-00116684 CT093649         "</f>
        <v xml:space="preserve">INV-00116684 CT093649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27.64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0.3</v>
      </c>
      <c r="BJ79">
        <v>2.4</v>
      </c>
      <c r="BK79">
        <v>2.5</v>
      </c>
      <c r="BL79" s="4">
        <v>88.38</v>
      </c>
      <c r="BM79" s="4">
        <v>13.26</v>
      </c>
      <c r="BN79" s="4">
        <v>101.64</v>
      </c>
      <c r="BO79" s="4">
        <v>101.64</v>
      </c>
      <c r="BQ79" t="s">
        <v>606</v>
      </c>
      <c r="BR79" t="s">
        <v>320</v>
      </c>
      <c r="BS79" s="1">
        <v>45754</v>
      </c>
      <c r="BT79" s="2">
        <v>0.48541666666666666</v>
      </c>
      <c r="BU79" t="s">
        <v>308</v>
      </c>
      <c r="BV79" t="s">
        <v>66</v>
      </c>
      <c r="BY79">
        <v>11981.06</v>
      </c>
      <c r="BZ79" t="s">
        <v>79</v>
      </c>
      <c r="CA79" t="s">
        <v>607</v>
      </c>
      <c r="CC79" t="s">
        <v>414</v>
      </c>
      <c r="CD79">
        <v>8301</v>
      </c>
      <c r="CE79" t="s">
        <v>382</v>
      </c>
      <c r="CI79">
        <v>2</v>
      </c>
      <c r="CJ79">
        <v>3</v>
      </c>
      <c r="CK79">
        <v>21</v>
      </c>
      <c r="CL79" t="s">
        <v>66</v>
      </c>
    </row>
    <row r="80" spans="1:90" x14ac:dyDescent="0.3">
      <c r="A80" t="s">
        <v>315</v>
      </c>
      <c r="B80" t="s">
        <v>316</v>
      </c>
      <c r="C80" t="s">
        <v>59</v>
      </c>
      <c r="E80" t="str">
        <f>"080011482581"</f>
        <v>080011482581</v>
      </c>
      <c r="F80" s="1">
        <v>45750</v>
      </c>
      <c r="G80">
        <v>202601</v>
      </c>
      <c r="H80" t="s">
        <v>106</v>
      </c>
      <c r="I80" t="s">
        <v>107</v>
      </c>
      <c r="J80" t="s">
        <v>608</v>
      </c>
      <c r="K80" t="s">
        <v>62</v>
      </c>
      <c r="L80" t="s">
        <v>77</v>
      </c>
      <c r="M80" t="s">
        <v>78</v>
      </c>
      <c r="N80" t="s">
        <v>450</v>
      </c>
      <c r="O80" t="s">
        <v>98</v>
      </c>
      <c r="P80" t="str">
        <f>"Hester                        "</f>
        <v xml:space="preserve">Hester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5.57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206.94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108</v>
      </c>
      <c r="BJ80">
        <v>41</v>
      </c>
      <c r="BK80">
        <v>108</v>
      </c>
      <c r="BL80" s="4">
        <v>667.33</v>
      </c>
      <c r="BM80" s="4">
        <v>100.1</v>
      </c>
      <c r="BN80" s="4">
        <v>767.43</v>
      </c>
      <c r="BO80" s="4">
        <v>767.43</v>
      </c>
      <c r="BP80" t="s">
        <v>81</v>
      </c>
      <c r="BQ80" t="s">
        <v>506</v>
      </c>
      <c r="BR80" t="s">
        <v>609</v>
      </c>
      <c r="BS80" s="1">
        <v>45754</v>
      </c>
      <c r="BT80" s="2">
        <v>0.45694444444444443</v>
      </c>
      <c r="BU80" t="s">
        <v>263</v>
      </c>
      <c r="BV80" t="s">
        <v>74</v>
      </c>
      <c r="BY80">
        <v>102524</v>
      </c>
      <c r="BZ80" t="s">
        <v>114</v>
      </c>
      <c r="CA80" t="s">
        <v>193</v>
      </c>
      <c r="CC80" t="s">
        <v>78</v>
      </c>
      <c r="CD80">
        <v>7460</v>
      </c>
      <c r="CE80" t="s">
        <v>610</v>
      </c>
      <c r="CF80" s="1">
        <v>45755</v>
      </c>
      <c r="CI80">
        <v>3</v>
      </c>
      <c r="CJ80">
        <v>2</v>
      </c>
      <c r="CK80">
        <v>41</v>
      </c>
      <c r="CL80" t="s">
        <v>66</v>
      </c>
    </row>
    <row r="81" spans="1:90" x14ac:dyDescent="0.3">
      <c r="A81" t="s">
        <v>315</v>
      </c>
      <c r="B81" t="s">
        <v>316</v>
      </c>
      <c r="C81" t="s">
        <v>59</v>
      </c>
      <c r="E81" t="str">
        <f>"GAB2025330"</f>
        <v>GAB2025330</v>
      </c>
      <c r="F81" s="1">
        <v>45750</v>
      </c>
      <c r="G81">
        <v>202601</v>
      </c>
      <c r="H81" t="s">
        <v>77</v>
      </c>
      <c r="I81" t="s">
        <v>78</v>
      </c>
      <c r="J81" t="s">
        <v>317</v>
      </c>
      <c r="K81" t="s">
        <v>62</v>
      </c>
      <c r="L81" t="s">
        <v>131</v>
      </c>
      <c r="M81" t="s">
        <v>132</v>
      </c>
      <c r="N81" t="s">
        <v>611</v>
      </c>
      <c r="O81" t="s">
        <v>65</v>
      </c>
      <c r="P81" t="str">
        <f>"INV-00034311 031579           "</f>
        <v xml:space="preserve">INV-00034311 031579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52.52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0.4</v>
      </c>
      <c r="BJ81">
        <v>2.2000000000000002</v>
      </c>
      <c r="BK81">
        <v>2.5</v>
      </c>
      <c r="BL81" s="4">
        <v>167.94</v>
      </c>
      <c r="BM81" s="4">
        <v>25.19</v>
      </c>
      <c r="BN81" s="4">
        <v>193.13</v>
      </c>
      <c r="BO81" s="4">
        <v>193.13</v>
      </c>
      <c r="BQ81" t="s">
        <v>612</v>
      </c>
      <c r="BR81" t="s">
        <v>320</v>
      </c>
      <c r="BS81" s="1">
        <v>45751</v>
      </c>
      <c r="BT81" s="2">
        <v>0.41736111111111113</v>
      </c>
      <c r="BU81" t="s">
        <v>613</v>
      </c>
      <c r="BV81" t="s">
        <v>74</v>
      </c>
      <c r="BY81">
        <v>10768.65</v>
      </c>
      <c r="BZ81" t="s">
        <v>79</v>
      </c>
      <c r="CA81" t="s">
        <v>274</v>
      </c>
      <c r="CC81" t="s">
        <v>132</v>
      </c>
      <c r="CD81" s="3" t="s">
        <v>188</v>
      </c>
      <c r="CE81" t="s">
        <v>382</v>
      </c>
      <c r="CF81" s="1">
        <v>45754</v>
      </c>
      <c r="CI81">
        <v>2</v>
      </c>
      <c r="CJ81">
        <v>1</v>
      </c>
      <c r="CK81">
        <v>23</v>
      </c>
      <c r="CL81" t="s">
        <v>66</v>
      </c>
    </row>
    <row r="82" spans="1:90" x14ac:dyDescent="0.3">
      <c r="A82" t="s">
        <v>315</v>
      </c>
      <c r="B82" t="s">
        <v>316</v>
      </c>
      <c r="C82" t="s">
        <v>59</v>
      </c>
      <c r="E82" t="str">
        <f>"GAB2025332"</f>
        <v>GAB2025332</v>
      </c>
      <c r="F82" s="1">
        <v>45750</v>
      </c>
      <c r="G82">
        <v>202601</v>
      </c>
      <c r="H82" t="s">
        <v>77</v>
      </c>
      <c r="I82" t="s">
        <v>78</v>
      </c>
      <c r="J82" t="s">
        <v>317</v>
      </c>
      <c r="K82" t="s">
        <v>62</v>
      </c>
      <c r="L82" t="s">
        <v>254</v>
      </c>
      <c r="M82" t="s">
        <v>255</v>
      </c>
      <c r="N82" t="s">
        <v>614</v>
      </c>
      <c r="O82" t="s">
        <v>65</v>
      </c>
      <c r="P82" t="str">
        <f>"INV-00034297 031602           "</f>
        <v xml:space="preserve">INV-00034297 031602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42.84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1.9</v>
      </c>
      <c r="BK82">
        <v>2</v>
      </c>
      <c r="BL82" s="4">
        <v>137</v>
      </c>
      <c r="BM82" s="4">
        <v>20.55</v>
      </c>
      <c r="BN82" s="4">
        <v>157.55000000000001</v>
      </c>
      <c r="BO82" s="4">
        <v>157.55000000000001</v>
      </c>
      <c r="BQ82" t="s">
        <v>615</v>
      </c>
      <c r="BR82" t="s">
        <v>320</v>
      </c>
      <c r="BS82" s="1">
        <v>45752</v>
      </c>
      <c r="BT82" s="2">
        <v>0.4909722222222222</v>
      </c>
      <c r="BU82" t="s">
        <v>616</v>
      </c>
      <c r="BV82" t="s">
        <v>74</v>
      </c>
      <c r="BY82">
        <v>9583.6</v>
      </c>
      <c r="BZ82" t="s">
        <v>79</v>
      </c>
      <c r="CA82" t="s">
        <v>298</v>
      </c>
      <c r="CC82" t="s">
        <v>255</v>
      </c>
      <c r="CD82">
        <v>4420</v>
      </c>
      <c r="CE82" t="s">
        <v>393</v>
      </c>
      <c r="CF82" s="1">
        <v>45754</v>
      </c>
      <c r="CI82">
        <v>2</v>
      </c>
      <c r="CJ82">
        <v>1</v>
      </c>
      <c r="CK82">
        <v>23</v>
      </c>
      <c r="CL82" t="s">
        <v>66</v>
      </c>
    </row>
    <row r="83" spans="1:90" x14ac:dyDescent="0.3">
      <c r="A83" t="s">
        <v>315</v>
      </c>
      <c r="B83" t="s">
        <v>316</v>
      </c>
      <c r="C83" t="s">
        <v>59</v>
      </c>
      <c r="E83" t="str">
        <f>"GAB2025333"</f>
        <v>GAB2025333</v>
      </c>
      <c r="F83" s="1">
        <v>45750</v>
      </c>
      <c r="G83">
        <v>202601</v>
      </c>
      <c r="H83" t="s">
        <v>77</v>
      </c>
      <c r="I83" t="s">
        <v>78</v>
      </c>
      <c r="J83" t="s">
        <v>317</v>
      </c>
      <c r="K83" t="s">
        <v>62</v>
      </c>
      <c r="L83" t="s">
        <v>91</v>
      </c>
      <c r="M83" t="s">
        <v>92</v>
      </c>
      <c r="N83" t="s">
        <v>617</v>
      </c>
      <c r="O83" t="s">
        <v>65</v>
      </c>
      <c r="P83" t="str">
        <f>"INV-00116688 CT093670         "</f>
        <v xml:space="preserve">INV-00116688 CT093670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22.11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0.7</v>
      </c>
      <c r="BJ83">
        <v>1.7</v>
      </c>
      <c r="BK83">
        <v>2</v>
      </c>
      <c r="BL83" s="4">
        <v>70.709999999999994</v>
      </c>
      <c r="BM83" s="4">
        <v>10.61</v>
      </c>
      <c r="BN83" s="4">
        <v>81.319999999999993</v>
      </c>
      <c r="BO83" s="4">
        <v>81.319999999999993</v>
      </c>
      <c r="BQ83" t="s">
        <v>618</v>
      </c>
      <c r="BR83" t="s">
        <v>320</v>
      </c>
      <c r="BS83" s="1">
        <v>45755</v>
      </c>
      <c r="BT83" s="2">
        <v>0.42638888888888887</v>
      </c>
      <c r="BU83" t="s">
        <v>619</v>
      </c>
      <c r="BV83" t="s">
        <v>66</v>
      </c>
      <c r="BW83" t="s">
        <v>71</v>
      </c>
      <c r="BX83" t="s">
        <v>99</v>
      </c>
      <c r="BY83">
        <v>8553.6</v>
      </c>
      <c r="BZ83" t="s">
        <v>79</v>
      </c>
      <c r="CA83" t="s">
        <v>253</v>
      </c>
      <c r="CC83" t="s">
        <v>92</v>
      </c>
      <c r="CD83" s="3" t="s">
        <v>94</v>
      </c>
      <c r="CE83" t="s">
        <v>434</v>
      </c>
      <c r="CF83" s="1">
        <v>45756</v>
      </c>
      <c r="CI83">
        <v>1</v>
      </c>
      <c r="CJ83">
        <v>3</v>
      </c>
      <c r="CK83">
        <v>21</v>
      </c>
      <c r="CL83" t="s">
        <v>66</v>
      </c>
    </row>
    <row r="84" spans="1:90" x14ac:dyDescent="0.3">
      <c r="A84" t="s">
        <v>315</v>
      </c>
      <c r="B84" t="s">
        <v>316</v>
      </c>
      <c r="C84" t="s">
        <v>59</v>
      </c>
      <c r="E84" t="str">
        <f>"GAB2025335"</f>
        <v>GAB2025335</v>
      </c>
      <c r="F84" s="1">
        <v>45750</v>
      </c>
      <c r="G84">
        <v>202601</v>
      </c>
      <c r="H84" t="s">
        <v>77</v>
      </c>
      <c r="I84" t="s">
        <v>78</v>
      </c>
      <c r="J84" t="s">
        <v>317</v>
      </c>
      <c r="K84" t="s">
        <v>62</v>
      </c>
      <c r="L84" t="s">
        <v>83</v>
      </c>
      <c r="M84" t="s">
        <v>84</v>
      </c>
      <c r="N84" t="s">
        <v>483</v>
      </c>
      <c r="O84" t="s">
        <v>65</v>
      </c>
      <c r="P84" t="str">
        <f>"INV-00034294 031677           "</f>
        <v xml:space="preserve">INV-00034294 031677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33.159999999999997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0.3</v>
      </c>
      <c r="BJ84">
        <v>2.8</v>
      </c>
      <c r="BK84">
        <v>3</v>
      </c>
      <c r="BL84" s="4">
        <v>106.04</v>
      </c>
      <c r="BM84" s="4">
        <v>15.91</v>
      </c>
      <c r="BN84" s="4">
        <v>121.95</v>
      </c>
      <c r="BO84" s="4">
        <v>121.95</v>
      </c>
      <c r="BQ84" t="s">
        <v>612</v>
      </c>
      <c r="BR84" t="s">
        <v>320</v>
      </c>
      <c r="BS84" s="1">
        <v>45754</v>
      </c>
      <c r="BT84" s="2">
        <v>0.4201388888888889</v>
      </c>
      <c r="BU84" t="s">
        <v>620</v>
      </c>
      <c r="BV84" t="s">
        <v>66</v>
      </c>
      <c r="BY84">
        <v>13797.54</v>
      </c>
      <c r="BZ84" t="s">
        <v>79</v>
      </c>
      <c r="CA84" t="s">
        <v>176</v>
      </c>
      <c r="CC84" t="s">
        <v>84</v>
      </c>
      <c r="CD84">
        <v>3201</v>
      </c>
      <c r="CE84" t="s">
        <v>389</v>
      </c>
      <c r="CF84" s="1">
        <v>45755</v>
      </c>
      <c r="CI84">
        <v>1</v>
      </c>
      <c r="CJ84">
        <v>2</v>
      </c>
      <c r="CK84">
        <v>21</v>
      </c>
      <c r="CL84" t="s">
        <v>66</v>
      </c>
    </row>
    <row r="85" spans="1:90" x14ac:dyDescent="0.3">
      <c r="A85" t="s">
        <v>315</v>
      </c>
      <c r="B85" t="s">
        <v>316</v>
      </c>
      <c r="C85" t="s">
        <v>59</v>
      </c>
      <c r="E85" t="str">
        <f>"GAB2025336"</f>
        <v>GAB2025336</v>
      </c>
      <c r="F85" s="1">
        <v>45750</v>
      </c>
      <c r="G85">
        <v>202601</v>
      </c>
      <c r="H85" t="s">
        <v>77</v>
      </c>
      <c r="I85" t="s">
        <v>78</v>
      </c>
      <c r="J85" t="s">
        <v>317</v>
      </c>
      <c r="K85" t="s">
        <v>62</v>
      </c>
      <c r="L85" t="s">
        <v>89</v>
      </c>
      <c r="M85" t="s">
        <v>90</v>
      </c>
      <c r="N85" t="s">
        <v>621</v>
      </c>
      <c r="O85" t="s">
        <v>65</v>
      </c>
      <c r="P85" t="str">
        <f>"INV-00034288 031610           "</f>
        <v xml:space="preserve">INV-00034288 031610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22.11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0.2</v>
      </c>
      <c r="BJ85">
        <v>1.6</v>
      </c>
      <c r="BK85">
        <v>2</v>
      </c>
      <c r="BL85" s="4">
        <v>70.709999999999994</v>
      </c>
      <c r="BM85" s="4">
        <v>10.61</v>
      </c>
      <c r="BN85" s="4">
        <v>81.319999999999993</v>
      </c>
      <c r="BO85" s="4">
        <v>81.319999999999993</v>
      </c>
      <c r="BQ85" t="s">
        <v>622</v>
      </c>
      <c r="BR85" t="s">
        <v>320</v>
      </c>
      <c r="BS85" s="1">
        <v>45752</v>
      </c>
      <c r="BT85" s="2">
        <v>0.43194444444444446</v>
      </c>
      <c r="BU85" t="s">
        <v>221</v>
      </c>
      <c r="BV85" t="s">
        <v>74</v>
      </c>
      <c r="BY85">
        <v>7983.36</v>
      </c>
      <c r="BZ85" t="s">
        <v>79</v>
      </c>
      <c r="CA85" t="s">
        <v>121</v>
      </c>
      <c r="CC85" t="s">
        <v>90</v>
      </c>
      <c r="CD85">
        <v>4080</v>
      </c>
      <c r="CE85" t="s">
        <v>343</v>
      </c>
      <c r="CF85" s="1">
        <v>45754</v>
      </c>
      <c r="CI85">
        <v>2</v>
      </c>
      <c r="CJ85">
        <v>1</v>
      </c>
      <c r="CK85">
        <v>21</v>
      </c>
      <c r="CL85" t="s">
        <v>66</v>
      </c>
    </row>
    <row r="86" spans="1:90" x14ac:dyDescent="0.3">
      <c r="A86" t="s">
        <v>315</v>
      </c>
      <c r="B86" t="s">
        <v>316</v>
      </c>
      <c r="C86" t="s">
        <v>59</v>
      </c>
      <c r="E86" t="str">
        <f>"GAB2025337"</f>
        <v>GAB2025337</v>
      </c>
      <c r="F86" s="1">
        <v>45750</v>
      </c>
      <c r="G86">
        <v>202601</v>
      </c>
      <c r="H86" t="s">
        <v>77</v>
      </c>
      <c r="I86" t="s">
        <v>78</v>
      </c>
      <c r="J86" t="s">
        <v>317</v>
      </c>
      <c r="K86" t="s">
        <v>62</v>
      </c>
      <c r="L86" t="s">
        <v>106</v>
      </c>
      <c r="M86" t="s">
        <v>107</v>
      </c>
      <c r="N86" t="s">
        <v>623</v>
      </c>
      <c r="O86" t="s">
        <v>65</v>
      </c>
      <c r="P86" t="str">
        <f>"INV-00034296 031605           "</f>
        <v xml:space="preserve">INV-00034296 031605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22.11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0.2</v>
      </c>
      <c r="BJ86">
        <v>1.9</v>
      </c>
      <c r="BK86">
        <v>2</v>
      </c>
      <c r="BL86" s="4">
        <v>70.709999999999994</v>
      </c>
      <c r="BM86" s="4">
        <v>10.61</v>
      </c>
      <c r="BN86" s="4">
        <v>81.319999999999993</v>
      </c>
      <c r="BO86" s="4">
        <v>81.319999999999993</v>
      </c>
      <c r="BQ86" t="s">
        <v>624</v>
      </c>
      <c r="BR86" t="s">
        <v>320</v>
      </c>
      <c r="BS86" s="1">
        <v>45751</v>
      </c>
      <c r="BT86" s="2">
        <v>0.41666666666666669</v>
      </c>
      <c r="BU86" t="s">
        <v>625</v>
      </c>
      <c r="BV86" t="s">
        <v>74</v>
      </c>
      <c r="BY86">
        <v>9682.2000000000007</v>
      </c>
      <c r="BZ86" t="s">
        <v>79</v>
      </c>
      <c r="CC86" t="s">
        <v>107</v>
      </c>
      <c r="CD86">
        <v>1470</v>
      </c>
      <c r="CE86" t="s">
        <v>393</v>
      </c>
      <c r="CF86" s="1">
        <v>45752</v>
      </c>
      <c r="CI86">
        <v>1</v>
      </c>
      <c r="CJ86">
        <v>1</v>
      </c>
      <c r="CK86">
        <v>21</v>
      </c>
      <c r="CL86" t="s">
        <v>66</v>
      </c>
    </row>
    <row r="87" spans="1:90" x14ac:dyDescent="0.3">
      <c r="A87" t="s">
        <v>315</v>
      </c>
      <c r="B87" t="s">
        <v>316</v>
      </c>
      <c r="C87" t="s">
        <v>59</v>
      </c>
      <c r="E87" t="str">
        <f>"GAB2025338"</f>
        <v>GAB2025338</v>
      </c>
      <c r="F87" s="1">
        <v>45750</v>
      </c>
      <c r="G87">
        <v>202601</v>
      </c>
      <c r="H87" t="s">
        <v>77</v>
      </c>
      <c r="I87" t="s">
        <v>78</v>
      </c>
      <c r="J87" t="s">
        <v>317</v>
      </c>
      <c r="K87" t="s">
        <v>62</v>
      </c>
      <c r="L87" t="s">
        <v>89</v>
      </c>
      <c r="M87" t="s">
        <v>90</v>
      </c>
      <c r="N87" t="s">
        <v>485</v>
      </c>
      <c r="O87" t="s">
        <v>65</v>
      </c>
      <c r="P87" t="str">
        <f>"INV-00034298 031593           "</f>
        <v xml:space="preserve">INV-00034298 031593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27.64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0.3</v>
      </c>
      <c r="BJ87">
        <v>2.2999999999999998</v>
      </c>
      <c r="BK87">
        <v>2.5</v>
      </c>
      <c r="BL87" s="4">
        <v>88.38</v>
      </c>
      <c r="BM87" s="4">
        <v>13.26</v>
      </c>
      <c r="BN87" s="4">
        <v>101.64</v>
      </c>
      <c r="BO87" s="4">
        <v>101.64</v>
      </c>
      <c r="BQ87" t="s">
        <v>404</v>
      </c>
      <c r="BR87" t="s">
        <v>320</v>
      </c>
      <c r="BS87" s="1">
        <v>45752</v>
      </c>
      <c r="BT87" s="2">
        <v>0.46597222222222223</v>
      </c>
      <c r="BU87" t="s">
        <v>626</v>
      </c>
      <c r="BV87" t="s">
        <v>74</v>
      </c>
      <c r="BY87">
        <v>11536</v>
      </c>
      <c r="BZ87" t="s">
        <v>79</v>
      </c>
      <c r="CA87" t="s">
        <v>627</v>
      </c>
      <c r="CC87" t="s">
        <v>90</v>
      </c>
      <c r="CD87">
        <v>4001</v>
      </c>
      <c r="CE87" t="s">
        <v>628</v>
      </c>
      <c r="CF87" s="1">
        <v>45754</v>
      </c>
      <c r="CI87">
        <v>2</v>
      </c>
      <c r="CJ87">
        <v>1</v>
      </c>
      <c r="CK87">
        <v>21</v>
      </c>
      <c r="CL87" t="s">
        <v>66</v>
      </c>
    </row>
    <row r="88" spans="1:90" x14ac:dyDescent="0.3">
      <c r="A88" t="s">
        <v>315</v>
      </c>
      <c r="B88" t="s">
        <v>316</v>
      </c>
      <c r="C88" t="s">
        <v>59</v>
      </c>
      <c r="E88" t="str">
        <f>"GAB2025339"</f>
        <v>GAB2025339</v>
      </c>
      <c r="F88" s="1">
        <v>45750</v>
      </c>
      <c r="G88">
        <v>202601</v>
      </c>
      <c r="H88" t="s">
        <v>77</v>
      </c>
      <c r="I88" t="s">
        <v>78</v>
      </c>
      <c r="J88" t="s">
        <v>317</v>
      </c>
      <c r="K88" t="s">
        <v>62</v>
      </c>
      <c r="L88" t="s">
        <v>126</v>
      </c>
      <c r="M88" t="s">
        <v>127</v>
      </c>
      <c r="N88" t="s">
        <v>629</v>
      </c>
      <c r="O88" t="s">
        <v>65</v>
      </c>
      <c r="P88" t="str">
        <f>"INV-00034299 031681           "</f>
        <v xml:space="preserve">INV-00034299 031681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27.64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0.3</v>
      </c>
      <c r="BJ88">
        <v>2.4</v>
      </c>
      <c r="BK88">
        <v>2.5</v>
      </c>
      <c r="BL88" s="4">
        <v>88.38</v>
      </c>
      <c r="BM88" s="4">
        <v>13.26</v>
      </c>
      <c r="BN88" s="4">
        <v>101.64</v>
      </c>
      <c r="BO88" s="4">
        <v>101.64</v>
      </c>
      <c r="BQ88" t="s">
        <v>630</v>
      </c>
      <c r="BR88" t="s">
        <v>320</v>
      </c>
      <c r="BS88" s="1">
        <v>45751</v>
      </c>
      <c r="BT88" s="2">
        <v>0.3923611111111111</v>
      </c>
      <c r="BU88" t="s">
        <v>631</v>
      </c>
      <c r="BV88" t="s">
        <v>74</v>
      </c>
      <c r="BY88">
        <v>12035.15</v>
      </c>
      <c r="BZ88" t="s">
        <v>79</v>
      </c>
      <c r="CA88" t="s">
        <v>632</v>
      </c>
      <c r="CC88" t="s">
        <v>127</v>
      </c>
      <c r="CD88">
        <v>1724</v>
      </c>
      <c r="CE88" t="s">
        <v>633</v>
      </c>
      <c r="CF88" s="1">
        <v>45751</v>
      </c>
      <c r="CI88">
        <v>1</v>
      </c>
      <c r="CJ88">
        <v>1</v>
      </c>
      <c r="CK88">
        <v>21</v>
      </c>
      <c r="CL88" t="s">
        <v>66</v>
      </c>
    </row>
    <row r="89" spans="1:90" x14ac:dyDescent="0.3">
      <c r="A89" t="s">
        <v>315</v>
      </c>
      <c r="B89" t="s">
        <v>316</v>
      </c>
      <c r="C89" t="s">
        <v>59</v>
      </c>
      <c r="E89" t="str">
        <f>"GAB2025340"</f>
        <v>GAB2025340</v>
      </c>
      <c r="F89" s="1">
        <v>45750</v>
      </c>
      <c r="G89">
        <v>202601</v>
      </c>
      <c r="H89" t="s">
        <v>77</v>
      </c>
      <c r="I89" t="s">
        <v>78</v>
      </c>
      <c r="J89" t="s">
        <v>317</v>
      </c>
      <c r="K89" t="s">
        <v>62</v>
      </c>
      <c r="L89" t="s">
        <v>142</v>
      </c>
      <c r="M89" t="s">
        <v>143</v>
      </c>
      <c r="N89" t="s">
        <v>634</v>
      </c>
      <c r="O89" t="s">
        <v>65</v>
      </c>
      <c r="P89" t="str">
        <f>"INV-00034300 031569           "</f>
        <v xml:space="preserve">INV-00034300 031569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22.11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0.2</v>
      </c>
      <c r="BJ89">
        <v>1.8</v>
      </c>
      <c r="BK89">
        <v>2</v>
      </c>
      <c r="BL89" s="4">
        <v>70.709999999999994</v>
      </c>
      <c r="BM89" s="4">
        <v>10.61</v>
      </c>
      <c r="BN89" s="4">
        <v>81.319999999999993</v>
      </c>
      <c r="BO89" s="4">
        <v>81.319999999999993</v>
      </c>
      <c r="BQ89" t="s">
        <v>440</v>
      </c>
      <c r="BR89" t="s">
        <v>320</v>
      </c>
      <c r="BS89" s="1">
        <v>45751</v>
      </c>
      <c r="BT89" s="2">
        <v>0.37013888888888891</v>
      </c>
      <c r="BU89" t="s">
        <v>264</v>
      </c>
      <c r="BV89" t="s">
        <v>74</v>
      </c>
      <c r="BY89">
        <v>9047.2800000000007</v>
      </c>
      <c r="BZ89" t="s">
        <v>79</v>
      </c>
      <c r="CA89" t="s">
        <v>635</v>
      </c>
      <c r="CC89" t="s">
        <v>143</v>
      </c>
      <c r="CD89" s="3" t="s">
        <v>144</v>
      </c>
      <c r="CE89" t="s">
        <v>393</v>
      </c>
      <c r="CF89" s="1">
        <v>45751</v>
      </c>
      <c r="CI89">
        <v>1</v>
      </c>
      <c r="CJ89">
        <v>1</v>
      </c>
      <c r="CK89">
        <v>21</v>
      </c>
      <c r="CL89" t="s">
        <v>66</v>
      </c>
    </row>
    <row r="90" spans="1:90" x14ac:dyDescent="0.3">
      <c r="A90" t="s">
        <v>315</v>
      </c>
      <c r="B90" t="s">
        <v>316</v>
      </c>
      <c r="C90" t="s">
        <v>59</v>
      </c>
      <c r="E90" t="str">
        <f>"GAB2025345"</f>
        <v>GAB2025345</v>
      </c>
      <c r="F90" s="1">
        <v>45750</v>
      </c>
      <c r="G90">
        <v>202601</v>
      </c>
      <c r="H90" t="s">
        <v>77</v>
      </c>
      <c r="I90" t="s">
        <v>78</v>
      </c>
      <c r="J90" t="s">
        <v>317</v>
      </c>
      <c r="K90" t="s">
        <v>62</v>
      </c>
      <c r="L90" t="s">
        <v>194</v>
      </c>
      <c r="M90" t="s">
        <v>195</v>
      </c>
      <c r="N90" t="s">
        <v>570</v>
      </c>
      <c r="O90" t="s">
        <v>65</v>
      </c>
      <c r="P90" t="str">
        <f>"INV-00116717 CT093682         "</f>
        <v xml:space="preserve">INV-00116717 CT093682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27.64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0.2</v>
      </c>
      <c r="BJ90">
        <v>2.2000000000000002</v>
      </c>
      <c r="BK90">
        <v>2.5</v>
      </c>
      <c r="BL90" s="4">
        <v>88.38</v>
      </c>
      <c r="BM90" s="4">
        <v>13.26</v>
      </c>
      <c r="BN90" s="4">
        <v>101.64</v>
      </c>
      <c r="BO90" s="4">
        <v>101.64</v>
      </c>
      <c r="BR90" t="s">
        <v>320</v>
      </c>
      <c r="BS90" s="1">
        <v>45751</v>
      </c>
      <c r="BT90" s="2">
        <v>0.46736111111111112</v>
      </c>
      <c r="BU90" t="s">
        <v>571</v>
      </c>
      <c r="BV90" t="s">
        <v>66</v>
      </c>
      <c r="BW90" t="s">
        <v>71</v>
      </c>
      <c r="BX90" t="s">
        <v>213</v>
      </c>
      <c r="BY90">
        <v>10990.98</v>
      </c>
      <c r="BZ90" t="s">
        <v>79</v>
      </c>
      <c r="CA90" t="s">
        <v>636</v>
      </c>
      <c r="CC90" t="s">
        <v>195</v>
      </c>
      <c r="CD90">
        <v>1501</v>
      </c>
      <c r="CE90" t="s">
        <v>343</v>
      </c>
      <c r="CF90" s="1">
        <v>45751</v>
      </c>
      <c r="CI90">
        <v>1</v>
      </c>
      <c r="CJ90">
        <v>1</v>
      </c>
      <c r="CK90">
        <v>21</v>
      </c>
      <c r="CL90" t="s">
        <v>66</v>
      </c>
    </row>
    <row r="91" spans="1:90" x14ac:dyDescent="0.3">
      <c r="A91" t="s">
        <v>315</v>
      </c>
      <c r="B91" t="s">
        <v>316</v>
      </c>
      <c r="C91" t="s">
        <v>59</v>
      </c>
      <c r="E91" t="str">
        <f>"GAB2025348"</f>
        <v>GAB2025348</v>
      </c>
      <c r="F91" s="1">
        <v>45750</v>
      </c>
      <c r="G91">
        <v>202601</v>
      </c>
      <c r="H91" t="s">
        <v>77</v>
      </c>
      <c r="I91" t="s">
        <v>78</v>
      </c>
      <c r="J91" t="s">
        <v>317</v>
      </c>
      <c r="K91" t="s">
        <v>62</v>
      </c>
      <c r="L91" t="s">
        <v>89</v>
      </c>
      <c r="M91" t="s">
        <v>90</v>
      </c>
      <c r="N91" t="s">
        <v>637</v>
      </c>
      <c r="O91" t="s">
        <v>65</v>
      </c>
      <c r="P91" t="str">
        <f>"INV-00116702 CT093679         "</f>
        <v xml:space="preserve">INV-00116702 CT093679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22.11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1.9</v>
      </c>
      <c r="BK91">
        <v>2</v>
      </c>
      <c r="BL91" s="4">
        <v>70.709999999999994</v>
      </c>
      <c r="BM91" s="4">
        <v>10.61</v>
      </c>
      <c r="BN91" s="4">
        <v>81.319999999999993</v>
      </c>
      <c r="BO91" s="4">
        <v>81.319999999999993</v>
      </c>
      <c r="BR91" t="s">
        <v>320</v>
      </c>
      <c r="BS91" s="1">
        <v>45754</v>
      </c>
      <c r="BT91" s="2">
        <v>0.55902777777777779</v>
      </c>
      <c r="BU91" t="s">
        <v>638</v>
      </c>
      <c r="BV91" t="s">
        <v>66</v>
      </c>
      <c r="BW91" t="s">
        <v>112</v>
      </c>
      <c r="BX91" t="s">
        <v>164</v>
      </c>
      <c r="BY91">
        <v>9438</v>
      </c>
      <c r="BZ91" t="s">
        <v>79</v>
      </c>
      <c r="CA91" t="s">
        <v>232</v>
      </c>
      <c r="CC91" t="s">
        <v>90</v>
      </c>
      <c r="CD91">
        <v>4001</v>
      </c>
      <c r="CE91" t="s">
        <v>393</v>
      </c>
      <c r="CF91" s="1">
        <v>45763</v>
      </c>
      <c r="CI91">
        <v>2</v>
      </c>
      <c r="CJ91">
        <v>2</v>
      </c>
      <c r="CK91">
        <v>21</v>
      </c>
      <c r="CL91" t="s">
        <v>66</v>
      </c>
    </row>
    <row r="92" spans="1:90" x14ac:dyDescent="0.3">
      <c r="A92" t="s">
        <v>315</v>
      </c>
      <c r="B92" t="s">
        <v>316</v>
      </c>
      <c r="C92" t="s">
        <v>59</v>
      </c>
      <c r="E92" t="str">
        <f>"GAB2025349"</f>
        <v>GAB2025349</v>
      </c>
      <c r="F92" s="1">
        <v>45750</v>
      </c>
      <c r="G92">
        <v>202601</v>
      </c>
      <c r="H92" t="s">
        <v>77</v>
      </c>
      <c r="I92" t="s">
        <v>78</v>
      </c>
      <c r="J92" t="s">
        <v>317</v>
      </c>
      <c r="K92" t="s">
        <v>62</v>
      </c>
      <c r="L92" t="s">
        <v>126</v>
      </c>
      <c r="M92" t="s">
        <v>127</v>
      </c>
      <c r="N92" t="s">
        <v>639</v>
      </c>
      <c r="O92" t="s">
        <v>65</v>
      </c>
      <c r="P92" t="str">
        <f>"INV-00116703 CT093678         "</f>
        <v xml:space="preserve">INV-00116703 CT093678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27.64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0.4</v>
      </c>
      <c r="BJ92">
        <v>2.5</v>
      </c>
      <c r="BK92">
        <v>2.5</v>
      </c>
      <c r="BL92" s="4">
        <v>88.38</v>
      </c>
      <c r="BM92" s="4">
        <v>13.26</v>
      </c>
      <c r="BN92" s="4">
        <v>101.64</v>
      </c>
      <c r="BO92" s="4">
        <v>101.64</v>
      </c>
      <c r="BR92" t="s">
        <v>320</v>
      </c>
      <c r="BS92" s="1">
        <v>45751</v>
      </c>
      <c r="BT92" s="2">
        <v>0.3347222222222222</v>
      </c>
      <c r="BU92" t="s">
        <v>640</v>
      </c>
      <c r="BV92" t="s">
        <v>74</v>
      </c>
      <c r="BY92">
        <v>12687.36</v>
      </c>
      <c r="BZ92" t="s">
        <v>79</v>
      </c>
      <c r="CA92" t="s">
        <v>641</v>
      </c>
      <c r="CC92" t="s">
        <v>127</v>
      </c>
      <c r="CD92">
        <v>1724</v>
      </c>
      <c r="CE92" t="s">
        <v>382</v>
      </c>
      <c r="CF92" s="1">
        <v>45751</v>
      </c>
      <c r="CI92">
        <v>1</v>
      </c>
      <c r="CJ92">
        <v>1</v>
      </c>
      <c r="CK92">
        <v>21</v>
      </c>
      <c r="CL92" t="s">
        <v>66</v>
      </c>
    </row>
    <row r="93" spans="1:90" x14ac:dyDescent="0.3">
      <c r="A93" t="s">
        <v>315</v>
      </c>
      <c r="B93" t="s">
        <v>316</v>
      </c>
      <c r="C93" t="s">
        <v>59</v>
      </c>
      <c r="E93" t="str">
        <f>"GAB2025350"</f>
        <v>GAB2025350</v>
      </c>
      <c r="F93" s="1">
        <v>45750</v>
      </c>
      <c r="G93">
        <v>202601</v>
      </c>
      <c r="H93" t="s">
        <v>77</v>
      </c>
      <c r="I93" t="s">
        <v>78</v>
      </c>
      <c r="J93" t="s">
        <v>317</v>
      </c>
      <c r="K93" t="s">
        <v>62</v>
      </c>
      <c r="L93" t="s">
        <v>139</v>
      </c>
      <c r="M93" t="s">
        <v>140</v>
      </c>
      <c r="N93" t="s">
        <v>642</v>
      </c>
      <c r="O93" t="s">
        <v>65</v>
      </c>
      <c r="P93" t="str">
        <f>"INV-00116704 CT093673         "</f>
        <v xml:space="preserve">INV-00116704 CT093673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46.24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0.4</v>
      </c>
      <c r="BJ93">
        <v>2.6</v>
      </c>
      <c r="BK93">
        <v>3</v>
      </c>
      <c r="BL93" s="4">
        <v>147.87</v>
      </c>
      <c r="BM93" s="4">
        <v>22.18</v>
      </c>
      <c r="BN93" s="4">
        <v>170.05</v>
      </c>
      <c r="BO93" s="4">
        <v>170.05</v>
      </c>
      <c r="BQ93" t="s">
        <v>643</v>
      </c>
      <c r="BR93" t="s">
        <v>320</v>
      </c>
      <c r="BS93" s="1">
        <v>45751</v>
      </c>
      <c r="BT93" s="2">
        <v>0.50347222222222221</v>
      </c>
      <c r="BU93" t="s">
        <v>644</v>
      </c>
      <c r="BV93" t="s">
        <v>74</v>
      </c>
      <c r="BY93">
        <v>12862.2</v>
      </c>
      <c r="BZ93" t="s">
        <v>79</v>
      </c>
      <c r="CA93" t="s">
        <v>224</v>
      </c>
      <c r="CC93" t="s">
        <v>140</v>
      </c>
      <c r="CD93">
        <v>7140</v>
      </c>
      <c r="CE93" t="s">
        <v>578</v>
      </c>
      <c r="CF93" s="1">
        <v>45754</v>
      </c>
      <c r="CI93">
        <v>1</v>
      </c>
      <c r="CJ93">
        <v>1</v>
      </c>
      <c r="CK93">
        <v>24</v>
      </c>
      <c r="CL93" t="s">
        <v>66</v>
      </c>
    </row>
    <row r="94" spans="1:90" x14ac:dyDescent="0.3">
      <c r="A94" t="s">
        <v>315</v>
      </c>
      <c r="B94" t="s">
        <v>316</v>
      </c>
      <c r="C94" t="s">
        <v>59</v>
      </c>
      <c r="E94" t="str">
        <f>"GAB2025351"</f>
        <v>GAB2025351</v>
      </c>
      <c r="F94" s="1">
        <v>45750</v>
      </c>
      <c r="G94">
        <v>202601</v>
      </c>
      <c r="H94" t="s">
        <v>77</v>
      </c>
      <c r="I94" t="s">
        <v>78</v>
      </c>
      <c r="J94" t="s">
        <v>317</v>
      </c>
      <c r="K94" t="s">
        <v>62</v>
      </c>
      <c r="L94" t="s">
        <v>89</v>
      </c>
      <c r="M94" t="s">
        <v>90</v>
      </c>
      <c r="N94" t="s">
        <v>645</v>
      </c>
      <c r="O94" t="s">
        <v>65</v>
      </c>
      <c r="P94" t="str">
        <f>"INV-00116705 CT093228         "</f>
        <v xml:space="preserve">INV-00116705 CT093228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27.64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0.2</v>
      </c>
      <c r="BJ94">
        <v>2.4</v>
      </c>
      <c r="BK94">
        <v>2.5</v>
      </c>
      <c r="BL94" s="4">
        <v>88.38</v>
      </c>
      <c r="BM94" s="4">
        <v>13.26</v>
      </c>
      <c r="BN94" s="4">
        <v>101.64</v>
      </c>
      <c r="BO94" s="4">
        <v>101.64</v>
      </c>
      <c r="BQ94" t="s">
        <v>646</v>
      </c>
      <c r="BR94" t="s">
        <v>320</v>
      </c>
      <c r="BS94" s="1">
        <v>45754</v>
      </c>
      <c r="BT94" s="2">
        <v>0.60555555555555551</v>
      </c>
      <c r="BU94" t="s">
        <v>647</v>
      </c>
      <c r="BV94" t="s">
        <v>66</v>
      </c>
      <c r="BW94" t="s">
        <v>234</v>
      </c>
      <c r="BX94" t="s">
        <v>164</v>
      </c>
      <c r="BY94">
        <v>12120</v>
      </c>
      <c r="BZ94" t="s">
        <v>79</v>
      </c>
      <c r="CA94" t="s">
        <v>648</v>
      </c>
      <c r="CC94" t="s">
        <v>90</v>
      </c>
      <c r="CD94">
        <v>4091</v>
      </c>
      <c r="CE94" t="s">
        <v>343</v>
      </c>
      <c r="CF94" s="1">
        <v>45756</v>
      </c>
      <c r="CI94">
        <v>2</v>
      </c>
      <c r="CJ94">
        <v>2</v>
      </c>
      <c r="CK94">
        <v>21</v>
      </c>
      <c r="CL94" t="s">
        <v>66</v>
      </c>
    </row>
    <row r="95" spans="1:90" x14ac:dyDescent="0.3">
      <c r="A95" t="s">
        <v>315</v>
      </c>
      <c r="B95" t="s">
        <v>316</v>
      </c>
      <c r="C95" t="s">
        <v>59</v>
      </c>
      <c r="E95" t="str">
        <f>"GAB2025354"</f>
        <v>GAB2025354</v>
      </c>
      <c r="F95" s="1">
        <v>45750</v>
      </c>
      <c r="G95">
        <v>202601</v>
      </c>
      <c r="H95" t="s">
        <v>77</v>
      </c>
      <c r="I95" t="s">
        <v>78</v>
      </c>
      <c r="J95" t="s">
        <v>317</v>
      </c>
      <c r="K95" t="s">
        <v>62</v>
      </c>
      <c r="L95" t="s">
        <v>649</v>
      </c>
      <c r="M95" t="s">
        <v>650</v>
      </c>
      <c r="N95" t="s">
        <v>651</v>
      </c>
      <c r="O95" t="s">
        <v>65</v>
      </c>
      <c r="P95" t="str">
        <f>"INV-00116711 CT093520         "</f>
        <v xml:space="preserve">INV-00116711 CT093520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42.84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0.7</v>
      </c>
      <c r="BJ95">
        <v>1.7</v>
      </c>
      <c r="BK95">
        <v>2</v>
      </c>
      <c r="BL95" s="4">
        <v>137</v>
      </c>
      <c r="BM95" s="4">
        <v>20.55</v>
      </c>
      <c r="BN95" s="4">
        <v>157.55000000000001</v>
      </c>
      <c r="BO95" s="4">
        <v>157.55000000000001</v>
      </c>
      <c r="BR95" t="s">
        <v>320</v>
      </c>
      <c r="BS95" s="1">
        <v>45754</v>
      </c>
      <c r="BT95" s="2">
        <v>0.63263888888888886</v>
      </c>
      <c r="BU95" t="s">
        <v>652</v>
      </c>
      <c r="BV95" t="s">
        <v>74</v>
      </c>
      <c r="BY95">
        <v>8304.1200000000008</v>
      </c>
      <c r="BZ95" t="s">
        <v>79</v>
      </c>
      <c r="CC95" t="s">
        <v>650</v>
      </c>
      <c r="CD95">
        <v>5370</v>
      </c>
      <c r="CE95" t="s">
        <v>653</v>
      </c>
      <c r="CF95" s="1">
        <v>45756</v>
      </c>
      <c r="CI95">
        <v>5</v>
      </c>
      <c r="CJ95">
        <v>2</v>
      </c>
      <c r="CK95">
        <v>23</v>
      </c>
      <c r="CL95" t="s">
        <v>66</v>
      </c>
    </row>
    <row r="96" spans="1:90" x14ac:dyDescent="0.3">
      <c r="A96" t="s">
        <v>315</v>
      </c>
      <c r="B96" t="s">
        <v>316</v>
      </c>
      <c r="C96" t="s">
        <v>59</v>
      </c>
      <c r="E96" t="str">
        <f>"GAB2025357"</f>
        <v>GAB2025357</v>
      </c>
      <c r="F96" s="1">
        <v>45750</v>
      </c>
      <c r="G96">
        <v>202601</v>
      </c>
      <c r="H96" t="s">
        <v>77</v>
      </c>
      <c r="I96" t="s">
        <v>78</v>
      </c>
      <c r="J96" t="s">
        <v>317</v>
      </c>
      <c r="K96" t="s">
        <v>62</v>
      </c>
      <c r="L96" t="s">
        <v>86</v>
      </c>
      <c r="M96" t="s">
        <v>87</v>
      </c>
      <c r="N96" t="s">
        <v>654</v>
      </c>
      <c r="O96" t="s">
        <v>65</v>
      </c>
      <c r="P96" t="str">
        <f>"INV-00116716 CT093681         "</f>
        <v xml:space="preserve">INV-00116716 CT093681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17.27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0.4</v>
      </c>
      <c r="BJ96">
        <v>2.1</v>
      </c>
      <c r="BK96">
        <v>3</v>
      </c>
      <c r="BL96" s="4">
        <v>55.23</v>
      </c>
      <c r="BM96" s="4">
        <v>8.2799999999999994</v>
      </c>
      <c r="BN96" s="4">
        <v>63.51</v>
      </c>
      <c r="BO96" s="4">
        <v>63.51</v>
      </c>
      <c r="BQ96" t="s">
        <v>655</v>
      </c>
      <c r="BR96" t="s">
        <v>320</v>
      </c>
      <c r="BS96" s="1">
        <v>45751</v>
      </c>
      <c r="BT96" s="2">
        <v>0.42499999999999999</v>
      </c>
      <c r="BU96" t="s">
        <v>656</v>
      </c>
      <c r="BV96" t="s">
        <v>74</v>
      </c>
      <c r="BY96">
        <v>10507.86</v>
      </c>
      <c r="BZ96" t="s">
        <v>79</v>
      </c>
      <c r="CA96" t="s">
        <v>88</v>
      </c>
      <c r="CC96" t="s">
        <v>87</v>
      </c>
      <c r="CD96">
        <v>7600</v>
      </c>
      <c r="CE96" t="s">
        <v>578</v>
      </c>
      <c r="CF96" s="1">
        <v>45754</v>
      </c>
      <c r="CI96">
        <v>1</v>
      </c>
      <c r="CJ96">
        <v>1</v>
      </c>
      <c r="CK96">
        <v>22</v>
      </c>
      <c r="CL96" t="s">
        <v>66</v>
      </c>
    </row>
    <row r="97" spans="1:90" x14ac:dyDescent="0.3">
      <c r="A97" t="s">
        <v>315</v>
      </c>
      <c r="B97" t="s">
        <v>316</v>
      </c>
      <c r="C97" t="s">
        <v>59</v>
      </c>
      <c r="E97" t="str">
        <f>"GAB2025358"</f>
        <v>GAB2025358</v>
      </c>
      <c r="F97" s="1">
        <v>45750</v>
      </c>
      <c r="G97">
        <v>202601</v>
      </c>
      <c r="H97" t="s">
        <v>77</v>
      </c>
      <c r="I97" t="s">
        <v>78</v>
      </c>
      <c r="J97" t="s">
        <v>317</v>
      </c>
      <c r="K97" t="s">
        <v>62</v>
      </c>
      <c r="L97" t="s">
        <v>126</v>
      </c>
      <c r="M97" t="s">
        <v>127</v>
      </c>
      <c r="N97" t="s">
        <v>657</v>
      </c>
      <c r="O97" t="s">
        <v>65</v>
      </c>
      <c r="P97" t="str">
        <f>"INV-00116687 00116686 CT093669"</f>
        <v>INV-00116687 00116686 CT093669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33.159999999999997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0.9</v>
      </c>
      <c r="BJ97">
        <v>2.7</v>
      </c>
      <c r="BK97">
        <v>3</v>
      </c>
      <c r="BL97" s="4">
        <v>106.04</v>
      </c>
      <c r="BM97" s="4">
        <v>15.91</v>
      </c>
      <c r="BN97" s="4">
        <v>121.95</v>
      </c>
      <c r="BO97" s="4">
        <v>121.95</v>
      </c>
      <c r="BR97" t="s">
        <v>320</v>
      </c>
      <c r="BS97" s="1">
        <v>45751</v>
      </c>
      <c r="BT97" s="2">
        <v>0.47013888888888888</v>
      </c>
      <c r="BU97" t="s">
        <v>658</v>
      </c>
      <c r="BV97" t="s">
        <v>74</v>
      </c>
      <c r="BY97">
        <v>13688</v>
      </c>
      <c r="BZ97" t="s">
        <v>79</v>
      </c>
      <c r="CA97" t="s">
        <v>204</v>
      </c>
      <c r="CC97" t="s">
        <v>127</v>
      </c>
      <c r="CD97">
        <v>1725</v>
      </c>
      <c r="CE97" t="s">
        <v>659</v>
      </c>
      <c r="CF97" s="1">
        <v>45751</v>
      </c>
      <c r="CI97">
        <v>1</v>
      </c>
      <c r="CJ97">
        <v>1</v>
      </c>
      <c r="CK97">
        <v>21</v>
      </c>
      <c r="CL97" t="s">
        <v>66</v>
      </c>
    </row>
    <row r="98" spans="1:90" x14ac:dyDescent="0.3">
      <c r="A98" t="s">
        <v>315</v>
      </c>
      <c r="B98" t="s">
        <v>316</v>
      </c>
      <c r="C98" t="s">
        <v>59</v>
      </c>
      <c r="E98" t="str">
        <f>"GAB2025360"</f>
        <v>GAB2025360</v>
      </c>
      <c r="F98" s="1">
        <v>45750</v>
      </c>
      <c r="G98">
        <v>202601</v>
      </c>
      <c r="H98" t="s">
        <v>77</v>
      </c>
      <c r="I98" t="s">
        <v>78</v>
      </c>
      <c r="J98" t="s">
        <v>317</v>
      </c>
      <c r="K98" t="s">
        <v>62</v>
      </c>
      <c r="L98" t="s">
        <v>142</v>
      </c>
      <c r="M98" t="s">
        <v>143</v>
      </c>
      <c r="N98" t="s">
        <v>349</v>
      </c>
      <c r="O98" t="s">
        <v>65</v>
      </c>
      <c r="P98" t="str">
        <f>"INV-00116706 00116707 00116708"</f>
        <v>INV-00116706 00116707 00116708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27.64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1.2</v>
      </c>
      <c r="BJ98">
        <v>2.4</v>
      </c>
      <c r="BK98">
        <v>2.5</v>
      </c>
      <c r="BL98" s="4">
        <v>88.38</v>
      </c>
      <c r="BM98" s="4">
        <v>13.26</v>
      </c>
      <c r="BN98" s="4">
        <v>101.64</v>
      </c>
      <c r="BO98" s="4">
        <v>101.64</v>
      </c>
      <c r="BQ98" t="s">
        <v>350</v>
      </c>
      <c r="BR98" t="s">
        <v>320</v>
      </c>
      <c r="BS98" s="1">
        <v>45751</v>
      </c>
      <c r="BT98" s="2">
        <v>0.44930555555555557</v>
      </c>
      <c r="BU98" t="s">
        <v>660</v>
      </c>
      <c r="BV98" t="s">
        <v>66</v>
      </c>
      <c r="BW98" t="s">
        <v>71</v>
      </c>
      <c r="BX98" t="s">
        <v>257</v>
      </c>
      <c r="BY98">
        <v>12134.4</v>
      </c>
      <c r="BZ98" t="s">
        <v>79</v>
      </c>
      <c r="CA98" t="s">
        <v>352</v>
      </c>
      <c r="CC98" t="s">
        <v>143</v>
      </c>
      <c r="CD98" s="3" t="s">
        <v>144</v>
      </c>
      <c r="CE98" t="s">
        <v>556</v>
      </c>
      <c r="CF98" s="1">
        <v>45751</v>
      </c>
      <c r="CI98">
        <v>1</v>
      </c>
      <c r="CJ98">
        <v>1</v>
      </c>
      <c r="CK98">
        <v>21</v>
      </c>
      <c r="CL98" t="s">
        <v>66</v>
      </c>
    </row>
    <row r="99" spans="1:90" x14ac:dyDescent="0.3">
      <c r="A99" t="s">
        <v>315</v>
      </c>
      <c r="B99" t="s">
        <v>316</v>
      </c>
      <c r="C99" t="s">
        <v>59</v>
      </c>
      <c r="E99" t="str">
        <f>"GAB2025361"</f>
        <v>GAB2025361</v>
      </c>
      <c r="F99" s="1">
        <v>45750</v>
      </c>
      <c r="G99">
        <v>202601</v>
      </c>
      <c r="H99" t="s">
        <v>77</v>
      </c>
      <c r="I99" t="s">
        <v>78</v>
      </c>
      <c r="J99" t="s">
        <v>317</v>
      </c>
      <c r="K99" t="s">
        <v>62</v>
      </c>
      <c r="L99" t="s">
        <v>91</v>
      </c>
      <c r="M99" t="s">
        <v>92</v>
      </c>
      <c r="N99" t="s">
        <v>661</v>
      </c>
      <c r="O99" t="s">
        <v>65</v>
      </c>
      <c r="P99" t="str">
        <f>"INV-00116721 CT093684         "</f>
        <v xml:space="preserve">INV-00116721 CT093684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22.11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0.6</v>
      </c>
      <c r="BJ99">
        <v>1.7</v>
      </c>
      <c r="BK99">
        <v>2</v>
      </c>
      <c r="BL99" s="4">
        <v>70.709999999999994</v>
      </c>
      <c r="BM99" s="4">
        <v>10.61</v>
      </c>
      <c r="BN99" s="4">
        <v>81.319999999999993</v>
      </c>
      <c r="BO99" s="4">
        <v>81.319999999999993</v>
      </c>
      <c r="BR99" t="s">
        <v>320</v>
      </c>
      <c r="BS99" s="1">
        <v>45751</v>
      </c>
      <c r="BT99" s="2">
        <v>0.43819444444444444</v>
      </c>
      <c r="BU99" t="s">
        <v>662</v>
      </c>
      <c r="BV99" t="s">
        <v>66</v>
      </c>
      <c r="BW99" t="s">
        <v>71</v>
      </c>
      <c r="BX99" t="s">
        <v>218</v>
      </c>
      <c r="BY99">
        <v>8461.5300000000007</v>
      </c>
      <c r="BZ99" t="s">
        <v>79</v>
      </c>
      <c r="CA99" t="s">
        <v>663</v>
      </c>
      <c r="CC99" t="s">
        <v>92</v>
      </c>
      <c r="CD99" s="3" t="s">
        <v>219</v>
      </c>
      <c r="CE99" t="s">
        <v>586</v>
      </c>
      <c r="CF99" s="1">
        <v>45752</v>
      </c>
      <c r="CI99">
        <v>1</v>
      </c>
      <c r="CJ99">
        <v>1</v>
      </c>
      <c r="CK99">
        <v>21</v>
      </c>
      <c r="CL99" t="s">
        <v>66</v>
      </c>
    </row>
    <row r="100" spans="1:90" x14ac:dyDescent="0.3">
      <c r="A100" t="s">
        <v>315</v>
      </c>
      <c r="B100" t="s">
        <v>316</v>
      </c>
      <c r="C100" t="s">
        <v>59</v>
      </c>
      <c r="E100" t="str">
        <f>"GAB2025362"</f>
        <v>GAB2025362</v>
      </c>
      <c r="F100" s="1">
        <v>45750</v>
      </c>
      <c r="G100">
        <v>202601</v>
      </c>
      <c r="H100" t="s">
        <v>77</v>
      </c>
      <c r="I100" t="s">
        <v>78</v>
      </c>
      <c r="J100" t="s">
        <v>317</v>
      </c>
      <c r="K100" t="s">
        <v>62</v>
      </c>
      <c r="L100" t="s">
        <v>95</v>
      </c>
      <c r="M100" t="s">
        <v>96</v>
      </c>
      <c r="N100" t="s">
        <v>664</v>
      </c>
      <c r="O100" t="s">
        <v>65</v>
      </c>
      <c r="P100" t="str">
        <f>"INV-00116724 CT093687         "</f>
        <v xml:space="preserve">INV-00116724 CT093687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27.64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0.2</v>
      </c>
      <c r="BJ100">
        <v>2.2000000000000002</v>
      </c>
      <c r="BK100">
        <v>2.5</v>
      </c>
      <c r="BL100" s="4">
        <v>88.38</v>
      </c>
      <c r="BM100" s="4">
        <v>13.26</v>
      </c>
      <c r="BN100" s="4">
        <v>101.64</v>
      </c>
      <c r="BO100" s="4">
        <v>101.64</v>
      </c>
      <c r="BQ100" t="s">
        <v>665</v>
      </c>
      <c r="BR100" t="s">
        <v>320</v>
      </c>
      <c r="BS100" s="1">
        <v>45751</v>
      </c>
      <c r="BT100" s="2">
        <v>0.41319444444444442</v>
      </c>
      <c r="BU100" t="s">
        <v>666</v>
      </c>
      <c r="BV100" t="s">
        <v>74</v>
      </c>
      <c r="BY100">
        <v>11209.44</v>
      </c>
      <c r="BZ100" t="s">
        <v>79</v>
      </c>
      <c r="CA100" t="s">
        <v>445</v>
      </c>
      <c r="CC100" t="s">
        <v>96</v>
      </c>
      <c r="CD100">
        <v>2021</v>
      </c>
      <c r="CE100" t="s">
        <v>343</v>
      </c>
      <c r="CF100" s="1">
        <v>45752</v>
      </c>
      <c r="CI100">
        <v>1</v>
      </c>
      <c r="CJ100">
        <v>1</v>
      </c>
      <c r="CK100">
        <v>21</v>
      </c>
      <c r="CL100" t="s">
        <v>66</v>
      </c>
    </row>
    <row r="101" spans="1:90" x14ac:dyDescent="0.3">
      <c r="A101" t="s">
        <v>315</v>
      </c>
      <c r="B101" t="s">
        <v>316</v>
      </c>
      <c r="C101" t="s">
        <v>59</v>
      </c>
      <c r="E101" t="str">
        <f>"GAB2025363"</f>
        <v>GAB2025363</v>
      </c>
      <c r="F101" s="1">
        <v>45750</v>
      </c>
      <c r="G101">
        <v>202601</v>
      </c>
      <c r="H101" t="s">
        <v>77</v>
      </c>
      <c r="I101" t="s">
        <v>78</v>
      </c>
      <c r="J101" t="s">
        <v>317</v>
      </c>
      <c r="K101" t="s">
        <v>62</v>
      </c>
      <c r="L101" t="s">
        <v>245</v>
      </c>
      <c r="M101" t="s">
        <v>246</v>
      </c>
      <c r="N101" t="s">
        <v>667</v>
      </c>
      <c r="O101" t="s">
        <v>65</v>
      </c>
      <c r="P101" t="str">
        <f>"INV-00116723 CT093688         "</f>
        <v xml:space="preserve">INV-00116723 CT093688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52.52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0.3</v>
      </c>
      <c r="BJ101">
        <v>2.2999999999999998</v>
      </c>
      <c r="BK101">
        <v>2.5</v>
      </c>
      <c r="BL101" s="4">
        <v>167.94</v>
      </c>
      <c r="BM101" s="4">
        <v>25.19</v>
      </c>
      <c r="BN101" s="4">
        <v>193.13</v>
      </c>
      <c r="BO101" s="4">
        <v>193.13</v>
      </c>
      <c r="BQ101" t="s">
        <v>668</v>
      </c>
      <c r="BR101" t="s">
        <v>320</v>
      </c>
      <c r="BS101" s="1">
        <v>45754</v>
      </c>
      <c r="BT101" s="2">
        <v>0.42986111111111114</v>
      </c>
      <c r="BU101" t="s">
        <v>669</v>
      </c>
      <c r="BV101" t="s">
        <v>74</v>
      </c>
      <c r="BY101">
        <v>11647.2</v>
      </c>
      <c r="BZ101" t="s">
        <v>79</v>
      </c>
      <c r="CA101" t="s">
        <v>247</v>
      </c>
      <c r="CC101" t="s">
        <v>246</v>
      </c>
      <c r="CD101">
        <v>9700</v>
      </c>
      <c r="CE101" t="s">
        <v>389</v>
      </c>
      <c r="CF101" s="1">
        <v>45754</v>
      </c>
      <c r="CI101">
        <v>2</v>
      </c>
      <c r="CJ101">
        <v>2</v>
      </c>
      <c r="CK101">
        <v>23</v>
      </c>
      <c r="CL101" t="s">
        <v>66</v>
      </c>
    </row>
    <row r="102" spans="1:90" x14ac:dyDescent="0.3">
      <c r="A102" t="s">
        <v>315</v>
      </c>
      <c r="B102" t="s">
        <v>316</v>
      </c>
      <c r="C102" t="s">
        <v>59</v>
      </c>
      <c r="E102" t="str">
        <f>"009945075911"</f>
        <v>009945075911</v>
      </c>
      <c r="F102" s="1">
        <v>45750</v>
      </c>
      <c r="G102">
        <v>202601</v>
      </c>
      <c r="H102" t="s">
        <v>142</v>
      </c>
      <c r="I102" t="s">
        <v>143</v>
      </c>
      <c r="J102" t="s">
        <v>490</v>
      </c>
      <c r="K102" t="s">
        <v>62</v>
      </c>
      <c r="L102" t="s">
        <v>546</v>
      </c>
      <c r="M102" t="s">
        <v>547</v>
      </c>
      <c r="N102" t="s">
        <v>670</v>
      </c>
      <c r="O102" t="s">
        <v>65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22.11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 s="4">
        <v>70.709999999999994</v>
      </c>
      <c r="BM102" s="4">
        <v>10.61</v>
      </c>
      <c r="BN102" s="4">
        <v>81.319999999999993</v>
      </c>
      <c r="BO102" s="4">
        <v>81.319999999999993</v>
      </c>
      <c r="BQ102" t="s">
        <v>671</v>
      </c>
      <c r="BR102" t="s">
        <v>672</v>
      </c>
      <c r="BS102" s="1">
        <v>45754</v>
      </c>
      <c r="BT102" s="2">
        <v>0.41666666666666669</v>
      </c>
      <c r="BU102" t="s">
        <v>673</v>
      </c>
      <c r="BV102" t="s">
        <v>66</v>
      </c>
      <c r="BY102">
        <v>1200</v>
      </c>
      <c r="BZ102" t="s">
        <v>79</v>
      </c>
      <c r="CC102" t="s">
        <v>547</v>
      </c>
      <c r="CD102">
        <v>9300</v>
      </c>
      <c r="CE102" t="s">
        <v>236</v>
      </c>
      <c r="CF102" s="1">
        <v>45755</v>
      </c>
      <c r="CI102">
        <v>1</v>
      </c>
      <c r="CJ102">
        <v>2</v>
      </c>
      <c r="CK102">
        <v>21</v>
      </c>
      <c r="CL102" t="s">
        <v>66</v>
      </c>
    </row>
    <row r="103" spans="1:90" x14ac:dyDescent="0.3">
      <c r="A103" t="s">
        <v>315</v>
      </c>
      <c r="B103" t="s">
        <v>316</v>
      </c>
      <c r="C103" t="s">
        <v>59</v>
      </c>
      <c r="E103" t="str">
        <f>"GAB2025290"</f>
        <v>GAB2025290</v>
      </c>
      <c r="F103" s="1">
        <v>45748</v>
      </c>
      <c r="G103">
        <v>202601</v>
      </c>
      <c r="H103" t="s">
        <v>77</v>
      </c>
      <c r="I103" t="s">
        <v>78</v>
      </c>
      <c r="J103" t="s">
        <v>317</v>
      </c>
      <c r="K103" t="s">
        <v>62</v>
      </c>
      <c r="L103" t="s">
        <v>89</v>
      </c>
      <c r="M103" t="s">
        <v>90</v>
      </c>
      <c r="N103" t="s">
        <v>674</v>
      </c>
      <c r="O103" t="s">
        <v>98</v>
      </c>
      <c r="P103" t="str">
        <f>"invoice 00116627 CT093620     "</f>
        <v xml:space="preserve">invoice 00116627 CT093620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5.57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96.46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3</v>
      </c>
      <c r="BI103">
        <v>12.4</v>
      </c>
      <c r="BJ103">
        <v>40.200000000000003</v>
      </c>
      <c r="BK103">
        <v>41</v>
      </c>
      <c r="BL103" s="4">
        <v>296.89</v>
      </c>
      <c r="BM103" s="4">
        <v>44.53</v>
      </c>
      <c r="BN103" s="4">
        <v>341.42</v>
      </c>
      <c r="BO103" s="4">
        <v>341.42</v>
      </c>
      <c r="BQ103" t="s">
        <v>675</v>
      </c>
      <c r="BR103" t="s">
        <v>320</v>
      </c>
      <c r="BS103" s="1">
        <v>45750</v>
      </c>
      <c r="BT103" s="2">
        <v>0.42152777777777778</v>
      </c>
      <c r="BU103" t="s">
        <v>676</v>
      </c>
      <c r="BV103" t="s">
        <v>74</v>
      </c>
      <c r="BY103">
        <v>201007.31</v>
      </c>
      <c r="CA103" t="s">
        <v>677</v>
      </c>
      <c r="CC103" t="s">
        <v>90</v>
      </c>
      <c r="CD103">
        <v>4001</v>
      </c>
      <c r="CE103" t="s">
        <v>678</v>
      </c>
      <c r="CF103" s="1">
        <v>45751</v>
      </c>
      <c r="CI103">
        <v>3</v>
      </c>
      <c r="CJ103">
        <v>2</v>
      </c>
      <c r="CK103">
        <v>41</v>
      </c>
      <c r="CL103" t="s">
        <v>66</v>
      </c>
    </row>
    <row r="104" spans="1:90" x14ac:dyDescent="0.3">
      <c r="A104" t="s">
        <v>315</v>
      </c>
      <c r="B104" t="s">
        <v>316</v>
      </c>
      <c r="C104" t="s">
        <v>59</v>
      </c>
      <c r="E104" t="str">
        <f>"GAB2025287"</f>
        <v>GAB2025287</v>
      </c>
      <c r="F104" s="1">
        <v>45748</v>
      </c>
      <c r="G104">
        <v>202601</v>
      </c>
      <c r="H104" t="s">
        <v>77</v>
      </c>
      <c r="I104" t="s">
        <v>78</v>
      </c>
      <c r="J104" t="s">
        <v>317</v>
      </c>
      <c r="K104" t="s">
        <v>62</v>
      </c>
      <c r="L104" t="s">
        <v>126</v>
      </c>
      <c r="M104" t="s">
        <v>127</v>
      </c>
      <c r="N104" t="s">
        <v>679</v>
      </c>
      <c r="O104" t="s">
        <v>65</v>
      </c>
      <c r="P104" t="str">
        <f>"INVOICXE 00034198 ORDGS031608 "</f>
        <v xml:space="preserve">INVOICXE 00034198 ORDGS031608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30.07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0.2</v>
      </c>
      <c r="BJ104">
        <v>2.2999999999999998</v>
      </c>
      <c r="BK104">
        <v>2.5</v>
      </c>
      <c r="BL104" s="4">
        <v>90.81</v>
      </c>
      <c r="BM104" s="4">
        <v>13.62</v>
      </c>
      <c r="BN104" s="4">
        <v>104.43</v>
      </c>
      <c r="BO104" s="4">
        <v>104.43</v>
      </c>
      <c r="BQ104" t="s">
        <v>680</v>
      </c>
      <c r="BR104" t="s">
        <v>320</v>
      </c>
      <c r="BS104" s="1">
        <v>45750</v>
      </c>
      <c r="BT104" s="2">
        <v>0.37152777777777779</v>
      </c>
      <c r="BU104" t="s">
        <v>631</v>
      </c>
      <c r="BV104" t="s">
        <v>66</v>
      </c>
      <c r="BW104" t="s">
        <v>71</v>
      </c>
      <c r="BX104" t="s">
        <v>293</v>
      </c>
      <c r="BY104">
        <v>11250.4</v>
      </c>
      <c r="BZ104" t="s">
        <v>79</v>
      </c>
      <c r="CA104" t="s">
        <v>632</v>
      </c>
      <c r="CC104" t="s">
        <v>127</v>
      </c>
      <c r="CD104">
        <v>1724</v>
      </c>
      <c r="CE104" t="s">
        <v>343</v>
      </c>
      <c r="CF104" s="1">
        <v>45750</v>
      </c>
      <c r="CI104">
        <v>1</v>
      </c>
      <c r="CJ104">
        <v>2</v>
      </c>
      <c r="CK104">
        <v>21</v>
      </c>
      <c r="CL104" t="s">
        <v>66</v>
      </c>
    </row>
    <row r="105" spans="1:90" x14ac:dyDescent="0.3">
      <c r="A105" t="s">
        <v>315</v>
      </c>
      <c r="B105" t="s">
        <v>316</v>
      </c>
      <c r="C105" t="s">
        <v>59</v>
      </c>
      <c r="E105" t="str">
        <f>"009945076003"</f>
        <v>009945076003</v>
      </c>
      <c r="F105" s="1">
        <v>45749</v>
      </c>
      <c r="G105">
        <v>202601</v>
      </c>
      <c r="H105" t="s">
        <v>142</v>
      </c>
      <c r="I105" t="s">
        <v>143</v>
      </c>
      <c r="J105" t="s">
        <v>490</v>
      </c>
      <c r="K105" t="s">
        <v>62</v>
      </c>
      <c r="L105" t="s">
        <v>77</v>
      </c>
      <c r="M105" t="s">
        <v>78</v>
      </c>
      <c r="N105" t="s">
        <v>681</v>
      </c>
      <c r="O105" t="s">
        <v>65</v>
      </c>
      <c r="P105" t="str">
        <f>"NA                            "</f>
        <v xml:space="preserve">NA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22.11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</v>
      </c>
      <c r="BJ105">
        <v>0.2</v>
      </c>
      <c r="BK105">
        <v>1</v>
      </c>
      <c r="BL105" s="4">
        <v>70.709999999999994</v>
      </c>
      <c r="BM105" s="4">
        <v>10.61</v>
      </c>
      <c r="BN105" s="4">
        <v>81.319999999999993</v>
      </c>
      <c r="BO105" s="4">
        <v>81.319999999999993</v>
      </c>
      <c r="BQ105" t="s">
        <v>682</v>
      </c>
      <c r="BR105" t="s">
        <v>672</v>
      </c>
      <c r="BS105" s="1">
        <v>45750</v>
      </c>
      <c r="BT105" s="2">
        <v>0.41805555555555557</v>
      </c>
      <c r="BU105" t="s">
        <v>263</v>
      </c>
      <c r="BV105" t="s">
        <v>74</v>
      </c>
      <c r="BY105">
        <v>1200</v>
      </c>
      <c r="BZ105" t="s">
        <v>79</v>
      </c>
      <c r="CA105" t="s">
        <v>193</v>
      </c>
      <c r="CC105" t="s">
        <v>78</v>
      </c>
      <c r="CD105">
        <v>7460</v>
      </c>
      <c r="CE105" t="s">
        <v>236</v>
      </c>
      <c r="CF105" s="1">
        <v>45751</v>
      </c>
      <c r="CI105">
        <v>1</v>
      </c>
      <c r="CJ105">
        <v>1</v>
      </c>
      <c r="CK105">
        <v>21</v>
      </c>
      <c r="CL105" t="s">
        <v>66</v>
      </c>
    </row>
    <row r="106" spans="1:90" x14ac:dyDescent="0.3">
      <c r="A106" t="s">
        <v>315</v>
      </c>
      <c r="B106" t="s">
        <v>316</v>
      </c>
      <c r="C106" t="s">
        <v>59</v>
      </c>
      <c r="E106" t="str">
        <f>"GAB2025366"</f>
        <v>GAB2025366</v>
      </c>
      <c r="F106" s="1">
        <v>45750</v>
      </c>
      <c r="G106">
        <v>202601</v>
      </c>
      <c r="H106" t="s">
        <v>77</v>
      </c>
      <c r="I106" t="s">
        <v>78</v>
      </c>
      <c r="J106" t="s">
        <v>317</v>
      </c>
      <c r="K106" t="s">
        <v>62</v>
      </c>
      <c r="L106" t="s">
        <v>183</v>
      </c>
      <c r="M106" t="s">
        <v>184</v>
      </c>
      <c r="N106" t="s">
        <v>375</v>
      </c>
      <c r="O106" t="s">
        <v>98</v>
      </c>
      <c r="P106" t="str">
        <f>"INV-00116725 00116726 00116718"</f>
        <v>INV-00116725 00116726 00116718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5.57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60.31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1.5</v>
      </c>
      <c r="BJ106">
        <v>6.3</v>
      </c>
      <c r="BK106">
        <v>7</v>
      </c>
      <c r="BL106" s="4">
        <v>198.43</v>
      </c>
      <c r="BM106" s="4">
        <v>29.76</v>
      </c>
      <c r="BN106" s="4">
        <v>228.19</v>
      </c>
      <c r="BO106" s="4">
        <v>228.19</v>
      </c>
      <c r="BQ106" t="s">
        <v>376</v>
      </c>
      <c r="BR106" t="s">
        <v>320</v>
      </c>
      <c r="BS106" s="1">
        <v>45755</v>
      </c>
      <c r="BT106" s="2">
        <v>0.57708333333333328</v>
      </c>
      <c r="BU106" t="s">
        <v>683</v>
      </c>
      <c r="BV106" t="s">
        <v>74</v>
      </c>
      <c r="BY106">
        <v>31348.799999999999</v>
      </c>
      <c r="CA106" t="s">
        <v>185</v>
      </c>
      <c r="CC106" t="s">
        <v>184</v>
      </c>
      <c r="CD106" s="3" t="s">
        <v>186</v>
      </c>
      <c r="CE106" t="s">
        <v>322</v>
      </c>
      <c r="CF106" s="1">
        <v>45756</v>
      </c>
      <c r="CI106">
        <v>3</v>
      </c>
      <c r="CJ106">
        <v>3</v>
      </c>
      <c r="CK106">
        <v>43</v>
      </c>
      <c r="CL106" t="s">
        <v>66</v>
      </c>
    </row>
    <row r="107" spans="1:90" x14ac:dyDescent="0.3">
      <c r="A107" t="s">
        <v>315</v>
      </c>
      <c r="B107" t="s">
        <v>316</v>
      </c>
      <c r="C107" t="s">
        <v>59</v>
      </c>
      <c r="E107" t="str">
        <f>"GAB2025341"</f>
        <v>GAB2025341</v>
      </c>
      <c r="F107" s="1">
        <v>45750</v>
      </c>
      <c r="G107">
        <v>202601</v>
      </c>
      <c r="H107" t="s">
        <v>77</v>
      </c>
      <c r="I107" t="s">
        <v>78</v>
      </c>
      <c r="J107" t="s">
        <v>317</v>
      </c>
      <c r="K107" t="s">
        <v>62</v>
      </c>
      <c r="L107" t="s">
        <v>91</v>
      </c>
      <c r="M107" t="s">
        <v>92</v>
      </c>
      <c r="N107" t="s">
        <v>684</v>
      </c>
      <c r="O107" t="s">
        <v>98</v>
      </c>
      <c r="P107" t="str">
        <f>"INV-00116694 CT093214         "</f>
        <v xml:space="preserve">INV-00116694 CT093214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5.57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58.65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3</v>
      </c>
      <c r="BI107">
        <v>6.6</v>
      </c>
      <c r="BJ107">
        <v>23.4</v>
      </c>
      <c r="BK107">
        <v>24</v>
      </c>
      <c r="BL107" s="4">
        <v>193.12</v>
      </c>
      <c r="BM107" s="4">
        <v>28.97</v>
      </c>
      <c r="BN107" s="4">
        <v>222.09</v>
      </c>
      <c r="BO107" s="4">
        <v>222.09</v>
      </c>
      <c r="BQ107" t="s">
        <v>685</v>
      </c>
      <c r="BR107" t="s">
        <v>320</v>
      </c>
      <c r="BS107" s="1">
        <v>45754</v>
      </c>
      <c r="BT107" s="2">
        <v>0.70416666666666672</v>
      </c>
      <c r="BU107" t="s">
        <v>686</v>
      </c>
      <c r="BV107" t="s">
        <v>74</v>
      </c>
      <c r="BY107">
        <v>116770.97</v>
      </c>
      <c r="CC107" t="s">
        <v>92</v>
      </c>
      <c r="CD107" s="3" t="s">
        <v>94</v>
      </c>
      <c r="CE107" t="s">
        <v>339</v>
      </c>
      <c r="CF107" s="1">
        <v>45755</v>
      </c>
      <c r="CI107">
        <v>3</v>
      </c>
      <c r="CJ107">
        <v>2</v>
      </c>
      <c r="CK107">
        <v>41</v>
      </c>
      <c r="CL107" t="s">
        <v>66</v>
      </c>
    </row>
    <row r="108" spans="1:90" x14ac:dyDescent="0.3">
      <c r="A108" t="s">
        <v>315</v>
      </c>
      <c r="B108" t="s">
        <v>316</v>
      </c>
      <c r="C108" t="s">
        <v>59</v>
      </c>
      <c r="E108" t="str">
        <f>"GAB2025342"</f>
        <v>GAB2025342</v>
      </c>
      <c r="F108" s="1">
        <v>45750</v>
      </c>
      <c r="G108">
        <v>202601</v>
      </c>
      <c r="H108" t="s">
        <v>77</v>
      </c>
      <c r="I108" t="s">
        <v>78</v>
      </c>
      <c r="J108" t="s">
        <v>317</v>
      </c>
      <c r="K108" t="s">
        <v>62</v>
      </c>
      <c r="L108" t="s">
        <v>72</v>
      </c>
      <c r="M108" t="s">
        <v>73</v>
      </c>
      <c r="N108" t="s">
        <v>687</v>
      </c>
      <c r="O108" t="s">
        <v>98</v>
      </c>
      <c r="P108" t="str">
        <f>"inv-00116695 ct093615         "</f>
        <v xml:space="preserve">inv-00116695 ct093615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5.57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42.76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0.2</v>
      </c>
      <c r="BJ108">
        <v>2.2000000000000002</v>
      </c>
      <c r="BK108">
        <v>3</v>
      </c>
      <c r="BL108" s="4">
        <v>142.31</v>
      </c>
      <c r="BM108" s="4">
        <v>21.35</v>
      </c>
      <c r="BN108" s="4">
        <v>163.66</v>
      </c>
      <c r="BO108" s="4">
        <v>163.66</v>
      </c>
      <c r="BQ108" t="s">
        <v>688</v>
      </c>
      <c r="BR108" t="s">
        <v>320</v>
      </c>
      <c r="BS108" s="1">
        <v>45757</v>
      </c>
      <c r="BT108" s="2">
        <v>0.37847222222222221</v>
      </c>
      <c r="BU108" t="s">
        <v>689</v>
      </c>
      <c r="BV108" t="s">
        <v>66</v>
      </c>
      <c r="BW108" t="s">
        <v>71</v>
      </c>
      <c r="BX108" t="s">
        <v>164</v>
      </c>
      <c r="BY108">
        <v>11145.88</v>
      </c>
      <c r="CC108" t="s">
        <v>73</v>
      </c>
      <c r="CD108">
        <v>3610</v>
      </c>
      <c r="CE108" t="s">
        <v>690</v>
      </c>
      <c r="CF108" s="1">
        <v>45761</v>
      </c>
      <c r="CI108">
        <v>3</v>
      </c>
      <c r="CJ108">
        <v>5</v>
      </c>
      <c r="CK108">
        <v>41</v>
      </c>
      <c r="CL108" t="s">
        <v>66</v>
      </c>
    </row>
    <row r="109" spans="1:90" x14ac:dyDescent="0.3">
      <c r="A109" t="s">
        <v>315</v>
      </c>
      <c r="B109" t="s">
        <v>316</v>
      </c>
      <c r="C109" t="s">
        <v>59</v>
      </c>
      <c r="E109" t="str">
        <f>"GAB2025343"</f>
        <v>GAB2025343</v>
      </c>
      <c r="F109" s="1">
        <v>45750</v>
      </c>
      <c r="G109">
        <v>202601</v>
      </c>
      <c r="H109" t="s">
        <v>77</v>
      </c>
      <c r="I109" t="s">
        <v>78</v>
      </c>
      <c r="J109" t="s">
        <v>317</v>
      </c>
      <c r="K109" t="s">
        <v>62</v>
      </c>
      <c r="L109" t="s">
        <v>89</v>
      </c>
      <c r="M109" t="s">
        <v>90</v>
      </c>
      <c r="N109" t="s">
        <v>691</v>
      </c>
      <c r="O109" t="s">
        <v>98</v>
      </c>
      <c r="P109" t="str">
        <f>"INV-00116698 CT093272         "</f>
        <v xml:space="preserve">INV-00116698 CT093272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5.57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49.82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8.5</v>
      </c>
      <c r="BJ109">
        <v>18.100000000000001</v>
      </c>
      <c r="BK109">
        <v>19</v>
      </c>
      <c r="BL109" s="4">
        <v>164.89</v>
      </c>
      <c r="BM109" s="4">
        <v>24.73</v>
      </c>
      <c r="BN109" s="4">
        <v>189.62</v>
      </c>
      <c r="BO109" s="4">
        <v>189.62</v>
      </c>
      <c r="BQ109" t="s">
        <v>692</v>
      </c>
      <c r="BR109" t="s">
        <v>320</v>
      </c>
      <c r="BS109" s="1">
        <v>45754</v>
      </c>
      <c r="BT109" s="2">
        <v>0.45833333333333331</v>
      </c>
      <c r="BU109" t="s">
        <v>693</v>
      </c>
      <c r="BV109" t="s">
        <v>74</v>
      </c>
      <c r="BY109">
        <v>90417.600000000006</v>
      </c>
      <c r="CA109" t="s">
        <v>269</v>
      </c>
      <c r="CC109" t="s">
        <v>90</v>
      </c>
      <c r="CD109">
        <v>4000</v>
      </c>
      <c r="CE109" t="s">
        <v>339</v>
      </c>
      <c r="CF109" s="1">
        <v>45755</v>
      </c>
      <c r="CI109">
        <v>3</v>
      </c>
      <c r="CJ109">
        <v>2</v>
      </c>
      <c r="CK109">
        <v>41</v>
      </c>
      <c r="CL109" t="s">
        <v>66</v>
      </c>
    </row>
    <row r="110" spans="1:90" x14ac:dyDescent="0.3">
      <c r="A110" t="s">
        <v>315</v>
      </c>
      <c r="B110" t="s">
        <v>316</v>
      </c>
      <c r="C110" t="s">
        <v>59</v>
      </c>
      <c r="E110" t="str">
        <f>"GAB2025334"</f>
        <v>GAB2025334</v>
      </c>
      <c r="F110" s="1">
        <v>45750</v>
      </c>
      <c r="G110">
        <v>202601</v>
      </c>
      <c r="H110" t="s">
        <v>77</v>
      </c>
      <c r="I110" t="s">
        <v>78</v>
      </c>
      <c r="J110" t="s">
        <v>317</v>
      </c>
      <c r="K110" t="s">
        <v>62</v>
      </c>
      <c r="L110" t="s">
        <v>60</v>
      </c>
      <c r="M110" t="s">
        <v>61</v>
      </c>
      <c r="N110" t="s">
        <v>694</v>
      </c>
      <c r="O110" t="s">
        <v>65</v>
      </c>
      <c r="P110" t="str">
        <f>"INV-00034293 031676           "</f>
        <v xml:space="preserve">INV-00034293 031676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27.64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0.4</v>
      </c>
      <c r="BJ110">
        <v>2.1</v>
      </c>
      <c r="BK110">
        <v>2.5</v>
      </c>
      <c r="BL110" s="4">
        <v>88.38</v>
      </c>
      <c r="BM110" s="4">
        <v>13.26</v>
      </c>
      <c r="BN110" s="4">
        <v>101.64</v>
      </c>
      <c r="BO110" s="4">
        <v>101.64</v>
      </c>
      <c r="BQ110" t="s">
        <v>695</v>
      </c>
      <c r="BR110" t="s">
        <v>320</v>
      </c>
      <c r="BS110" s="1">
        <v>45751</v>
      </c>
      <c r="BT110" s="2">
        <v>0.41666666666666669</v>
      </c>
      <c r="BU110" t="s">
        <v>696</v>
      </c>
      <c r="BV110" t="s">
        <v>74</v>
      </c>
      <c r="BY110">
        <v>10426.5</v>
      </c>
      <c r="BZ110" t="s">
        <v>79</v>
      </c>
      <c r="CC110" t="s">
        <v>61</v>
      </c>
      <c r="CD110">
        <v>1619</v>
      </c>
      <c r="CE110" t="s">
        <v>382</v>
      </c>
      <c r="CF110" s="1">
        <v>45752</v>
      </c>
      <c r="CI110">
        <v>1</v>
      </c>
      <c r="CJ110">
        <v>1</v>
      </c>
      <c r="CK110">
        <v>21</v>
      </c>
      <c r="CL110" t="s">
        <v>66</v>
      </c>
    </row>
    <row r="111" spans="1:90" x14ac:dyDescent="0.3">
      <c r="A111" t="s">
        <v>315</v>
      </c>
      <c r="B111" t="s">
        <v>316</v>
      </c>
      <c r="C111" t="s">
        <v>59</v>
      </c>
      <c r="E111" t="str">
        <f>"GAB2025346"</f>
        <v>GAB2025346</v>
      </c>
      <c r="F111" s="1">
        <v>45750</v>
      </c>
      <c r="G111">
        <v>202601</v>
      </c>
      <c r="H111" t="s">
        <v>77</v>
      </c>
      <c r="I111" t="s">
        <v>78</v>
      </c>
      <c r="J111" t="s">
        <v>317</v>
      </c>
      <c r="K111" t="s">
        <v>62</v>
      </c>
      <c r="L111" t="s">
        <v>77</v>
      </c>
      <c r="M111" t="s">
        <v>78</v>
      </c>
      <c r="N111" t="s">
        <v>697</v>
      </c>
      <c r="O111" t="s">
        <v>65</v>
      </c>
      <c r="P111" t="str">
        <f>"INV-00116719 CT093676         "</f>
        <v xml:space="preserve">INV-00116719 CT093676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17.27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2.6</v>
      </c>
      <c r="BK111">
        <v>3</v>
      </c>
      <c r="BL111" s="4">
        <v>55.23</v>
      </c>
      <c r="BM111" s="4">
        <v>8.2799999999999994</v>
      </c>
      <c r="BN111" s="4">
        <v>63.51</v>
      </c>
      <c r="BO111" s="4">
        <v>63.51</v>
      </c>
      <c r="BQ111" t="s">
        <v>698</v>
      </c>
      <c r="BR111" t="s">
        <v>320</v>
      </c>
      <c r="BS111" s="1">
        <v>45751</v>
      </c>
      <c r="BT111" s="2">
        <v>0.41736111111111113</v>
      </c>
      <c r="BU111" t="s">
        <v>699</v>
      </c>
      <c r="BV111" t="s">
        <v>74</v>
      </c>
      <c r="BY111">
        <v>12866.04</v>
      </c>
      <c r="BZ111" t="s">
        <v>79</v>
      </c>
      <c r="CA111" t="s">
        <v>700</v>
      </c>
      <c r="CC111" t="s">
        <v>78</v>
      </c>
      <c r="CD111">
        <v>7550</v>
      </c>
      <c r="CE111" t="s">
        <v>578</v>
      </c>
      <c r="CF111" s="1">
        <v>45754</v>
      </c>
      <c r="CI111">
        <v>1</v>
      </c>
      <c r="CJ111">
        <v>1</v>
      </c>
      <c r="CK111">
        <v>22</v>
      </c>
      <c r="CL111" t="s">
        <v>66</v>
      </c>
    </row>
    <row r="112" spans="1:90" x14ac:dyDescent="0.3">
      <c r="A112" t="s">
        <v>315</v>
      </c>
      <c r="B112" t="s">
        <v>316</v>
      </c>
      <c r="C112" t="s">
        <v>59</v>
      </c>
      <c r="E112" t="str">
        <f>"GAB2025347"</f>
        <v>GAB2025347</v>
      </c>
      <c r="F112" s="1">
        <v>45750</v>
      </c>
      <c r="G112">
        <v>202601</v>
      </c>
      <c r="H112" t="s">
        <v>77</v>
      </c>
      <c r="I112" t="s">
        <v>78</v>
      </c>
      <c r="J112" t="s">
        <v>317</v>
      </c>
      <c r="K112" t="s">
        <v>62</v>
      </c>
      <c r="L112" t="s">
        <v>77</v>
      </c>
      <c r="M112" t="s">
        <v>78</v>
      </c>
      <c r="N112" t="s">
        <v>701</v>
      </c>
      <c r="O112" t="s">
        <v>65</v>
      </c>
      <c r="P112" t="str">
        <f>"INV-00116701 CT092624         "</f>
        <v xml:space="preserve">INV-00116701 CT092624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17.27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0.2</v>
      </c>
      <c r="BJ112">
        <v>2</v>
      </c>
      <c r="BK112">
        <v>2</v>
      </c>
      <c r="BL112" s="4">
        <v>55.23</v>
      </c>
      <c r="BM112" s="4">
        <v>8.2799999999999994</v>
      </c>
      <c r="BN112" s="4">
        <v>63.51</v>
      </c>
      <c r="BO112" s="4">
        <v>63.51</v>
      </c>
      <c r="BQ112" t="s">
        <v>702</v>
      </c>
      <c r="BR112" t="s">
        <v>320</v>
      </c>
      <c r="BS112" s="1">
        <v>45751</v>
      </c>
      <c r="BT112" s="2">
        <v>0.42152777777777778</v>
      </c>
      <c r="BU112" t="s">
        <v>703</v>
      </c>
      <c r="BV112" t="s">
        <v>74</v>
      </c>
      <c r="BY112">
        <v>10219.77</v>
      </c>
      <c r="BZ112" t="s">
        <v>79</v>
      </c>
      <c r="CA112" t="s">
        <v>704</v>
      </c>
      <c r="CC112" t="s">
        <v>78</v>
      </c>
      <c r="CD112">
        <v>7550</v>
      </c>
      <c r="CE112" t="s">
        <v>393</v>
      </c>
      <c r="CF112" s="1">
        <v>45754</v>
      </c>
      <c r="CI112">
        <v>1</v>
      </c>
      <c r="CJ112">
        <v>1</v>
      </c>
      <c r="CK112">
        <v>22</v>
      </c>
      <c r="CL112" t="s">
        <v>66</v>
      </c>
    </row>
    <row r="113" spans="1:90" x14ac:dyDescent="0.3">
      <c r="A113" t="s">
        <v>315</v>
      </c>
      <c r="B113" t="s">
        <v>316</v>
      </c>
      <c r="C113" t="s">
        <v>59</v>
      </c>
      <c r="E113" t="str">
        <f>"GAB2025359"</f>
        <v>GAB2025359</v>
      </c>
      <c r="F113" s="1">
        <v>45750</v>
      </c>
      <c r="G113">
        <v>202601</v>
      </c>
      <c r="H113" t="s">
        <v>77</v>
      </c>
      <c r="I113" t="s">
        <v>78</v>
      </c>
      <c r="J113" t="s">
        <v>317</v>
      </c>
      <c r="K113" t="s">
        <v>62</v>
      </c>
      <c r="L113" t="s">
        <v>142</v>
      </c>
      <c r="M113" t="s">
        <v>143</v>
      </c>
      <c r="N113" t="s">
        <v>450</v>
      </c>
      <c r="O113" t="s">
        <v>65</v>
      </c>
      <c r="P113" t="str">
        <f>"ATT:BIANKA BASSON             "</f>
        <v xml:space="preserve">ATT:BIANKA BASSON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22.11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0.2</v>
      </c>
      <c r="BJ113">
        <v>2</v>
      </c>
      <c r="BK113">
        <v>2</v>
      </c>
      <c r="BL113" s="4">
        <v>70.709999999999994</v>
      </c>
      <c r="BM113" s="4">
        <v>10.61</v>
      </c>
      <c r="BN113" s="4">
        <v>81.319999999999993</v>
      </c>
      <c r="BO113" s="4">
        <v>81.319999999999993</v>
      </c>
      <c r="BQ113" t="s">
        <v>705</v>
      </c>
      <c r="BR113" t="s">
        <v>320</v>
      </c>
      <c r="BS113" s="1">
        <v>45751</v>
      </c>
      <c r="BT113" s="2">
        <v>0.35902777777777778</v>
      </c>
      <c r="BU113" t="s">
        <v>452</v>
      </c>
      <c r="BV113" t="s">
        <v>74</v>
      </c>
      <c r="BY113">
        <v>9966.9599999999991</v>
      </c>
      <c r="BZ113" t="s">
        <v>79</v>
      </c>
      <c r="CA113" t="s">
        <v>453</v>
      </c>
      <c r="CC113" t="s">
        <v>143</v>
      </c>
      <c r="CD113" s="3" t="s">
        <v>144</v>
      </c>
      <c r="CE113" t="s">
        <v>706</v>
      </c>
      <c r="CF113" s="1">
        <v>45751</v>
      </c>
      <c r="CI113">
        <v>1</v>
      </c>
      <c r="CJ113">
        <v>1</v>
      </c>
      <c r="CK113">
        <v>21</v>
      </c>
      <c r="CL113" t="s">
        <v>66</v>
      </c>
    </row>
    <row r="114" spans="1:90" x14ac:dyDescent="0.3">
      <c r="A114" t="s">
        <v>315</v>
      </c>
      <c r="B114" t="s">
        <v>316</v>
      </c>
      <c r="C114" t="s">
        <v>59</v>
      </c>
      <c r="E114" t="str">
        <f>"GAB2025365"</f>
        <v>GAB2025365</v>
      </c>
      <c r="F114" s="1">
        <v>45750</v>
      </c>
      <c r="G114">
        <v>202601</v>
      </c>
      <c r="H114" t="s">
        <v>77</v>
      </c>
      <c r="I114" t="s">
        <v>78</v>
      </c>
      <c r="J114" t="s">
        <v>317</v>
      </c>
      <c r="K114" t="s">
        <v>62</v>
      </c>
      <c r="L114" t="s">
        <v>77</v>
      </c>
      <c r="M114" t="s">
        <v>78</v>
      </c>
      <c r="N114" t="s">
        <v>707</v>
      </c>
      <c r="O114" t="s">
        <v>65</v>
      </c>
      <c r="P114" t="str">
        <f>"INV-00116728 CT093692         "</f>
        <v xml:space="preserve">INV-00116728 CT093692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17.27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0.3</v>
      </c>
      <c r="BJ114">
        <v>1.8</v>
      </c>
      <c r="BK114">
        <v>2</v>
      </c>
      <c r="BL114" s="4">
        <v>55.23</v>
      </c>
      <c r="BM114" s="4">
        <v>8.2799999999999994</v>
      </c>
      <c r="BN114" s="4">
        <v>63.51</v>
      </c>
      <c r="BO114" s="4">
        <v>63.51</v>
      </c>
      <c r="BQ114" t="s">
        <v>708</v>
      </c>
      <c r="BR114" t="s">
        <v>320</v>
      </c>
      <c r="BS114" s="1">
        <v>45751</v>
      </c>
      <c r="BT114" s="2">
        <v>0.41944444444444445</v>
      </c>
      <c r="BU114" t="s">
        <v>585</v>
      </c>
      <c r="BV114" t="s">
        <v>74</v>
      </c>
      <c r="BY114">
        <v>8781.57</v>
      </c>
      <c r="BZ114" t="s">
        <v>79</v>
      </c>
      <c r="CA114" t="s">
        <v>709</v>
      </c>
      <c r="CC114" t="s">
        <v>78</v>
      </c>
      <c r="CD114">
        <v>7800</v>
      </c>
      <c r="CE114" t="s">
        <v>343</v>
      </c>
      <c r="CF114" s="1">
        <v>45755</v>
      </c>
      <c r="CI114">
        <v>1</v>
      </c>
      <c r="CJ114">
        <v>1</v>
      </c>
      <c r="CK114">
        <v>22</v>
      </c>
      <c r="CL114" t="s">
        <v>66</v>
      </c>
    </row>
    <row r="115" spans="1:90" x14ac:dyDescent="0.3">
      <c r="A115" t="s">
        <v>315</v>
      </c>
      <c r="B115" t="s">
        <v>316</v>
      </c>
      <c r="C115" t="s">
        <v>59</v>
      </c>
      <c r="E115" t="str">
        <f>"009940256422"</f>
        <v>009940256422</v>
      </c>
      <c r="F115" s="1">
        <v>45750</v>
      </c>
      <c r="G115">
        <v>202601</v>
      </c>
      <c r="H115" t="s">
        <v>77</v>
      </c>
      <c r="I115" t="s">
        <v>78</v>
      </c>
      <c r="J115" t="s">
        <v>450</v>
      </c>
      <c r="K115" t="s">
        <v>62</v>
      </c>
      <c r="L115" t="s">
        <v>89</v>
      </c>
      <c r="M115" t="s">
        <v>90</v>
      </c>
      <c r="N115" t="s">
        <v>710</v>
      </c>
      <c r="O115" t="s">
        <v>711</v>
      </c>
      <c r="P115" t="str">
        <f>"JNX204432                     "</f>
        <v xml:space="preserve">JNX204432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507.86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253.19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0.5</v>
      </c>
      <c r="BK115">
        <v>1</v>
      </c>
      <c r="BL115" s="4">
        <v>809.65</v>
      </c>
      <c r="BM115" s="4">
        <v>121.45</v>
      </c>
      <c r="BN115" s="4">
        <v>931.1</v>
      </c>
      <c r="BO115" s="4">
        <v>931.1</v>
      </c>
      <c r="BP115" t="s">
        <v>712</v>
      </c>
      <c r="BR115" t="s">
        <v>713</v>
      </c>
      <c r="BS115" s="1">
        <v>45751</v>
      </c>
      <c r="BT115" s="2">
        <v>0.30972222222222223</v>
      </c>
      <c r="BU115" t="s">
        <v>714</v>
      </c>
      <c r="BV115" t="s">
        <v>66</v>
      </c>
      <c r="BY115">
        <v>2340</v>
      </c>
      <c r="BZ115" t="s">
        <v>715</v>
      </c>
      <c r="CC115" t="s">
        <v>90</v>
      </c>
      <c r="CD115">
        <v>4000</v>
      </c>
      <c r="CE115" t="s">
        <v>76</v>
      </c>
      <c r="CF115" s="1">
        <v>45754</v>
      </c>
      <c r="CI115">
        <v>0</v>
      </c>
      <c r="CJ115">
        <v>1</v>
      </c>
      <c r="CK115">
        <v>21</v>
      </c>
      <c r="CL115" t="s">
        <v>66</v>
      </c>
    </row>
    <row r="116" spans="1:90" x14ac:dyDescent="0.3">
      <c r="A116" t="s">
        <v>315</v>
      </c>
      <c r="B116" t="s">
        <v>316</v>
      </c>
      <c r="C116" t="s">
        <v>59</v>
      </c>
      <c r="E116" t="str">
        <f>"080011483989"</f>
        <v>080011483989</v>
      </c>
      <c r="F116" s="1">
        <v>45751</v>
      </c>
      <c r="G116">
        <v>202601</v>
      </c>
      <c r="H116" t="s">
        <v>72</v>
      </c>
      <c r="I116" t="s">
        <v>73</v>
      </c>
      <c r="J116" t="s">
        <v>716</v>
      </c>
      <c r="K116" t="s">
        <v>62</v>
      </c>
      <c r="L116" t="s">
        <v>77</v>
      </c>
      <c r="M116" t="s">
        <v>78</v>
      </c>
      <c r="N116" t="s">
        <v>450</v>
      </c>
      <c r="O116" t="s">
        <v>98</v>
      </c>
      <c r="P116" t="str">
        <f>"-                             "</f>
        <v xml:space="preserve">-  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5.57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42.76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</v>
      </c>
      <c r="BJ116">
        <v>4.8</v>
      </c>
      <c r="BK116">
        <v>5</v>
      </c>
      <c r="BL116" s="4">
        <v>142.31</v>
      </c>
      <c r="BM116" s="4">
        <v>21.35</v>
      </c>
      <c r="BN116" s="4">
        <v>163.66</v>
      </c>
      <c r="BO116" s="4">
        <v>163.66</v>
      </c>
      <c r="BP116" t="s">
        <v>81</v>
      </c>
      <c r="BQ116" t="s">
        <v>506</v>
      </c>
      <c r="BR116" t="s">
        <v>717</v>
      </c>
      <c r="BS116" s="1">
        <v>45754</v>
      </c>
      <c r="BT116" s="2">
        <v>0.45694444444444443</v>
      </c>
      <c r="BU116" t="s">
        <v>263</v>
      </c>
      <c r="BV116" t="s">
        <v>74</v>
      </c>
      <c r="BY116">
        <v>24000</v>
      </c>
      <c r="BZ116" t="s">
        <v>114</v>
      </c>
      <c r="CA116" t="s">
        <v>193</v>
      </c>
      <c r="CC116" t="s">
        <v>78</v>
      </c>
      <c r="CD116">
        <v>7460</v>
      </c>
      <c r="CE116" t="s">
        <v>82</v>
      </c>
      <c r="CF116" s="1">
        <v>45755</v>
      </c>
      <c r="CI116">
        <v>3</v>
      </c>
      <c r="CJ116">
        <v>1</v>
      </c>
      <c r="CK116">
        <v>41</v>
      </c>
      <c r="CL116" t="s">
        <v>66</v>
      </c>
    </row>
    <row r="117" spans="1:90" x14ac:dyDescent="0.3">
      <c r="A117" t="s">
        <v>315</v>
      </c>
      <c r="B117" t="s">
        <v>316</v>
      </c>
      <c r="C117" t="s">
        <v>59</v>
      </c>
      <c r="E117" t="str">
        <f>"GAB2025370"</f>
        <v>GAB2025370</v>
      </c>
      <c r="F117" s="1">
        <v>45751</v>
      </c>
      <c r="G117">
        <v>202601</v>
      </c>
      <c r="H117" t="s">
        <v>77</v>
      </c>
      <c r="I117" t="s">
        <v>78</v>
      </c>
      <c r="J117" t="s">
        <v>317</v>
      </c>
      <c r="K117" t="s">
        <v>62</v>
      </c>
      <c r="L117" t="s">
        <v>106</v>
      </c>
      <c r="M117" t="s">
        <v>107</v>
      </c>
      <c r="N117" t="s">
        <v>600</v>
      </c>
      <c r="O117" t="s">
        <v>65</v>
      </c>
      <c r="P117" t="str">
        <f>"INV-00116744 00116730 .CT09357"</f>
        <v>INV-00116744 00116730 .CT09357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27.64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16.739999999999998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</v>
      </c>
      <c r="BJ117">
        <v>2.4</v>
      </c>
      <c r="BK117">
        <v>2.5</v>
      </c>
      <c r="BL117" s="4">
        <v>105.12</v>
      </c>
      <c r="BM117" s="4">
        <v>15.77</v>
      </c>
      <c r="BN117" s="4">
        <v>120.89</v>
      </c>
      <c r="BO117" s="4">
        <v>120.89</v>
      </c>
      <c r="BQ117" t="s">
        <v>456</v>
      </c>
      <c r="BR117" t="s">
        <v>320</v>
      </c>
      <c r="BS117" s="1">
        <v>45754</v>
      </c>
      <c r="BT117" s="2">
        <v>0.43125000000000002</v>
      </c>
      <c r="BU117" t="s">
        <v>457</v>
      </c>
      <c r="BV117" t="s">
        <v>74</v>
      </c>
      <c r="BY117">
        <v>12000</v>
      </c>
      <c r="BZ117" t="s">
        <v>97</v>
      </c>
      <c r="CA117" t="s">
        <v>458</v>
      </c>
      <c r="CC117" t="s">
        <v>107</v>
      </c>
      <c r="CD117">
        <v>1475</v>
      </c>
      <c r="CE117" t="s">
        <v>718</v>
      </c>
      <c r="CF117" s="1">
        <v>45754</v>
      </c>
      <c r="CI117">
        <v>1</v>
      </c>
      <c r="CJ117">
        <v>1</v>
      </c>
      <c r="CK117">
        <v>21</v>
      </c>
      <c r="CL117" t="s">
        <v>66</v>
      </c>
    </row>
    <row r="118" spans="1:90" x14ac:dyDescent="0.3">
      <c r="A118" t="s">
        <v>315</v>
      </c>
      <c r="B118" t="s">
        <v>316</v>
      </c>
      <c r="C118" t="s">
        <v>59</v>
      </c>
      <c r="E118" t="str">
        <f>"GAB2025371"</f>
        <v>GAB2025371</v>
      </c>
      <c r="F118" s="1">
        <v>45751</v>
      </c>
      <c r="G118">
        <v>202601</v>
      </c>
      <c r="H118" t="s">
        <v>77</v>
      </c>
      <c r="I118" t="s">
        <v>78</v>
      </c>
      <c r="J118" t="s">
        <v>317</v>
      </c>
      <c r="K118" t="s">
        <v>62</v>
      </c>
      <c r="L118" t="s">
        <v>63</v>
      </c>
      <c r="M118" t="s">
        <v>64</v>
      </c>
      <c r="N118" t="s">
        <v>719</v>
      </c>
      <c r="O118" t="s">
        <v>65</v>
      </c>
      <c r="P118" t="str">
        <f>"INV-00034368 031695           "</f>
        <v xml:space="preserve">INV-00034368 031695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27.64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2.4</v>
      </c>
      <c r="BK118">
        <v>2.5</v>
      </c>
      <c r="BL118" s="4">
        <v>88.38</v>
      </c>
      <c r="BM118" s="4">
        <v>13.26</v>
      </c>
      <c r="BN118" s="4">
        <v>101.64</v>
      </c>
      <c r="BO118" s="4">
        <v>101.64</v>
      </c>
      <c r="BQ118" t="s">
        <v>720</v>
      </c>
      <c r="BR118" t="s">
        <v>320</v>
      </c>
      <c r="BS118" s="1">
        <v>45755</v>
      </c>
      <c r="BT118" s="2">
        <v>0.46875</v>
      </c>
      <c r="BU118" t="s">
        <v>721</v>
      </c>
      <c r="BV118" t="s">
        <v>66</v>
      </c>
      <c r="BY118">
        <v>12000</v>
      </c>
      <c r="BZ118" t="s">
        <v>79</v>
      </c>
      <c r="CA118" t="s">
        <v>67</v>
      </c>
      <c r="CC118" t="s">
        <v>64</v>
      </c>
      <c r="CD118">
        <v>5213</v>
      </c>
      <c r="CE118" t="s">
        <v>393</v>
      </c>
      <c r="CF118" s="1">
        <v>45755</v>
      </c>
      <c r="CI118">
        <v>1</v>
      </c>
      <c r="CJ118">
        <v>2</v>
      </c>
      <c r="CK118">
        <v>21</v>
      </c>
      <c r="CL118" t="s">
        <v>66</v>
      </c>
    </row>
    <row r="119" spans="1:90" x14ac:dyDescent="0.3">
      <c r="A119" t="s">
        <v>315</v>
      </c>
      <c r="B119" t="s">
        <v>316</v>
      </c>
      <c r="C119" t="s">
        <v>59</v>
      </c>
      <c r="E119" t="str">
        <f>"GAB2025372"</f>
        <v>GAB2025372</v>
      </c>
      <c r="F119" s="1">
        <v>45751</v>
      </c>
      <c r="G119">
        <v>202601</v>
      </c>
      <c r="H119" t="s">
        <v>77</v>
      </c>
      <c r="I119" t="s">
        <v>78</v>
      </c>
      <c r="J119" t="s">
        <v>317</v>
      </c>
      <c r="K119" t="s">
        <v>62</v>
      </c>
      <c r="L119" t="s">
        <v>419</v>
      </c>
      <c r="M119" t="s">
        <v>420</v>
      </c>
      <c r="N119" t="s">
        <v>421</v>
      </c>
      <c r="O119" t="s">
        <v>65</v>
      </c>
      <c r="P119" t="str">
        <f>"INV-00116741 CT093715         "</f>
        <v xml:space="preserve">INV-00116741 CT093715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52.52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2.4</v>
      </c>
      <c r="BK119">
        <v>2.5</v>
      </c>
      <c r="BL119" s="4">
        <v>167.94</v>
      </c>
      <c r="BM119" s="4">
        <v>25.19</v>
      </c>
      <c r="BN119" s="4">
        <v>193.13</v>
      </c>
      <c r="BO119" s="4">
        <v>193.13</v>
      </c>
      <c r="BQ119" t="s">
        <v>722</v>
      </c>
      <c r="BR119" t="s">
        <v>320</v>
      </c>
      <c r="BS119" s="1">
        <v>45754</v>
      </c>
      <c r="BT119" s="2">
        <v>0.48055555555555557</v>
      </c>
      <c r="BU119" t="s">
        <v>423</v>
      </c>
      <c r="BV119" t="s">
        <v>74</v>
      </c>
      <c r="BY119">
        <v>12000</v>
      </c>
      <c r="BZ119" t="s">
        <v>79</v>
      </c>
      <c r="CA119" t="s">
        <v>424</v>
      </c>
      <c r="CC119" t="s">
        <v>420</v>
      </c>
      <c r="CD119" s="3" t="s">
        <v>425</v>
      </c>
      <c r="CE119" t="s">
        <v>565</v>
      </c>
      <c r="CF119" s="1">
        <v>45754</v>
      </c>
      <c r="CI119">
        <v>2</v>
      </c>
      <c r="CJ119">
        <v>1</v>
      </c>
      <c r="CK119">
        <v>23</v>
      </c>
      <c r="CL119" t="s">
        <v>66</v>
      </c>
    </row>
    <row r="120" spans="1:90" x14ac:dyDescent="0.3">
      <c r="A120" t="s">
        <v>315</v>
      </c>
      <c r="B120" t="s">
        <v>316</v>
      </c>
      <c r="C120" t="s">
        <v>59</v>
      </c>
      <c r="E120" t="str">
        <f>"GAB2025373"</f>
        <v>GAB2025373</v>
      </c>
      <c r="F120" s="1">
        <v>45751</v>
      </c>
      <c r="G120">
        <v>202601</v>
      </c>
      <c r="H120" t="s">
        <v>77</v>
      </c>
      <c r="I120" t="s">
        <v>78</v>
      </c>
      <c r="J120" t="s">
        <v>317</v>
      </c>
      <c r="K120" t="s">
        <v>62</v>
      </c>
      <c r="L120" t="s">
        <v>95</v>
      </c>
      <c r="M120" t="s">
        <v>96</v>
      </c>
      <c r="N120" t="s">
        <v>723</v>
      </c>
      <c r="O120" t="s">
        <v>65</v>
      </c>
      <c r="P120" t="str">
        <f>"INV-00034367 00034369 031721 0"</f>
        <v>INV-00034367 00034369 031721 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44.21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3.8</v>
      </c>
      <c r="BK120">
        <v>4</v>
      </c>
      <c r="BL120" s="4">
        <v>141.37</v>
      </c>
      <c r="BM120" s="4">
        <v>21.21</v>
      </c>
      <c r="BN120" s="4">
        <v>162.58000000000001</v>
      </c>
      <c r="BO120" s="4">
        <v>162.58000000000001</v>
      </c>
      <c r="BQ120" t="s">
        <v>724</v>
      </c>
      <c r="BR120" t="s">
        <v>320</v>
      </c>
      <c r="BS120" s="1">
        <v>45754</v>
      </c>
      <c r="BT120" s="2">
        <v>0.37569444444444444</v>
      </c>
      <c r="BU120" t="s">
        <v>226</v>
      </c>
      <c r="BV120" t="s">
        <v>74</v>
      </c>
      <c r="BY120">
        <v>19200</v>
      </c>
      <c r="BZ120" t="s">
        <v>79</v>
      </c>
      <c r="CA120" t="s">
        <v>725</v>
      </c>
      <c r="CC120" t="s">
        <v>96</v>
      </c>
      <c r="CD120">
        <v>2191</v>
      </c>
      <c r="CE120" t="s">
        <v>389</v>
      </c>
      <c r="CF120" s="1">
        <v>45755</v>
      </c>
      <c r="CI120">
        <v>1</v>
      </c>
      <c r="CJ120">
        <v>1</v>
      </c>
      <c r="CK120">
        <v>21</v>
      </c>
      <c r="CL120" t="s">
        <v>66</v>
      </c>
    </row>
    <row r="121" spans="1:90" x14ac:dyDescent="0.3">
      <c r="A121" t="s">
        <v>315</v>
      </c>
      <c r="B121" t="s">
        <v>316</v>
      </c>
      <c r="C121" t="s">
        <v>59</v>
      </c>
      <c r="E121" t="str">
        <f>"GAB2025374"</f>
        <v>GAB2025374</v>
      </c>
      <c r="F121" s="1">
        <v>45751</v>
      </c>
      <c r="G121">
        <v>202601</v>
      </c>
      <c r="H121" t="s">
        <v>77</v>
      </c>
      <c r="I121" t="s">
        <v>78</v>
      </c>
      <c r="J121" t="s">
        <v>317</v>
      </c>
      <c r="K121" t="s">
        <v>62</v>
      </c>
      <c r="L121" t="s">
        <v>260</v>
      </c>
      <c r="M121" t="s">
        <v>261</v>
      </c>
      <c r="N121" t="s">
        <v>726</v>
      </c>
      <c r="O121" t="s">
        <v>65</v>
      </c>
      <c r="P121" t="str">
        <f>"INV-00116747 CT093710         "</f>
        <v xml:space="preserve">INV-00116747 CT093710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27.64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2.4</v>
      </c>
      <c r="BK121">
        <v>2.5</v>
      </c>
      <c r="BL121" s="4">
        <v>88.38</v>
      </c>
      <c r="BM121" s="4">
        <v>13.26</v>
      </c>
      <c r="BN121" s="4">
        <v>101.64</v>
      </c>
      <c r="BO121" s="4">
        <v>101.64</v>
      </c>
      <c r="BR121" t="s">
        <v>320</v>
      </c>
      <c r="BS121" s="1">
        <v>45754</v>
      </c>
      <c r="BT121" s="2">
        <v>0.40416666666666667</v>
      </c>
      <c r="BU121" t="s">
        <v>727</v>
      </c>
      <c r="BV121" t="s">
        <v>74</v>
      </c>
      <c r="BY121">
        <v>12000</v>
      </c>
      <c r="BZ121" t="s">
        <v>79</v>
      </c>
      <c r="CA121" t="s">
        <v>268</v>
      </c>
      <c r="CC121" t="s">
        <v>261</v>
      </c>
      <c r="CD121">
        <v>2146</v>
      </c>
      <c r="CE121" t="s">
        <v>343</v>
      </c>
      <c r="CF121" s="1">
        <v>45755</v>
      </c>
      <c r="CI121">
        <v>1</v>
      </c>
      <c r="CJ121">
        <v>1</v>
      </c>
      <c r="CK121">
        <v>21</v>
      </c>
      <c r="CL121" t="s">
        <v>66</v>
      </c>
    </row>
    <row r="122" spans="1:90" x14ac:dyDescent="0.3">
      <c r="A122" t="s">
        <v>315</v>
      </c>
      <c r="B122" t="s">
        <v>316</v>
      </c>
      <c r="C122" t="s">
        <v>59</v>
      </c>
      <c r="E122" t="str">
        <f>"GAB2025375"</f>
        <v>GAB2025375</v>
      </c>
      <c r="F122" s="1">
        <v>45751</v>
      </c>
      <c r="G122">
        <v>202601</v>
      </c>
      <c r="H122" t="s">
        <v>77</v>
      </c>
      <c r="I122" t="s">
        <v>78</v>
      </c>
      <c r="J122" t="s">
        <v>317</v>
      </c>
      <c r="K122" t="s">
        <v>62</v>
      </c>
      <c r="L122" t="s">
        <v>95</v>
      </c>
      <c r="M122" t="s">
        <v>96</v>
      </c>
      <c r="N122" t="s">
        <v>728</v>
      </c>
      <c r="O122" t="s">
        <v>65</v>
      </c>
      <c r="P122" t="str">
        <f>"INV-00116748 CT093719         "</f>
        <v xml:space="preserve">INV-00116748 CT093719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44.21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1</v>
      </c>
      <c r="BJ122">
        <v>3.8</v>
      </c>
      <c r="BK122">
        <v>4</v>
      </c>
      <c r="BL122" s="4">
        <v>141.37</v>
      </c>
      <c r="BM122" s="4">
        <v>21.21</v>
      </c>
      <c r="BN122" s="4">
        <v>162.58000000000001</v>
      </c>
      <c r="BO122" s="4">
        <v>162.58000000000001</v>
      </c>
      <c r="BQ122" t="s">
        <v>729</v>
      </c>
      <c r="BR122" t="s">
        <v>320</v>
      </c>
      <c r="BS122" s="1">
        <v>45754</v>
      </c>
      <c r="BT122" s="2">
        <v>0.39583333333333331</v>
      </c>
      <c r="BU122" t="s">
        <v>730</v>
      </c>
      <c r="BV122" t="s">
        <v>74</v>
      </c>
      <c r="BY122">
        <v>19200</v>
      </c>
      <c r="BZ122" t="s">
        <v>79</v>
      </c>
      <c r="CA122" t="s">
        <v>268</v>
      </c>
      <c r="CC122" t="s">
        <v>96</v>
      </c>
      <c r="CD122">
        <v>2196</v>
      </c>
      <c r="CE122" t="s">
        <v>412</v>
      </c>
      <c r="CF122" s="1">
        <v>45755</v>
      </c>
      <c r="CI122">
        <v>1</v>
      </c>
      <c r="CJ122">
        <v>1</v>
      </c>
      <c r="CK122">
        <v>21</v>
      </c>
      <c r="CL122" t="s">
        <v>66</v>
      </c>
    </row>
    <row r="123" spans="1:90" x14ac:dyDescent="0.3">
      <c r="A123" t="s">
        <v>315</v>
      </c>
      <c r="B123" t="s">
        <v>316</v>
      </c>
      <c r="C123" t="s">
        <v>59</v>
      </c>
      <c r="E123" t="str">
        <f>"GAB2025377"</f>
        <v>GAB2025377</v>
      </c>
      <c r="F123" s="1">
        <v>45751</v>
      </c>
      <c r="G123">
        <v>202601</v>
      </c>
      <c r="H123" t="s">
        <v>77</v>
      </c>
      <c r="I123" t="s">
        <v>78</v>
      </c>
      <c r="J123" t="s">
        <v>317</v>
      </c>
      <c r="K123" t="s">
        <v>62</v>
      </c>
      <c r="L123" t="s">
        <v>63</v>
      </c>
      <c r="M123" t="s">
        <v>64</v>
      </c>
      <c r="N123" t="s">
        <v>336</v>
      </c>
      <c r="O123" t="s">
        <v>65</v>
      </c>
      <c r="P123" t="str">
        <f>"INV-00116752 CT093700         "</f>
        <v xml:space="preserve">INV-00116752 CT093700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27.64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2.4</v>
      </c>
      <c r="BK123">
        <v>2.5</v>
      </c>
      <c r="BL123" s="4">
        <v>88.38</v>
      </c>
      <c r="BM123" s="4">
        <v>13.26</v>
      </c>
      <c r="BN123" s="4">
        <v>101.64</v>
      </c>
      <c r="BO123" s="4">
        <v>101.64</v>
      </c>
      <c r="BR123" t="s">
        <v>320</v>
      </c>
      <c r="BS123" s="1">
        <v>45755</v>
      </c>
      <c r="BT123" s="2">
        <v>0.45277777777777778</v>
      </c>
      <c r="BU123" t="s">
        <v>731</v>
      </c>
      <c r="BV123" t="s">
        <v>66</v>
      </c>
      <c r="BY123">
        <v>12000</v>
      </c>
      <c r="BZ123" t="s">
        <v>79</v>
      </c>
      <c r="CA123" t="s">
        <v>299</v>
      </c>
      <c r="CC123" t="s">
        <v>64</v>
      </c>
      <c r="CD123">
        <v>5200</v>
      </c>
      <c r="CE123" t="s">
        <v>343</v>
      </c>
      <c r="CF123" s="1">
        <v>45755</v>
      </c>
      <c r="CI123">
        <v>1</v>
      </c>
      <c r="CJ123">
        <v>2</v>
      </c>
      <c r="CK123">
        <v>21</v>
      </c>
      <c r="CL123" t="s">
        <v>66</v>
      </c>
    </row>
    <row r="124" spans="1:90" x14ac:dyDescent="0.3">
      <c r="A124" t="s">
        <v>315</v>
      </c>
      <c r="B124" t="s">
        <v>316</v>
      </c>
      <c r="C124" t="s">
        <v>59</v>
      </c>
      <c r="E124" t="str">
        <f>"GAB2025378"</f>
        <v>GAB2025378</v>
      </c>
      <c r="F124" s="1">
        <v>45751</v>
      </c>
      <c r="G124">
        <v>202601</v>
      </c>
      <c r="H124" t="s">
        <v>77</v>
      </c>
      <c r="I124" t="s">
        <v>78</v>
      </c>
      <c r="J124" t="s">
        <v>317</v>
      </c>
      <c r="K124" t="s">
        <v>62</v>
      </c>
      <c r="L124" t="s">
        <v>77</v>
      </c>
      <c r="M124" t="s">
        <v>78</v>
      </c>
      <c r="N124" t="s">
        <v>340</v>
      </c>
      <c r="O124" t="s">
        <v>65</v>
      </c>
      <c r="P124" t="str">
        <f>"INV-00116750 00116751 CT093699"</f>
        <v>INV-00116750 00116751 CT093699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17.27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2.5</v>
      </c>
      <c r="BK124">
        <v>3</v>
      </c>
      <c r="BL124" s="4">
        <v>55.23</v>
      </c>
      <c r="BM124" s="4">
        <v>8.2799999999999994</v>
      </c>
      <c r="BN124" s="4">
        <v>63.51</v>
      </c>
      <c r="BO124" s="4">
        <v>63.51</v>
      </c>
      <c r="BQ124" t="s">
        <v>341</v>
      </c>
      <c r="BR124" t="s">
        <v>320</v>
      </c>
      <c r="BS124" s="1">
        <v>45754</v>
      </c>
      <c r="BT124" s="2">
        <v>0.3527777777777778</v>
      </c>
      <c r="BU124" t="s">
        <v>342</v>
      </c>
      <c r="BV124" t="s">
        <v>74</v>
      </c>
      <c r="BY124">
        <v>12620.1</v>
      </c>
      <c r="BZ124" t="s">
        <v>79</v>
      </c>
      <c r="CA124" t="s">
        <v>175</v>
      </c>
      <c r="CC124" t="s">
        <v>78</v>
      </c>
      <c r="CD124">
        <v>7441</v>
      </c>
      <c r="CE124" t="s">
        <v>556</v>
      </c>
      <c r="CF124" s="1">
        <v>45755</v>
      </c>
      <c r="CI124">
        <v>1</v>
      </c>
      <c r="CJ124">
        <v>1</v>
      </c>
      <c r="CK124">
        <v>22</v>
      </c>
      <c r="CL124" t="s">
        <v>66</v>
      </c>
    </row>
    <row r="125" spans="1:90" x14ac:dyDescent="0.3">
      <c r="A125" t="s">
        <v>315</v>
      </c>
      <c r="B125" t="s">
        <v>316</v>
      </c>
      <c r="C125" t="s">
        <v>59</v>
      </c>
      <c r="E125" t="str">
        <f>"GAB2025380"</f>
        <v>GAB2025380</v>
      </c>
      <c r="F125" s="1">
        <v>45751</v>
      </c>
      <c r="G125">
        <v>202601</v>
      </c>
      <c r="H125" t="s">
        <v>77</v>
      </c>
      <c r="I125" t="s">
        <v>78</v>
      </c>
      <c r="J125" t="s">
        <v>317</v>
      </c>
      <c r="K125" t="s">
        <v>62</v>
      </c>
      <c r="L125" t="s">
        <v>145</v>
      </c>
      <c r="M125" t="s">
        <v>146</v>
      </c>
      <c r="N125" t="s">
        <v>732</v>
      </c>
      <c r="O125" t="s">
        <v>65</v>
      </c>
      <c r="P125" t="str">
        <f>"INV-00034371 00034380 031690 0"</f>
        <v>INV-00034371 00034380 031690 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52.52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2.4</v>
      </c>
      <c r="BK125">
        <v>2.5</v>
      </c>
      <c r="BL125" s="4">
        <v>167.94</v>
      </c>
      <c r="BM125" s="4">
        <v>25.19</v>
      </c>
      <c r="BN125" s="4">
        <v>193.13</v>
      </c>
      <c r="BO125" s="4">
        <v>193.13</v>
      </c>
      <c r="BQ125" t="s">
        <v>404</v>
      </c>
      <c r="BR125" t="s">
        <v>320</v>
      </c>
      <c r="BS125" s="1">
        <v>45755</v>
      </c>
      <c r="BT125" s="2">
        <v>0.36736111111111114</v>
      </c>
      <c r="BU125" t="s">
        <v>733</v>
      </c>
      <c r="BV125" t="s">
        <v>74</v>
      </c>
      <c r="BY125">
        <v>12000</v>
      </c>
      <c r="BZ125" t="s">
        <v>79</v>
      </c>
      <c r="CA125" t="s">
        <v>599</v>
      </c>
      <c r="CC125" t="s">
        <v>146</v>
      </c>
      <c r="CD125">
        <v>3900</v>
      </c>
      <c r="CE125" t="s">
        <v>343</v>
      </c>
      <c r="CF125" s="1">
        <v>45755</v>
      </c>
      <c r="CI125">
        <v>2</v>
      </c>
      <c r="CJ125">
        <v>2</v>
      </c>
      <c r="CK125">
        <v>23</v>
      </c>
      <c r="CL125" t="s">
        <v>66</v>
      </c>
    </row>
    <row r="126" spans="1:90" x14ac:dyDescent="0.3">
      <c r="A126" t="s">
        <v>315</v>
      </c>
      <c r="B126" t="s">
        <v>316</v>
      </c>
      <c r="C126" t="s">
        <v>59</v>
      </c>
      <c r="E126" t="str">
        <f>"GAB2025381"</f>
        <v>GAB2025381</v>
      </c>
      <c r="F126" s="1">
        <v>45751</v>
      </c>
      <c r="G126">
        <v>202601</v>
      </c>
      <c r="H126" t="s">
        <v>77</v>
      </c>
      <c r="I126" t="s">
        <v>78</v>
      </c>
      <c r="J126" t="s">
        <v>317</v>
      </c>
      <c r="K126" t="s">
        <v>62</v>
      </c>
      <c r="L126" t="s">
        <v>419</v>
      </c>
      <c r="M126" t="s">
        <v>420</v>
      </c>
      <c r="N126" t="s">
        <v>734</v>
      </c>
      <c r="O126" t="s">
        <v>65</v>
      </c>
      <c r="P126" t="str">
        <f>"INV-00116762 CT093729         "</f>
        <v xml:space="preserve">INV-00116762 CT093729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81.540000000000006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16.739999999999998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3.8</v>
      </c>
      <c r="BK126">
        <v>4</v>
      </c>
      <c r="BL126" s="4">
        <v>277.48</v>
      </c>
      <c r="BM126" s="4">
        <v>41.62</v>
      </c>
      <c r="BN126" s="4">
        <v>319.10000000000002</v>
      </c>
      <c r="BO126" s="4">
        <v>319.10000000000002</v>
      </c>
      <c r="BQ126" t="s">
        <v>735</v>
      </c>
      <c r="BR126" t="s">
        <v>320</v>
      </c>
      <c r="BS126" s="1">
        <v>45754</v>
      </c>
      <c r="BT126" s="2">
        <v>0.73541666666666672</v>
      </c>
      <c r="BU126" t="s">
        <v>736</v>
      </c>
      <c r="BV126" t="s">
        <v>74</v>
      </c>
      <c r="BY126">
        <v>19200</v>
      </c>
      <c r="BZ126" t="s">
        <v>737</v>
      </c>
      <c r="CA126" t="s">
        <v>738</v>
      </c>
      <c r="CC126" t="s">
        <v>420</v>
      </c>
      <c r="CD126" s="3" t="s">
        <v>739</v>
      </c>
      <c r="CE126" t="s">
        <v>382</v>
      </c>
      <c r="CF126" s="1">
        <v>45755</v>
      </c>
      <c r="CI126">
        <v>3</v>
      </c>
      <c r="CJ126">
        <v>1</v>
      </c>
      <c r="CK126">
        <v>23</v>
      </c>
      <c r="CL126" t="s">
        <v>66</v>
      </c>
    </row>
    <row r="127" spans="1:90" x14ac:dyDescent="0.3">
      <c r="A127" t="s">
        <v>315</v>
      </c>
      <c r="B127" t="s">
        <v>316</v>
      </c>
      <c r="C127" t="s">
        <v>59</v>
      </c>
      <c r="E127" t="str">
        <f>"GAB2025382"</f>
        <v>GAB2025382</v>
      </c>
      <c r="F127" s="1">
        <v>45751</v>
      </c>
      <c r="G127">
        <v>202601</v>
      </c>
      <c r="H127" t="s">
        <v>77</v>
      </c>
      <c r="I127" t="s">
        <v>78</v>
      </c>
      <c r="J127" t="s">
        <v>317</v>
      </c>
      <c r="K127" t="s">
        <v>62</v>
      </c>
      <c r="L127" t="s">
        <v>211</v>
      </c>
      <c r="M127" t="s">
        <v>212</v>
      </c>
      <c r="N127" t="s">
        <v>740</v>
      </c>
      <c r="O127" t="s">
        <v>65</v>
      </c>
      <c r="P127" t="str">
        <f>"INV-00116765 CT093725         "</f>
        <v xml:space="preserve">INV-00116765 CT093725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27.64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0.2</v>
      </c>
      <c r="BJ127">
        <v>2.1</v>
      </c>
      <c r="BK127">
        <v>2.5</v>
      </c>
      <c r="BL127" s="4">
        <v>88.38</v>
      </c>
      <c r="BM127" s="4">
        <v>13.26</v>
      </c>
      <c r="BN127" s="4">
        <v>101.64</v>
      </c>
      <c r="BO127" s="4">
        <v>101.64</v>
      </c>
      <c r="BQ127" t="s">
        <v>741</v>
      </c>
      <c r="BR127" t="s">
        <v>320</v>
      </c>
      <c r="BS127" s="1">
        <v>45754</v>
      </c>
      <c r="BT127" s="2">
        <v>0.3888888888888889</v>
      </c>
      <c r="BU127" t="s">
        <v>742</v>
      </c>
      <c r="BV127" t="s">
        <v>74</v>
      </c>
      <c r="BY127">
        <v>10693.2</v>
      </c>
      <c r="BZ127" t="s">
        <v>79</v>
      </c>
      <c r="CA127" t="s">
        <v>743</v>
      </c>
      <c r="CC127" t="s">
        <v>212</v>
      </c>
      <c r="CD127">
        <v>6529</v>
      </c>
      <c r="CE127" t="s">
        <v>343</v>
      </c>
      <c r="CF127" s="1">
        <v>45755</v>
      </c>
      <c r="CI127">
        <v>1</v>
      </c>
      <c r="CJ127">
        <v>1</v>
      </c>
      <c r="CK127">
        <v>21</v>
      </c>
      <c r="CL127" t="s">
        <v>66</v>
      </c>
    </row>
    <row r="128" spans="1:90" x14ac:dyDescent="0.3">
      <c r="A128" t="s">
        <v>315</v>
      </c>
      <c r="B128" t="s">
        <v>316</v>
      </c>
      <c r="C128" t="s">
        <v>59</v>
      </c>
      <c r="E128" t="str">
        <f>"GAB2025385"</f>
        <v>GAB2025385</v>
      </c>
      <c r="F128" s="1">
        <v>45751</v>
      </c>
      <c r="G128">
        <v>202601</v>
      </c>
      <c r="H128" t="s">
        <v>77</v>
      </c>
      <c r="I128" t="s">
        <v>78</v>
      </c>
      <c r="J128" t="s">
        <v>317</v>
      </c>
      <c r="K128" t="s">
        <v>62</v>
      </c>
      <c r="L128" t="s">
        <v>95</v>
      </c>
      <c r="M128" t="s">
        <v>96</v>
      </c>
      <c r="N128" t="s">
        <v>744</v>
      </c>
      <c r="O128" t="s">
        <v>65</v>
      </c>
      <c r="P128" t="str">
        <f>"INV-00034379 031741           "</f>
        <v xml:space="preserve">INV-00034379 031741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27.64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2.4</v>
      </c>
      <c r="BK128">
        <v>2.5</v>
      </c>
      <c r="BL128" s="4">
        <v>88.38</v>
      </c>
      <c r="BM128" s="4">
        <v>13.26</v>
      </c>
      <c r="BN128" s="4">
        <v>101.64</v>
      </c>
      <c r="BO128" s="4">
        <v>101.64</v>
      </c>
      <c r="BQ128" t="s">
        <v>630</v>
      </c>
      <c r="BR128" t="s">
        <v>320</v>
      </c>
      <c r="BS128" s="1">
        <v>45754</v>
      </c>
      <c r="BT128" s="2">
        <v>0.39513888888888887</v>
      </c>
      <c r="BU128" t="s">
        <v>631</v>
      </c>
      <c r="BV128" t="s">
        <v>74</v>
      </c>
      <c r="BY128">
        <v>12000</v>
      </c>
      <c r="BZ128" t="s">
        <v>79</v>
      </c>
      <c r="CA128" t="s">
        <v>632</v>
      </c>
      <c r="CC128" t="s">
        <v>96</v>
      </c>
      <c r="CD128">
        <v>2040</v>
      </c>
      <c r="CE128" t="s">
        <v>343</v>
      </c>
      <c r="CF128" s="1">
        <v>45755</v>
      </c>
      <c r="CI128">
        <v>1</v>
      </c>
      <c r="CJ128">
        <v>1</v>
      </c>
      <c r="CK128">
        <v>21</v>
      </c>
      <c r="CL128" t="s">
        <v>66</v>
      </c>
    </row>
    <row r="129" spans="1:90" x14ac:dyDescent="0.3">
      <c r="A129" t="s">
        <v>315</v>
      </c>
      <c r="B129" t="s">
        <v>316</v>
      </c>
      <c r="C129" t="s">
        <v>59</v>
      </c>
      <c r="E129" t="str">
        <f>"GAB2025386"</f>
        <v>GAB2025386</v>
      </c>
      <c r="F129" s="1">
        <v>45751</v>
      </c>
      <c r="G129">
        <v>202601</v>
      </c>
      <c r="H129" t="s">
        <v>77</v>
      </c>
      <c r="I129" t="s">
        <v>78</v>
      </c>
      <c r="J129" t="s">
        <v>317</v>
      </c>
      <c r="K129" t="s">
        <v>62</v>
      </c>
      <c r="L129" t="s">
        <v>295</v>
      </c>
      <c r="M129" t="s">
        <v>296</v>
      </c>
      <c r="N129" t="s">
        <v>745</v>
      </c>
      <c r="O129" t="s">
        <v>65</v>
      </c>
      <c r="P129" t="str">
        <f>"INV-00034381 031742           "</f>
        <v xml:space="preserve">INV-00034381 031742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81.540000000000006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3.8</v>
      </c>
      <c r="BK129">
        <v>4</v>
      </c>
      <c r="BL129" s="4">
        <v>260.74</v>
      </c>
      <c r="BM129" s="4">
        <v>39.11</v>
      </c>
      <c r="BN129" s="4">
        <v>299.85000000000002</v>
      </c>
      <c r="BO129" s="4">
        <v>299.85000000000002</v>
      </c>
      <c r="BQ129" t="s">
        <v>746</v>
      </c>
      <c r="BR129" t="s">
        <v>320</v>
      </c>
      <c r="BS129" s="1">
        <v>45754</v>
      </c>
      <c r="BT129" s="2">
        <v>0.38333333333333336</v>
      </c>
      <c r="BU129" t="s">
        <v>747</v>
      </c>
      <c r="BV129" t="s">
        <v>74</v>
      </c>
      <c r="BY129">
        <v>19200</v>
      </c>
      <c r="BZ129" t="s">
        <v>79</v>
      </c>
      <c r="CA129" t="s">
        <v>748</v>
      </c>
      <c r="CC129" t="s">
        <v>296</v>
      </c>
      <c r="CD129">
        <v>1035</v>
      </c>
      <c r="CE129" t="s">
        <v>389</v>
      </c>
      <c r="CF129" s="1">
        <v>45754</v>
      </c>
      <c r="CI129">
        <v>1</v>
      </c>
      <c r="CJ129">
        <v>1</v>
      </c>
      <c r="CK129">
        <v>23</v>
      </c>
      <c r="CL129" t="s">
        <v>66</v>
      </c>
    </row>
    <row r="130" spans="1:90" x14ac:dyDescent="0.3">
      <c r="A130" t="s">
        <v>315</v>
      </c>
      <c r="B130" t="s">
        <v>316</v>
      </c>
      <c r="C130" t="s">
        <v>59</v>
      </c>
      <c r="E130" t="str">
        <f>"GAB2025388"</f>
        <v>GAB2025388</v>
      </c>
      <c r="F130" s="1">
        <v>45751</v>
      </c>
      <c r="G130">
        <v>202601</v>
      </c>
      <c r="H130" t="s">
        <v>77</v>
      </c>
      <c r="I130" t="s">
        <v>78</v>
      </c>
      <c r="J130" t="s">
        <v>317</v>
      </c>
      <c r="K130" t="s">
        <v>62</v>
      </c>
      <c r="L130" t="s">
        <v>77</v>
      </c>
      <c r="M130" t="s">
        <v>78</v>
      </c>
      <c r="N130" t="s">
        <v>707</v>
      </c>
      <c r="O130" t="s">
        <v>65</v>
      </c>
      <c r="P130" t="str">
        <f>"INV-00116746 00116740 00116764"</f>
        <v>INV-00116746 00116740 00116764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17.27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0.6</v>
      </c>
      <c r="BJ130">
        <v>1.8</v>
      </c>
      <c r="BK130">
        <v>2</v>
      </c>
      <c r="BL130" s="4">
        <v>55.23</v>
      </c>
      <c r="BM130" s="4">
        <v>8.2799999999999994</v>
      </c>
      <c r="BN130" s="4">
        <v>63.51</v>
      </c>
      <c r="BO130" s="4">
        <v>63.51</v>
      </c>
      <c r="BQ130" t="s">
        <v>708</v>
      </c>
      <c r="BR130" t="s">
        <v>320</v>
      </c>
      <c r="BS130" s="1">
        <v>45754</v>
      </c>
      <c r="BT130" s="2">
        <v>0.42291666666666666</v>
      </c>
      <c r="BU130" t="s">
        <v>223</v>
      </c>
      <c r="BV130" t="s">
        <v>74</v>
      </c>
      <c r="BY130">
        <v>8954.75</v>
      </c>
      <c r="BZ130" t="s">
        <v>79</v>
      </c>
      <c r="CA130" t="s">
        <v>709</v>
      </c>
      <c r="CC130" t="s">
        <v>78</v>
      </c>
      <c r="CD130">
        <v>7800</v>
      </c>
      <c r="CE130" t="s">
        <v>586</v>
      </c>
      <c r="CF130" s="1">
        <v>45755</v>
      </c>
      <c r="CI130">
        <v>1</v>
      </c>
      <c r="CJ130">
        <v>1</v>
      </c>
      <c r="CK130">
        <v>22</v>
      </c>
      <c r="CL130" t="s">
        <v>66</v>
      </c>
    </row>
    <row r="131" spans="1:90" x14ac:dyDescent="0.3">
      <c r="A131" t="s">
        <v>315</v>
      </c>
      <c r="B131" t="s">
        <v>316</v>
      </c>
      <c r="C131" t="s">
        <v>59</v>
      </c>
      <c r="E131" t="str">
        <f>"GAB2025390"</f>
        <v>GAB2025390</v>
      </c>
      <c r="F131" s="1">
        <v>45751</v>
      </c>
      <c r="G131">
        <v>202601</v>
      </c>
      <c r="H131" t="s">
        <v>77</v>
      </c>
      <c r="I131" t="s">
        <v>78</v>
      </c>
      <c r="J131" t="s">
        <v>317</v>
      </c>
      <c r="K131" t="s">
        <v>62</v>
      </c>
      <c r="L131" t="s">
        <v>83</v>
      </c>
      <c r="M131" t="s">
        <v>84</v>
      </c>
      <c r="N131" t="s">
        <v>749</v>
      </c>
      <c r="O131" t="s">
        <v>65</v>
      </c>
      <c r="P131" t="str">
        <f>"INV-00116767 CT093723         "</f>
        <v xml:space="preserve">INV-00116767 CT093723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27.64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</v>
      </c>
      <c r="BJ131">
        <v>2.4</v>
      </c>
      <c r="BK131">
        <v>2.5</v>
      </c>
      <c r="BL131" s="4">
        <v>88.38</v>
      </c>
      <c r="BM131" s="4">
        <v>13.26</v>
      </c>
      <c r="BN131" s="4">
        <v>101.64</v>
      </c>
      <c r="BO131" s="4">
        <v>101.64</v>
      </c>
      <c r="BQ131" t="s">
        <v>612</v>
      </c>
      <c r="BR131" t="s">
        <v>320</v>
      </c>
      <c r="BS131" s="1">
        <v>45754</v>
      </c>
      <c r="BT131" s="2">
        <v>0.36805555555555558</v>
      </c>
      <c r="BU131" t="s">
        <v>552</v>
      </c>
      <c r="BV131" t="s">
        <v>74</v>
      </c>
      <c r="BY131">
        <v>12000</v>
      </c>
      <c r="BZ131" t="s">
        <v>79</v>
      </c>
      <c r="CA131" t="s">
        <v>176</v>
      </c>
      <c r="CC131" t="s">
        <v>84</v>
      </c>
      <c r="CD131">
        <v>3201</v>
      </c>
      <c r="CE131" t="s">
        <v>343</v>
      </c>
      <c r="CF131" s="1">
        <v>45755</v>
      </c>
      <c r="CI131">
        <v>1</v>
      </c>
      <c r="CJ131">
        <v>1</v>
      </c>
      <c r="CK131">
        <v>21</v>
      </c>
      <c r="CL131" t="s">
        <v>66</v>
      </c>
    </row>
    <row r="132" spans="1:90" x14ac:dyDescent="0.3">
      <c r="A132" t="s">
        <v>489</v>
      </c>
      <c r="B132" t="s">
        <v>316</v>
      </c>
      <c r="C132" t="s">
        <v>59</v>
      </c>
      <c r="E132" t="str">
        <f>"009945078788"</f>
        <v>009945078788</v>
      </c>
      <c r="F132" s="1">
        <v>45751</v>
      </c>
      <c r="G132">
        <v>202601</v>
      </c>
      <c r="H132" t="s">
        <v>100</v>
      </c>
      <c r="I132" t="s">
        <v>101</v>
      </c>
      <c r="J132" t="s">
        <v>750</v>
      </c>
      <c r="K132" t="s">
        <v>62</v>
      </c>
      <c r="L132" t="s">
        <v>142</v>
      </c>
      <c r="M132" t="s">
        <v>143</v>
      </c>
      <c r="N132" t="s">
        <v>750</v>
      </c>
      <c r="O132" t="s">
        <v>65</v>
      </c>
      <c r="P132" t="str">
        <f>"PE                            "</f>
        <v xml:space="preserve">PE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22.11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 s="4">
        <v>70.709999999999994</v>
      </c>
      <c r="BM132" s="4">
        <v>10.61</v>
      </c>
      <c r="BN132" s="4">
        <v>81.319999999999993</v>
      </c>
      <c r="BO132" s="4">
        <v>81.319999999999993</v>
      </c>
      <c r="BQ132" t="s">
        <v>751</v>
      </c>
      <c r="BR132" t="s">
        <v>752</v>
      </c>
      <c r="BS132" s="1">
        <v>45754</v>
      </c>
      <c r="BT132" s="2">
        <v>0.3576388888888889</v>
      </c>
      <c r="BU132" t="s">
        <v>452</v>
      </c>
      <c r="BV132" t="s">
        <v>74</v>
      </c>
      <c r="BY132">
        <v>1200</v>
      </c>
      <c r="BZ132" t="s">
        <v>79</v>
      </c>
      <c r="CA132" t="s">
        <v>453</v>
      </c>
      <c r="CC132" t="s">
        <v>143</v>
      </c>
      <c r="CD132" s="3" t="s">
        <v>499</v>
      </c>
      <c r="CE132" t="s">
        <v>76</v>
      </c>
      <c r="CF132" s="1">
        <v>45754</v>
      </c>
      <c r="CI132">
        <v>1</v>
      </c>
      <c r="CJ132">
        <v>1</v>
      </c>
      <c r="CK132">
        <v>21</v>
      </c>
      <c r="CL132" t="s">
        <v>66</v>
      </c>
    </row>
    <row r="133" spans="1:90" x14ac:dyDescent="0.3">
      <c r="A133" t="s">
        <v>315</v>
      </c>
      <c r="B133" t="s">
        <v>316</v>
      </c>
      <c r="C133" t="s">
        <v>59</v>
      </c>
      <c r="E133" t="str">
        <f>"GAB2025389"</f>
        <v>GAB2025389</v>
      </c>
      <c r="F133" s="1">
        <v>45751</v>
      </c>
      <c r="G133">
        <v>202601</v>
      </c>
      <c r="H133" t="s">
        <v>77</v>
      </c>
      <c r="I133" t="s">
        <v>78</v>
      </c>
      <c r="J133" t="s">
        <v>317</v>
      </c>
      <c r="K133" t="s">
        <v>62</v>
      </c>
      <c r="L133" t="s">
        <v>95</v>
      </c>
      <c r="M133" t="s">
        <v>96</v>
      </c>
      <c r="N133" t="s">
        <v>383</v>
      </c>
      <c r="O133" t="s">
        <v>98</v>
      </c>
      <c r="P133" t="str">
        <f>"INV-00116768 CT093716         "</f>
        <v xml:space="preserve">INV-00116768 CT093716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5.57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42.76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0.4</v>
      </c>
      <c r="BJ133">
        <v>2.4</v>
      </c>
      <c r="BK133">
        <v>3</v>
      </c>
      <c r="BL133" s="4">
        <v>142.31</v>
      </c>
      <c r="BM133" s="4">
        <v>21.35</v>
      </c>
      <c r="BN133" s="4">
        <v>163.66</v>
      </c>
      <c r="BO133" s="4">
        <v>163.66</v>
      </c>
      <c r="BQ133" t="s">
        <v>753</v>
      </c>
      <c r="BR133" t="s">
        <v>320</v>
      </c>
      <c r="BS133" s="1">
        <v>45754</v>
      </c>
      <c r="BT133" s="2">
        <v>0.3125</v>
      </c>
      <c r="BU133" t="s">
        <v>754</v>
      </c>
      <c r="BV133" t="s">
        <v>74</v>
      </c>
      <c r="BY133">
        <v>11780.25</v>
      </c>
      <c r="CA133" t="s">
        <v>303</v>
      </c>
      <c r="CC133" t="s">
        <v>96</v>
      </c>
      <c r="CD133">
        <v>2000</v>
      </c>
      <c r="CE133" t="s">
        <v>755</v>
      </c>
      <c r="CF133" s="1">
        <v>45755</v>
      </c>
      <c r="CI133">
        <v>2</v>
      </c>
      <c r="CJ133">
        <v>1</v>
      </c>
      <c r="CK133">
        <v>41</v>
      </c>
      <c r="CL133" t="s">
        <v>66</v>
      </c>
    </row>
    <row r="134" spans="1:90" x14ac:dyDescent="0.3">
      <c r="A134" t="s">
        <v>315</v>
      </c>
      <c r="B134" t="s">
        <v>316</v>
      </c>
      <c r="C134" t="s">
        <v>59</v>
      </c>
      <c r="E134" t="str">
        <f>"GAB2025367"</f>
        <v>GAB2025367</v>
      </c>
      <c r="F134" s="1">
        <v>45751</v>
      </c>
      <c r="G134">
        <v>202601</v>
      </c>
      <c r="H134" t="s">
        <v>77</v>
      </c>
      <c r="I134" t="s">
        <v>78</v>
      </c>
      <c r="J134" t="s">
        <v>317</v>
      </c>
      <c r="K134" t="s">
        <v>62</v>
      </c>
      <c r="L134" t="s">
        <v>95</v>
      </c>
      <c r="M134" t="s">
        <v>96</v>
      </c>
      <c r="N134" t="s">
        <v>595</v>
      </c>
      <c r="O134" t="s">
        <v>98</v>
      </c>
      <c r="P134" t="str">
        <f>"INV-00116735 CT093410         "</f>
        <v xml:space="preserve">INV-00116735 CT093410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5.57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49.82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10.8</v>
      </c>
      <c r="BJ134">
        <v>18.7</v>
      </c>
      <c r="BK134">
        <v>19</v>
      </c>
      <c r="BL134" s="4">
        <v>164.89</v>
      </c>
      <c r="BM134" s="4">
        <v>24.73</v>
      </c>
      <c r="BN134" s="4">
        <v>189.62</v>
      </c>
      <c r="BO134" s="4">
        <v>189.62</v>
      </c>
      <c r="BQ134" t="s">
        <v>756</v>
      </c>
      <c r="BR134" t="s">
        <v>320</v>
      </c>
      <c r="BS134" s="1">
        <v>45755</v>
      </c>
      <c r="BT134" s="2">
        <v>0.45555555555555555</v>
      </c>
      <c r="BU134" t="s">
        <v>756</v>
      </c>
      <c r="BV134" t="s">
        <v>74</v>
      </c>
      <c r="BY134">
        <v>93353.4</v>
      </c>
      <c r="CA134" t="s">
        <v>561</v>
      </c>
      <c r="CC134" t="s">
        <v>96</v>
      </c>
      <c r="CD134">
        <v>2193</v>
      </c>
      <c r="CE134" t="s">
        <v>339</v>
      </c>
      <c r="CF134" s="1">
        <v>45755</v>
      </c>
      <c r="CI134">
        <v>2</v>
      </c>
      <c r="CJ134">
        <v>2</v>
      </c>
      <c r="CK134">
        <v>41</v>
      </c>
      <c r="CL134" t="s">
        <v>66</v>
      </c>
    </row>
    <row r="135" spans="1:90" x14ac:dyDescent="0.3">
      <c r="A135" t="s">
        <v>315</v>
      </c>
      <c r="B135" t="s">
        <v>316</v>
      </c>
      <c r="C135" t="s">
        <v>59</v>
      </c>
      <c r="E135" t="str">
        <f>"GAB2025368"</f>
        <v>GAB2025368</v>
      </c>
      <c r="F135" s="1">
        <v>45751</v>
      </c>
      <c r="G135">
        <v>202601</v>
      </c>
      <c r="H135" t="s">
        <v>77</v>
      </c>
      <c r="I135" t="s">
        <v>78</v>
      </c>
      <c r="J135" t="s">
        <v>317</v>
      </c>
      <c r="K135" t="s">
        <v>62</v>
      </c>
      <c r="L135" t="s">
        <v>91</v>
      </c>
      <c r="M135" t="s">
        <v>92</v>
      </c>
      <c r="N135" t="s">
        <v>757</v>
      </c>
      <c r="O135" t="s">
        <v>98</v>
      </c>
      <c r="P135" t="str">
        <f>"INV-00116736 CT092967         "</f>
        <v xml:space="preserve">INV-00116736 CT092967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5.57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56.88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3</v>
      </c>
      <c r="BI135">
        <v>7.5</v>
      </c>
      <c r="BJ135">
        <v>22.6</v>
      </c>
      <c r="BK135">
        <v>23</v>
      </c>
      <c r="BL135" s="4">
        <v>187.47</v>
      </c>
      <c r="BM135" s="4">
        <v>28.12</v>
      </c>
      <c r="BN135" s="4">
        <v>215.59</v>
      </c>
      <c r="BO135" s="4">
        <v>215.59</v>
      </c>
      <c r="BQ135" t="s">
        <v>758</v>
      </c>
      <c r="BR135" t="s">
        <v>320</v>
      </c>
      <c r="BS135" s="1">
        <v>45756</v>
      </c>
      <c r="BT135" s="2">
        <v>0.36388888888888887</v>
      </c>
      <c r="BU135" t="s">
        <v>275</v>
      </c>
      <c r="BV135" t="s">
        <v>74</v>
      </c>
      <c r="BY135">
        <v>112961.55</v>
      </c>
      <c r="CA135" t="s">
        <v>759</v>
      </c>
      <c r="CC135" t="s">
        <v>92</v>
      </c>
      <c r="CD135" s="3" t="s">
        <v>235</v>
      </c>
      <c r="CE135" t="s">
        <v>760</v>
      </c>
      <c r="CF135" s="1">
        <v>45756</v>
      </c>
      <c r="CI135">
        <v>3</v>
      </c>
      <c r="CJ135">
        <v>3</v>
      </c>
      <c r="CK135">
        <v>41</v>
      </c>
      <c r="CL135" t="s">
        <v>66</v>
      </c>
    </row>
    <row r="136" spans="1:90" x14ac:dyDescent="0.3">
      <c r="A136" t="s">
        <v>315</v>
      </c>
      <c r="B136" t="s">
        <v>316</v>
      </c>
      <c r="C136" t="s">
        <v>59</v>
      </c>
      <c r="E136" t="str">
        <f>"GAB2025369"</f>
        <v>GAB2025369</v>
      </c>
      <c r="F136" s="1">
        <v>45751</v>
      </c>
      <c r="G136">
        <v>202601</v>
      </c>
      <c r="H136" t="s">
        <v>77</v>
      </c>
      <c r="I136" t="s">
        <v>78</v>
      </c>
      <c r="J136" t="s">
        <v>317</v>
      </c>
      <c r="K136" t="s">
        <v>62</v>
      </c>
      <c r="L136" t="s">
        <v>158</v>
      </c>
      <c r="M136" t="s">
        <v>159</v>
      </c>
      <c r="N136" t="s">
        <v>761</v>
      </c>
      <c r="O136" t="s">
        <v>98</v>
      </c>
      <c r="P136" t="str">
        <f>"INV-00116738 CT093506         "</f>
        <v xml:space="preserve">INV-00116738 CT093506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5.57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72.63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10.1</v>
      </c>
      <c r="BJ136">
        <v>18.5</v>
      </c>
      <c r="BK136">
        <v>19</v>
      </c>
      <c r="BL136" s="4">
        <v>237.83</v>
      </c>
      <c r="BM136" s="4">
        <v>35.67</v>
      </c>
      <c r="BN136" s="4">
        <v>273.5</v>
      </c>
      <c r="BO136" s="4">
        <v>273.5</v>
      </c>
      <c r="BQ136" t="s">
        <v>762</v>
      </c>
      <c r="BR136" t="s">
        <v>320</v>
      </c>
      <c r="BS136" s="1">
        <v>45755</v>
      </c>
      <c r="BT136" s="2">
        <v>0.52638888888888891</v>
      </c>
      <c r="BU136" t="s">
        <v>763</v>
      </c>
      <c r="BV136" t="s">
        <v>74</v>
      </c>
      <c r="BY136">
        <v>92453.7</v>
      </c>
      <c r="CA136" t="s">
        <v>200</v>
      </c>
      <c r="CC136" t="s">
        <v>159</v>
      </c>
      <c r="CD136">
        <v>1739</v>
      </c>
      <c r="CE136" t="s">
        <v>339</v>
      </c>
      <c r="CF136" s="1">
        <v>45756</v>
      </c>
      <c r="CI136">
        <v>2</v>
      </c>
      <c r="CJ136">
        <v>2</v>
      </c>
      <c r="CK136">
        <v>43</v>
      </c>
      <c r="CL136" t="s">
        <v>66</v>
      </c>
    </row>
    <row r="137" spans="1:90" x14ac:dyDescent="0.3">
      <c r="A137" t="s">
        <v>315</v>
      </c>
      <c r="B137" t="s">
        <v>316</v>
      </c>
      <c r="C137" t="s">
        <v>59</v>
      </c>
      <c r="E137" t="str">
        <f>"GAB2025376"</f>
        <v>GAB2025376</v>
      </c>
      <c r="F137" s="1">
        <v>45751</v>
      </c>
      <c r="G137">
        <v>202601</v>
      </c>
      <c r="H137" t="s">
        <v>77</v>
      </c>
      <c r="I137" t="s">
        <v>78</v>
      </c>
      <c r="J137" t="s">
        <v>317</v>
      </c>
      <c r="K137" t="s">
        <v>62</v>
      </c>
      <c r="L137" t="s">
        <v>546</v>
      </c>
      <c r="M137" t="s">
        <v>547</v>
      </c>
      <c r="N137" t="s">
        <v>764</v>
      </c>
      <c r="O137" t="s">
        <v>98</v>
      </c>
      <c r="P137" t="str">
        <f>"INV-00116757 CT093718         "</f>
        <v xml:space="preserve">INV-00116757 CT093718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5.57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42.76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2.8</v>
      </c>
      <c r="BJ137">
        <v>6.1</v>
      </c>
      <c r="BK137">
        <v>7</v>
      </c>
      <c r="BL137" s="4">
        <v>142.31</v>
      </c>
      <c r="BM137" s="4">
        <v>21.35</v>
      </c>
      <c r="BN137" s="4">
        <v>163.66</v>
      </c>
      <c r="BO137" s="4">
        <v>163.66</v>
      </c>
      <c r="BQ137" t="s">
        <v>529</v>
      </c>
      <c r="BR137" t="s">
        <v>320</v>
      </c>
      <c r="BS137" s="1">
        <v>45755</v>
      </c>
      <c r="BT137" s="2">
        <v>0.57638888888888884</v>
      </c>
      <c r="BU137" t="s">
        <v>266</v>
      </c>
      <c r="BV137" t="s">
        <v>74</v>
      </c>
      <c r="BY137">
        <v>30257.279999999999</v>
      </c>
      <c r="CC137" t="s">
        <v>547</v>
      </c>
      <c r="CD137">
        <v>9301</v>
      </c>
      <c r="CE137" t="s">
        <v>322</v>
      </c>
      <c r="CF137" s="1">
        <v>45757</v>
      </c>
      <c r="CI137">
        <v>4</v>
      </c>
      <c r="CJ137">
        <v>2</v>
      </c>
      <c r="CK137">
        <v>41</v>
      </c>
      <c r="CL137" t="s">
        <v>66</v>
      </c>
    </row>
    <row r="138" spans="1:90" x14ac:dyDescent="0.3">
      <c r="A138" t="s">
        <v>315</v>
      </c>
      <c r="B138" t="s">
        <v>316</v>
      </c>
      <c r="C138" t="s">
        <v>59</v>
      </c>
      <c r="E138" t="str">
        <f>"GAB2025379"</f>
        <v>GAB2025379</v>
      </c>
      <c r="F138" s="1">
        <v>45751</v>
      </c>
      <c r="G138">
        <v>202601</v>
      </c>
      <c r="H138" t="s">
        <v>77</v>
      </c>
      <c r="I138" t="s">
        <v>78</v>
      </c>
      <c r="J138" t="s">
        <v>317</v>
      </c>
      <c r="K138" t="s">
        <v>62</v>
      </c>
      <c r="L138" t="s">
        <v>142</v>
      </c>
      <c r="M138" t="s">
        <v>143</v>
      </c>
      <c r="N138" t="s">
        <v>349</v>
      </c>
      <c r="O138" t="s">
        <v>98</v>
      </c>
      <c r="P138" t="str">
        <f>"INV-00116729 00116753 CT093697"</f>
        <v>INV-00116729 00116753 CT093697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5.57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42.76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2.2999999999999998</v>
      </c>
      <c r="BJ138">
        <v>6.1</v>
      </c>
      <c r="BK138">
        <v>7</v>
      </c>
      <c r="BL138" s="4">
        <v>142.31</v>
      </c>
      <c r="BM138" s="4">
        <v>21.35</v>
      </c>
      <c r="BN138" s="4">
        <v>163.66</v>
      </c>
      <c r="BO138" s="4">
        <v>163.66</v>
      </c>
      <c r="BQ138" t="s">
        <v>276</v>
      </c>
      <c r="BR138" t="s">
        <v>320</v>
      </c>
      <c r="BS138" s="1">
        <v>45755</v>
      </c>
      <c r="BT138" s="2">
        <v>0.37430555555555556</v>
      </c>
      <c r="BU138" t="s">
        <v>765</v>
      </c>
      <c r="BV138" t="s">
        <v>74</v>
      </c>
      <c r="BY138">
        <v>30465.86</v>
      </c>
      <c r="CA138" t="s">
        <v>766</v>
      </c>
      <c r="CC138" t="s">
        <v>143</v>
      </c>
      <c r="CD138" s="3" t="s">
        <v>144</v>
      </c>
      <c r="CE138" t="s">
        <v>322</v>
      </c>
      <c r="CF138" s="1">
        <v>45755</v>
      </c>
      <c r="CI138">
        <v>3</v>
      </c>
      <c r="CJ138">
        <v>2</v>
      </c>
      <c r="CK138">
        <v>41</v>
      </c>
      <c r="CL138" t="s">
        <v>66</v>
      </c>
    </row>
    <row r="139" spans="1:90" x14ac:dyDescent="0.3">
      <c r="A139" t="s">
        <v>315</v>
      </c>
      <c r="B139" t="s">
        <v>316</v>
      </c>
      <c r="C139" t="s">
        <v>59</v>
      </c>
      <c r="E139" t="str">
        <f>"GAB2025383"</f>
        <v>GAB2025383</v>
      </c>
      <c r="F139" s="1">
        <v>45751</v>
      </c>
      <c r="G139">
        <v>202601</v>
      </c>
      <c r="H139" t="s">
        <v>77</v>
      </c>
      <c r="I139" t="s">
        <v>78</v>
      </c>
      <c r="J139" t="s">
        <v>317</v>
      </c>
      <c r="K139" t="s">
        <v>62</v>
      </c>
      <c r="L139" t="s">
        <v>91</v>
      </c>
      <c r="M139" t="s">
        <v>92</v>
      </c>
      <c r="N139" t="s">
        <v>767</v>
      </c>
      <c r="O139" t="s">
        <v>98</v>
      </c>
      <c r="P139" t="str">
        <f>"INV-00116766 CT093726         "</f>
        <v xml:space="preserve">INV-00116766 CT093726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5.57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65.709999999999994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2</v>
      </c>
      <c r="BI139">
        <v>8.3000000000000007</v>
      </c>
      <c r="BJ139">
        <v>27.8</v>
      </c>
      <c r="BK139">
        <v>28</v>
      </c>
      <c r="BL139" s="4">
        <v>215.7</v>
      </c>
      <c r="BM139" s="4">
        <v>32.36</v>
      </c>
      <c r="BN139" s="4">
        <v>248.06</v>
      </c>
      <c r="BO139" s="4">
        <v>248.06</v>
      </c>
      <c r="BR139" t="s">
        <v>320</v>
      </c>
      <c r="BS139" s="1">
        <v>45755</v>
      </c>
      <c r="BT139" s="2">
        <v>0.38819444444444445</v>
      </c>
      <c r="BU139" t="s">
        <v>768</v>
      </c>
      <c r="BV139" t="s">
        <v>74</v>
      </c>
      <c r="BY139">
        <v>139106.03</v>
      </c>
      <c r="CA139" t="s">
        <v>147</v>
      </c>
      <c r="CC139" t="s">
        <v>92</v>
      </c>
      <c r="CD139" s="3" t="s">
        <v>94</v>
      </c>
      <c r="CE139" t="s">
        <v>525</v>
      </c>
      <c r="CF139" s="1">
        <v>45755</v>
      </c>
      <c r="CI139">
        <v>3</v>
      </c>
      <c r="CJ139">
        <v>2</v>
      </c>
      <c r="CK139">
        <v>41</v>
      </c>
      <c r="CL139" t="s">
        <v>66</v>
      </c>
    </row>
    <row r="140" spans="1:90" x14ac:dyDescent="0.3">
      <c r="A140" t="s">
        <v>315</v>
      </c>
      <c r="B140" t="s">
        <v>316</v>
      </c>
      <c r="C140" t="s">
        <v>59</v>
      </c>
      <c r="E140" t="str">
        <f>"GAB2025384"</f>
        <v>GAB2025384</v>
      </c>
      <c r="F140" s="1">
        <v>45751</v>
      </c>
      <c r="G140">
        <v>202601</v>
      </c>
      <c r="H140" t="s">
        <v>77</v>
      </c>
      <c r="I140" t="s">
        <v>78</v>
      </c>
      <c r="J140" t="s">
        <v>317</v>
      </c>
      <c r="K140" t="s">
        <v>62</v>
      </c>
      <c r="L140" t="s">
        <v>95</v>
      </c>
      <c r="M140" t="s">
        <v>96</v>
      </c>
      <c r="N140" t="s">
        <v>769</v>
      </c>
      <c r="O140" t="s">
        <v>98</v>
      </c>
      <c r="P140" t="str">
        <f>"INV-00034378 031733           "</f>
        <v xml:space="preserve">INV-00034378 031733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5.57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42.76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6.3</v>
      </c>
      <c r="BJ140">
        <v>12.7</v>
      </c>
      <c r="BK140">
        <v>13</v>
      </c>
      <c r="BL140" s="4">
        <v>142.31</v>
      </c>
      <c r="BM140" s="4">
        <v>21.35</v>
      </c>
      <c r="BN140" s="4">
        <v>163.66</v>
      </c>
      <c r="BO140" s="4">
        <v>163.66</v>
      </c>
      <c r="BR140" t="s">
        <v>320</v>
      </c>
      <c r="BS140" s="1">
        <v>45755</v>
      </c>
      <c r="BT140" s="2">
        <v>0.59722222222222221</v>
      </c>
      <c r="BU140" t="s">
        <v>452</v>
      </c>
      <c r="BV140" t="s">
        <v>74</v>
      </c>
      <c r="BY140">
        <v>63715.68</v>
      </c>
      <c r="CA140" t="s">
        <v>770</v>
      </c>
      <c r="CC140" t="s">
        <v>96</v>
      </c>
      <c r="CD140">
        <v>2000</v>
      </c>
      <c r="CE140" t="s">
        <v>525</v>
      </c>
      <c r="CF140" s="1">
        <v>45756</v>
      </c>
      <c r="CI140">
        <v>2</v>
      </c>
      <c r="CJ140">
        <v>2</v>
      </c>
      <c r="CK140">
        <v>41</v>
      </c>
      <c r="CL140" t="s">
        <v>66</v>
      </c>
    </row>
    <row r="141" spans="1:90" x14ac:dyDescent="0.3">
      <c r="A141" t="s">
        <v>315</v>
      </c>
      <c r="B141" t="s">
        <v>316</v>
      </c>
      <c r="C141" t="s">
        <v>59</v>
      </c>
      <c r="E141" t="str">
        <f>"009940256423"</f>
        <v>009940256423</v>
      </c>
      <c r="F141" s="1">
        <v>45749</v>
      </c>
      <c r="G141">
        <v>202601</v>
      </c>
      <c r="H141" t="s">
        <v>77</v>
      </c>
      <c r="I141" t="s">
        <v>78</v>
      </c>
      <c r="J141" t="s">
        <v>450</v>
      </c>
      <c r="K141" t="s">
        <v>62</v>
      </c>
      <c r="L141" t="s">
        <v>771</v>
      </c>
      <c r="M141" t="s">
        <v>772</v>
      </c>
      <c r="N141" t="s">
        <v>773</v>
      </c>
      <c r="O141" t="s">
        <v>774</v>
      </c>
      <c r="P141" t="str">
        <f>"CT093343-00116559             "</f>
        <v xml:space="preserve">CT093343-00116559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159.22999999999999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2</v>
      </c>
      <c r="BJ141">
        <v>6</v>
      </c>
      <c r="BK141">
        <v>6</v>
      </c>
      <c r="BL141" s="4">
        <v>895.2</v>
      </c>
      <c r="BM141" s="4">
        <v>0</v>
      </c>
      <c r="BN141" s="4">
        <v>895.2</v>
      </c>
      <c r="BO141" s="4">
        <v>895.2</v>
      </c>
      <c r="BQ141" t="s">
        <v>236</v>
      </c>
      <c r="BR141" t="s">
        <v>775</v>
      </c>
      <c r="BS141" s="1">
        <v>45754</v>
      </c>
      <c r="BT141" s="2">
        <v>0.6694444444444444</v>
      </c>
      <c r="BU141" t="s">
        <v>776</v>
      </c>
      <c r="BW141" t="s">
        <v>234</v>
      </c>
      <c r="BX141" t="s">
        <v>777</v>
      </c>
      <c r="BY141">
        <v>29983.200000000001</v>
      </c>
      <c r="BZ141" t="s">
        <v>778</v>
      </c>
      <c r="CC141" t="s">
        <v>772</v>
      </c>
      <c r="CD141" t="s">
        <v>779</v>
      </c>
      <c r="CE141" t="s">
        <v>76</v>
      </c>
      <c r="CF141" s="1">
        <v>45764</v>
      </c>
      <c r="CI141">
        <v>0</v>
      </c>
      <c r="CJ141">
        <v>0</v>
      </c>
      <c r="CK141">
        <v>303</v>
      </c>
      <c r="CL141" t="s">
        <v>66</v>
      </c>
    </row>
    <row r="142" spans="1:90" x14ac:dyDescent="0.3">
      <c r="A142" t="s">
        <v>315</v>
      </c>
      <c r="B142" t="s">
        <v>316</v>
      </c>
      <c r="C142" t="s">
        <v>59</v>
      </c>
      <c r="E142" t="str">
        <f>"RGAB2025329"</f>
        <v>RGAB2025329</v>
      </c>
      <c r="F142" s="1">
        <v>45754</v>
      </c>
      <c r="G142">
        <v>202601</v>
      </c>
      <c r="H142" t="s">
        <v>413</v>
      </c>
      <c r="I142" t="s">
        <v>414</v>
      </c>
      <c r="J142" t="s">
        <v>605</v>
      </c>
      <c r="K142" t="s">
        <v>62</v>
      </c>
      <c r="L142" t="s">
        <v>169</v>
      </c>
      <c r="M142" t="s">
        <v>170</v>
      </c>
      <c r="N142" t="s">
        <v>780</v>
      </c>
      <c r="O142" t="s">
        <v>98</v>
      </c>
      <c r="P142" t="str">
        <f>"INV-00116684 CT093649         "</f>
        <v xml:space="preserve">INV-00116684 CT093649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5.57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42.76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0.3</v>
      </c>
      <c r="BJ142">
        <v>2.4</v>
      </c>
      <c r="BK142">
        <v>3</v>
      </c>
      <c r="BL142" s="4">
        <v>142.31</v>
      </c>
      <c r="BM142" s="4">
        <v>21.35</v>
      </c>
      <c r="BN142" s="4">
        <v>163.66</v>
      </c>
      <c r="BO142" s="4">
        <v>163.66</v>
      </c>
      <c r="BQ142" t="s">
        <v>781</v>
      </c>
      <c r="BR142" t="s">
        <v>606</v>
      </c>
      <c r="BS142" s="1">
        <v>45762</v>
      </c>
      <c r="BT142" s="2">
        <v>0.59861111111111109</v>
      </c>
      <c r="BU142" t="s">
        <v>782</v>
      </c>
      <c r="BV142" t="s">
        <v>66</v>
      </c>
      <c r="BW142" t="s">
        <v>71</v>
      </c>
      <c r="BX142" t="s">
        <v>783</v>
      </c>
      <c r="BY142">
        <v>11981.06</v>
      </c>
      <c r="CA142" t="s">
        <v>784</v>
      </c>
      <c r="CC142" t="s">
        <v>170</v>
      </c>
      <c r="CD142">
        <v>1682</v>
      </c>
      <c r="CE142" t="s">
        <v>382</v>
      </c>
      <c r="CF142" s="1">
        <v>45763</v>
      </c>
      <c r="CI142">
        <v>1</v>
      </c>
      <c r="CJ142">
        <v>6</v>
      </c>
      <c r="CK142">
        <v>41</v>
      </c>
      <c r="CL142" t="s">
        <v>66</v>
      </c>
    </row>
    <row r="143" spans="1:90" x14ac:dyDescent="0.3">
      <c r="A143" t="s">
        <v>315</v>
      </c>
      <c r="B143" t="s">
        <v>316</v>
      </c>
      <c r="C143" t="s">
        <v>59</v>
      </c>
      <c r="E143" t="str">
        <f>"GAB2025392"</f>
        <v>GAB2025392</v>
      </c>
      <c r="F143" s="1">
        <v>45754</v>
      </c>
      <c r="G143">
        <v>202601</v>
      </c>
      <c r="H143" t="s">
        <v>77</v>
      </c>
      <c r="I143" t="s">
        <v>78</v>
      </c>
      <c r="J143" t="s">
        <v>317</v>
      </c>
      <c r="K143" t="s">
        <v>62</v>
      </c>
      <c r="L143" t="s">
        <v>95</v>
      </c>
      <c r="M143" t="s">
        <v>96</v>
      </c>
      <c r="N143" t="s">
        <v>723</v>
      </c>
      <c r="O143" t="s">
        <v>65</v>
      </c>
      <c r="P143" t="str">
        <f>"INV-00034411 031662           "</f>
        <v xml:space="preserve">INV-00034411 031662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27.64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0.3</v>
      </c>
      <c r="BJ143">
        <v>2.4</v>
      </c>
      <c r="BK143">
        <v>2.5</v>
      </c>
      <c r="BL143" s="4">
        <v>88.38</v>
      </c>
      <c r="BM143" s="4">
        <v>13.26</v>
      </c>
      <c r="BN143" s="4">
        <v>101.64</v>
      </c>
      <c r="BO143" s="4">
        <v>101.64</v>
      </c>
      <c r="BQ143" t="s">
        <v>785</v>
      </c>
      <c r="BR143" t="s">
        <v>320</v>
      </c>
      <c r="BS143" s="1">
        <v>45755</v>
      </c>
      <c r="BT143" s="2">
        <v>0.74652777777777779</v>
      </c>
      <c r="BU143" t="s">
        <v>786</v>
      </c>
      <c r="BV143" t="s">
        <v>66</v>
      </c>
      <c r="BW143" t="s">
        <v>71</v>
      </c>
      <c r="BX143" t="s">
        <v>157</v>
      </c>
      <c r="BY143">
        <v>11953.98</v>
      </c>
      <c r="BZ143" t="s">
        <v>79</v>
      </c>
      <c r="CC143" t="s">
        <v>96</v>
      </c>
      <c r="CD143">
        <v>2191</v>
      </c>
      <c r="CE143" t="s">
        <v>382</v>
      </c>
      <c r="CF143" s="1">
        <v>45756</v>
      </c>
      <c r="CI143">
        <v>1</v>
      </c>
      <c r="CJ143">
        <v>1</v>
      </c>
      <c r="CK143">
        <v>21</v>
      </c>
      <c r="CL143" t="s">
        <v>66</v>
      </c>
    </row>
    <row r="144" spans="1:90" x14ac:dyDescent="0.3">
      <c r="A144" t="s">
        <v>315</v>
      </c>
      <c r="B144" t="s">
        <v>316</v>
      </c>
      <c r="C144" t="s">
        <v>59</v>
      </c>
      <c r="E144" t="str">
        <f>"GAB2025393"</f>
        <v>GAB2025393</v>
      </c>
      <c r="F144" s="1">
        <v>45754</v>
      </c>
      <c r="G144">
        <v>202601</v>
      </c>
      <c r="H144" t="s">
        <v>77</v>
      </c>
      <c r="I144" t="s">
        <v>78</v>
      </c>
      <c r="J144" t="s">
        <v>317</v>
      </c>
      <c r="K144" t="s">
        <v>62</v>
      </c>
      <c r="L144" t="s">
        <v>288</v>
      </c>
      <c r="M144" t="s">
        <v>289</v>
      </c>
      <c r="N144" t="s">
        <v>787</v>
      </c>
      <c r="O144" t="s">
        <v>65</v>
      </c>
      <c r="P144" t="str">
        <f>"INV-00034412 031735           "</f>
        <v xml:space="preserve">INV-00034412 031735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42.84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0.1</v>
      </c>
      <c r="BJ144">
        <v>0.8</v>
      </c>
      <c r="BK144">
        <v>1</v>
      </c>
      <c r="BL144" s="4">
        <v>137</v>
      </c>
      <c r="BM144" s="4">
        <v>20.55</v>
      </c>
      <c r="BN144" s="4">
        <v>157.55000000000001</v>
      </c>
      <c r="BO144" s="4">
        <v>157.55000000000001</v>
      </c>
      <c r="BQ144" t="s">
        <v>788</v>
      </c>
      <c r="BR144" t="s">
        <v>320</v>
      </c>
      <c r="BS144" s="1">
        <v>45755</v>
      </c>
      <c r="BT144" s="2">
        <v>0.46944444444444444</v>
      </c>
      <c r="BU144" t="s">
        <v>789</v>
      </c>
      <c r="BV144" t="s">
        <v>74</v>
      </c>
      <c r="BY144">
        <v>3894.7</v>
      </c>
      <c r="BZ144" t="s">
        <v>79</v>
      </c>
      <c r="CC144" t="s">
        <v>289</v>
      </c>
      <c r="CD144">
        <v>7380</v>
      </c>
      <c r="CE144" t="s">
        <v>393</v>
      </c>
      <c r="CF144" s="1">
        <v>45756</v>
      </c>
      <c r="CI144">
        <v>5</v>
      </c>
      <c r="CJ144">
        <v>1</v>
      </c>
      <c r="CK144">
        <v>23</v>
      </c>
      <c r="CL144" t="s">
        <v>66</v>
      </c>
    </row>
    <row r="145" spans="1:90" x14ac:dyDescent="0.3">
      <c r="A145" t="s">
        <v>315</v>
      </c>
      <c r="B145" t="s">
        <v>316</v>
      </c>
      <c r="C145" t="s">
        <v>59</v>
      </c>
      <c r="E145" t="str">
        <f>"GAB2025394"</f>
        <v>GAB2025394</v>
      </c>
      <c r="F145" s="1">
        <v>45754</v>
      </c>
      <c r="G145">
        <v>202601</v>
      </c>
      <c r="H145" t="s">
        <v>77</v>
      </c>
      <c r="I145" t="s">
        <v>78</v>
      </c>
      <c r="J145" t="s">
        <v>317</v>
      </c>
      <c r="K145" t="s">
        <v>62</v>
      </c>
      <c r="L145" t="s">
        <v>89</v>
      </c>
      <c r="M145" t="s">
        <v>90</v>
      </c>
      <c r="N145" t="s">
        <v>790</v>
      </c>
      <c r="O145" t="s">
        <v>65</v>
      </c>
      <c r="P145" t="str">
        <f>"INV-00034413 031664           "</f>
        <v xml:space="preserve">INV-00034413 031664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22.11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0.2</v>
      </c>
      <c r="BJ145">
        <v>0.7</v>
      </c>
      <c r="BK145">
        <v>1</v>
      </c>
      <c r="BL145" s="4">
        <v>70.709999999999994</v>
      </c>
      <c r="BM145" s="4">
        <v>10.61</v>
      </c>
      <c r="BN145" s="4">
        <v>81.319999999999993</v>
      </c>
      <c r="BO145" s="4">
        <v>81.319999999999993</v>
      </c>
      <c r="BQ145" t="s">
        <v>791</v>
      </c>
      <c r="BR145" t="s">
        <v>320</v>
      </c>
      <c r="BS145" s="1">
        <v>45756</v>
      </c>
      <c r="BT145" s="2">
        <v>0.44513888888888886</v>
      </c>
      <c r="BU145" t="s">
        <v>241</v>
      </c>
      <c r="BV145" t="s">
        <v>66</v>
      </c>
      <c r="BW145" t="s">
        <v>112</v>
      </c>
      <c r="BX145" t="s">
        <v>428</v>
      </c>
      <c r="BY145">
        <v>3597.84</v>
      </c>
      <c r="BZ145" t="s">
        <v>79</v>
      </c>
      <c r="CA145" t="s">
        <v>232</v>
      </c>
      <c r="CC145" t="s">
        <v>90</v>
      </c>
      <c r="CD145">
        <v>3629</v>
      </c>
      <c r="CE145" t="s">
        <v>343</v>
      </c>
      <c r="CF145" s="1">
        <v>45757</v>
      </c>
      <c r="CI145">
        <v>2</v>
      </c>
      <c r="CJ145">
        <v>2</v>
      </c>
      <c r="CK145">
        <v>21</v>
      </c>
      <c r="CL145" t="s">
        <v>66</v>
      </c>
    </row>
    <row r="146" spans="1:90" x14ac:dyDescent="0.3">
      <c r="A146" t="s">
        <v>315</v>
      </c>
      <c r="B146" t="s">
        <v>316</v>
      </c>
      <c r="C146" t="s">
        <v>59</v>
      </c>
      <c r="E146" t="str">
        <f>"GAB2025395"</f>
        <v>GAB2025395</v>
      </c>
      <c r="F146" s="1">
        <v>45754</v>
      </c>
      <c r="G146">
        <v>202601</v>
      </c>
      <c r="H146" t="s">
        <v>77</v>
      </c>
      <c r="I146" t="s">
        <v>78</v>
      </c>
      <c r="J146" t="s">
        <v>317</v>
      </c>
      <c r="K146" t="s">
        <v>62</v>
      </c>
      <c r="L146" t="s">
        <v>91</v>
      </c>
      <c r="M146" t="s">
        <v>92</v>
      </c>
      <c r="N146" t="s">
        <v>403</v>
      </c>
      <c r="O146" t="s">
        <v>65</v>
      </c>
      <c r="P146" t="str">
        <f>"INV-00034414 031731           "</f>
        <v xml:space="preserve">INV-00034414 031731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22.11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0.1</v>
      </c>
      <c r="BJ146">
        <v>0.8</v>
      </c>
      <c r="BK146">
        <v>1</v>
      </c>
      <c r="BL146" s="4">
        <v>70.709999999999994</v>
      </c>
      <c r="BM146" s="4">
        <v>10.61</v>
      </c>
      <c r="BN146" s="4">
        <v>81.319999999999993</v>
      </c>
      <c r="BO146" s="4">
        <v>81.319999999999993</v>
      </c>
      <c r="BQ146" t="s">
        <v>404</v>
      </c>
      <c r="BR146" t="s">
        <v>320</v>
      </c>
      <c r="BS146" s="1">
        <v>45755</v>
      </c>
      <c r="BT146" s="2">
        <v>0.42777777777777776</v>
      </c>
      <c r="BU146" t="s">
        <v>405</v>
      </c>
      <c r="BV146" t="s">
        <v>74</v>
      </c>
      <c r="BY146">
        <v>3841.44</v>
      </c>
      <c r="BZ146" t="s">
        <v>79</v>
      </c>
      <c r="CA146" t="s">
        <v>147</v>
      </c>
      <c r="CC146" t="s">
        <v>92</v>
      </c>
      <c r="CD146" s="3" t="s">
        <v>94</v>
      </c>
      <c r="CE146" t="s">
        <v>393</v>
      </c>
      <c r="CF146" s="1">
        <v>45755</v>
      </c>
      <c r="CI146">
        <v>1</v>
      </c>
      <c r="CJ146">
        <v>1</v>
      </c>
      <c r="CK146">
        <v>21</v>
      </c>
      <c r="CL146" t="s">
        <v>66</v>
      </c>
    </row>
    <row r="147" spans="1:90" x14ac:dyDescent="0.3">
      <c r="A147" t="s">
        <v>315</v>
      </c>
      <c r="B147" t="s">
        <v>316</v>
      </c>
      <c r="C147" t="s">
        <v>59</v>
      </c>
      <c r="E147" t="str">
        <f>"GAB2025396"</f>
        <v>GAB2025396</v>
      </c>
      <c r="F147" s="1">
        <v>45754</v>
      </c>
      <c r="G147">
        <v>202601</v>
      </c>
      <c r="H147" t="s">
        <v>77</v>
      </c>
      <c r="I147" t="s">
        <v>78</v>
      </c>
      <c r="J147" t="s">
        <v>317</v>
      </c>
      <c r="K147" t="s">
        <v>62</v>
      </c>
      <c r="L147" t="s">
        <v>546</v>
      </c>
      <c r="M147" t="s">
        <v>547</v>
      </c>
      <c r="N147" t="s">
        <v>792</v>
      </c>
      <c r="O147" t="s">
        <v>65</v>
      </c>
      <c r="P147" t="str">
        <f>"INV-00034415 031749           "</f>
        <v xml:space="preserve">INV-00034415 031749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22.11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0.1</v>
      </c>
      <c r="BJ147">
        <v>0.8</v>
      </c>
      <c r="BK147">
        <v>1</v>
      </c>
      <c r="BL147" s="4">
        <v>70.709999999999994</v>
      </c>
      <c r="BM147" s="4">
        <v>10.61</v>
      </c>
      <c r="BN147" s="4">
        <v>81.319999999999993</v>
      </c>
      <c r="BO147" s="4">
        <v>81.319999999999993</v>
      </c>
      <c r="BQ147" t="s">
        <v>793</v>
      </c>
      <c r="BR147" t="s">
        <v>320</v>
      </c>
      <c r="BS147" s="1">
        <v>45757</v>
      </c>
      <c r="BT147" s="2">
        <v>0.41666666666666669</v>
      </c>
      <c r="BU147" t="s">
        <v>239</v>
      </c>
      <c r="BV147" t="s">
        <v>66</v>
      </c>
      <c r="BW147" t="s">
        <v>71</v>
      </c>
      <c r="BX147" t="s">
        <v>794</v>
      </c>
      <c r="BY147">
        <v>3781.23</v>
      </c>
      <c r="BZ147" t="s">
        <v>79</v>
      </c>
      <c r="CC147" t="s">
        <v>547</v>
      </c>
      <c r="CD147">
        <v>9301</v>
      </c>
      <c r="CE147" t="s">
        <v>393</v>
      </c>
      <c r="CF147" s="1">
        <v>45758</v>
      </c>
      <c r="CI147">
        <v>2</v>
      </c>
      <c r="CJ147">
        <v>3</v>
      </c>
      <c r="CK147">
        <v>21</v>
      </c>
      <c r="CL147" t="s">
        <v>66</v>
      </c>
    </row>
    <row r="148" spans="1:90" x14ac:dyDescent="0.3">
      <c r="A148" t="s">
        <v>315</v>
      </c>
      <c r="B148" t="s">
        <v>316</v>
      </c>
      <c r="C148" t="s">
        <v>59</v>
      </c>
      <c r="E148" t="str">
        <f>"GAB2025397"</f>
        <v>GAB2025397</v>
      </c>
      <c r="F148" s="1">
        <v>45754</v>
      </c>
      <c r="G148">
        <v>202601</v>
      </c>
      <c r="H148" t="s">
        <v>77</v>
      </c>
      <c r="I148" t="s">
        <v>78</v>
      </c>
      <c r="J148" t="s">
        <v>317</v>
      </c>
      <c r="K148" t="s">
        <v>62</v>
      </c>
      <c r="L148" t="s">
        <v>95</v>
      </c>
      <c r="M148" t="s">
        <v>96</v>
      </c>
      <c r="N148" t="s">
        <v>795</v>
      </c>
      <c r="O148" t="s">
        <v>65</v>
      </c>
      <c r="P148" t="str">
        <f>"INV-00034416 031746           "</f>
        <v xml:space="preserve">INV-00034416 031746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22.11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0.6</v>
      </c>
      <c r="BJ148">
        <v>1.8</v>
      </c>
      <c r="BK148">
        <v>2</v>
      </c>
      <c r="BL148" s="4">
        <v>70.709999999999994</v>
      </c>
      <c r="BM148" s="4">
        <v>10.61</v>
      </c>
      <c r="BN148" s="4">
        <v>81.319999999999993</v>
      </c>
      <c r="BO148" s="4">
        <v>81.319999999999993</v>
      </c>
      <c r="BQ148" t="s">
        <v>796</v>
      </c>
      <c r="BR148" t="s">
        <v>320</v>
      </c>
      <c r="BS148" s="1">
        <v>45755</v>
      </c>
      <c r="BT148" s="2">
        <v>0.3923611111111111</v>
      </c>
      <c r="BU148" t="s">
        <v>797</v>
      </c>
      <c r="BV148" t="s">
        <v>74</v>
      </c>
      <c r="BY148">
        <v>8753.81</v>
      </c>
      <c r="BZ148" t="s">
        <v>79</v>
      </c>
      <c r="CA148" t="s">
        <v>798</v>
      </c>
      <c r="CC148" t="s">
        <v>96</v>
      </c>
      <c r="CD148">
        <v>2192</v>
      </c>
      <c r="CE148" t="s">
        <v>434</v>
      </c>
      <c r="CF148" s="1">
        <v>45755</v>
      </c>
      <c r="CI148">
        <v>1</v>
      </c>
      <c r="CJ148">
        <v>1</v>
      </c>
      <c r="CK148">
        <v>21</v>
      </c>
      <c r="CL148" t="s">
        <v>66</v>
      </c>
    </row>
    <row r="149" spans="1:90" x14ac:dyDescent="0.3">
      <c r="A149" t="s">
        <v>315</v>
      </c>
      <c r="B149" t="s">
        <v>316</v>
      </c>
      <c r="C149" t="s">
        <v>59</v>
      </c>
      <c r="E149" t="str">
        <f>"GAB2025398"</f>
        <v>GAB2025398</v>
      </c>
      <c r="F149" s="1">
        <v>45754</v>
      </c>
      <c r="G149">
        <v>202601</v>
      </c>
      <c r="H149" t="s">
        <v>77</v>
      </c>
      <c r="I149" t="s">
        <v>78</v>
      </c>
      <c r="J149" t="s">
        <v>317</v>
      </c>
      <c r="K149" t="s">
        <v>62</v>
      </c>
      <c r="L149" t="s">
        <v>108</v>
      </c>
      <c r="M149" t="s">
        <v>109</v>
      </c>
      <c r="N149" t="s">
        <v>799</v>
      </c>
      <c r="O149" t="s">
        <v>65</v>
      </c>
      <c r="P149" t="str">
        <f>"INV-00034417 031775           "</f>
        <v xml:space="preserve">INV-00034417 031775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22.11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0.8</v>
      </c>
      <c r="BK149">
        <v>1</v>
      </c>
      <c r="BL149" s="4">
        <v>70.709999999999994</v>
      </c>
      <c r="BM149" s="4">
        <v>10.61</v>
      </c>
      <c r="BN149" s="4">
        <v>81.319999999999993</v>
      </c>
      <c r="BO149" s="4">
        <v>81.319999999999993</v>
      </c>
      <c r="BQ149" t="s">
        <v>800</v>
      </c>
      <c r="BR149" t="s">
        <v>320</v>
      </c>
      <c r="BS149" s="1">
        <v>45755</v>
      </c>
      <c r="BT149" s="2">
        <v>0.42083333333333334</v>
      </c>
      <c r="BU149" t="s">
        <v>801</v>
      </c>
      <c r="BV149" t="s">
        <v>74</v>
      </c>
      <c r="BY149">
        <v>4081.23</v>
      </c>
      <c r="BZ149" t="s">
        <v>79</v>
      </c>
      <c r="CA149" t="s">
        <v>802</v>
      </c>
      <c r="CC149" t="s">
        <v>109</v>
      </c>
      <c r="CD149">
        <v>2158</v>
      </c>
      <c r="CE149" t="s">
        <v>343</v>
      </c>
      <c r="CF149" s="1">
        <v>45755</v>
      </c>
      <c r="CI149">
        <v>1</v>
      </c>
      <c r="CJ149">
        <v>1</v>
      </c>
      <c r="CK149">
        <v>21</v>
      </c>
      <c r="CL149" t="s">
        <v>66</v>
      </c>
    </row>
    <row r="150" spans="1:90" x14ac:dyDescent="0.3">
      <c r="A150" t="s">
        <v>315</v>
      </c>
      <c r="B150" t="s">
        <v>316</v>
      </c>
      <c r="C150" t="s">
        <v>59</v>
      </c>
      <c r="E150" t="str">
        <f>"GAB2025399"</f>
        <v>GAB2025399</v>
      </c>
      <c r="F150" s="1">
        <v>45754</v>
      </c>
      <c r="G150">
        <v>202601</v>
      </c>
      <c r="H150" t="s">
        <v>77</v>
      </c>
      <c r="I150" t="s">
        <v>78</v>
      </c>
      <c r="J150" t="s">
        <v>317</v>
      </c>
      <c r="K150" t="s">
        <v>62</v>
      </c>
      <c r="L150" t="s">
        <v>108</v>
      </c>
      <c r="M150" t="s">
        <v>109</v>
      </c>
      <c r="N150" t="s">
        <v>803</v>
      </c>
      <c r="O150" t="s">
        <v>65</v>
      </c>
      <c r="P150" t="str">
        <f>"INV-00116799 CT093762         "</f>
        <v xml:space="preserve">INV-00116799 CT093762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22.11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0.1</v>
      </c>
      <c r="BJ150">
        <v>0.8</v>
      </c>
      <c r="BK150">
        <v>1</v>
      </c>
      <c r="BL150" s="4">
        <v>70.709999999999994</v>
      </c>
      <c r="BM150" s="4">
        <v>10.61</v>
      </c>
      <c r="BN150" s="4">
        <v>81.319999999999993</v>
      </c>
      <c r="BO150" s="4">
        <v>81.319999999999993</v>
      </c>
      <c r="BQ150" t="s">
        <v>804</v>
      </c>
      <c r="BR150" t="s">
        <v>320</v>
      </c>
      <c r="BS150" s="1">
        <v>45757</v>
      </c>
      <c r="BT150" s="2">
        <v>0.52361111111111114</v>
      </c>
      <c r="BU150" t="s">
        <v>805</v>
      </c>
      <c r="BV150" t="s">
        <v>66</v>
      </c>
      <c r="BW150" t="s">
        <v>806</v>
      </c>
      <c r="BX150" t="s">
        <v>217</v>
      </c>
      <c r="BY150">
        <v>3876.29</v>
      </c>
      <c r="BZ150" t="s">
        <v>79</v>
      </c>
      <c r="CA150" t="s">
        <v>607</v>
      </c>
      <c r="CC150" t="s">
        <v>109</v>
      </c>
      <c r="CD150">
        <v>2194</v>
      </c>
      <c r="CE150" t="s">
        <v>343</v>
      </c>
      <c r="CI150">
        <v>1</v>
      </c>
      <c r="CJ150">
        <v>3</v>
      </c>
      <c r="CK150">
        <v>21</v>
      </c>
      <c r="CL150" t="s">
        <v>66</v>
      </c>
    </row>
    <row r="151" spans="1:90" x14ac:dyDescent="0.3">
      <c r="A151" t="s">
        <v>315</v>
      </c>
      <c r="B151" t="s">
        <v>316</v>
      </c>
      <c r="C151" t="s">
        <v>59</v>
      </c>
      <c r="E151" t="str">
        <f>"GAB2025400"</f>
        <v>GAB2025400</v>
      </c>
      <c r="F151" s="1">
        <v>45754</v>
      </c>
      <c r="G151">
        <v>202601</v>
      </c>
      <c r="H151" t="s">
        <v>77</v>
      </c>
      <c r="I151" t="s">
        <v>78</v>
      </c>
      <c r="J151" t="s">
        <v>317</v>
      </c>
      <c r="K151" t="s">
        <v>62</v>
      </c>
      <c r="L151" t="s">
        <v>95</v>
      </c>
      <c r="M151" t="s">
        <v>96</v>
      </c>
      <c r="N151" t="s">
        <v>807</v>
      </c>
      <c r="O151" t="s">
        <v>65</v>
      </c>
      <c r="P151" t="str">
        <f>"INV-00116786 CT093736         "</f>
        <v xml:space="preserve">INV-00116786 CT093736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33.159999999999997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0.3</v>
      </c>
      <c r="BJ151">
        <v>2.9</v>
      </c>
      <c r="BK151">
        <v>3</v>
      </c>
      <c r="BL151" s="4">
        <v>106.04</v>
      </c>
      <c r="BM151" s="4">
        <v>15.91</v>
      </c>
      <c r="BN151" s="4">
        <v>121.95</v>
      </c>
      <c r="BO151" s="4">
        <v>121.95</v>
      </c>
      <c r="BQ151" t="s">
        <v>808</v>
      </c>
      <c r="BR151" t="s">
        <v>320</v>
      </c>
      <c r="BS151" s="1">
        <v>45755</v>
      </c>
      <c r="BT151" s="2">
        <v>0.45902777777777776</v>
      </c>
      <c r="BU151" t="s">
        <v>809</v>
      </c>
      <c r="BV151" t="s">
        <v>66</v>
      </c>
      <c r="BW151" t="s">
        <v>71</v>
      </c>
      <c r="BX151" t="s">
        <v>157</v>
      </c>
      <c r="BY151">
        <v>14506.56</v>
      </c>
      <c r="BZ151" t="s">
        <v>79</v>
      </c>
      <c r="CA151" t="s">
        <v>205</v>
      </c>
      <c r="CC151" t="s">
        <v>96</v>
      </c>
      <c r="CD151">
        <v>2021</v>
      </c>
      <c r="CE151" t="s">
        <v>382</v>
      </c>
      <c r="CF151" s="1">
        <v>45756</v>
      </c>
      <c r="CI151">
        <v>1</v>
      </c>
      <c r="CJ151">
        <v>1</v>
      </c>
      <c r="CK151">
        <v>21</v>
      </c>
      <c r="CL151" t="s">
        <v>66</v>
      </c>
    </row>
    <row r="152" spans="1:90" x14ac:dyDescent="0.3">
      <c r="A152" t="s">
        <v>315</v>
      </c>
      <c r="B152" t="s">
        <v>316</v>
      </c>
      <c r="C152" t="s">
        <v>59</v>
      </c>
      <c r="E152" t="str">
        <f>"GAB2025401"</f>
        <v>GAB2025401</v>
      </c>
      <c r="F152" s="1">
        <v>45754</v>
      </c>
      <c r="G152">
        <v>202601</v>
      </c>
      <c r="H152" t="s">
        <v>77</v>
      </c>
      <c r="I152" t="s">
        <v>78</v>
      </c>
      <c r="J152" t="s">
        <v>317</v>
      </c>
      <c r="K152" t="s">
        <v>62</v>
      </c>
      <c r="L152" t="s">
        <v>160</v>
      </c>
      <c r="M152" t="s">
        <v>161</v>
      </c>
      <c r="N152" t="s">
        <v>566</v>
      </c>
      <c r="O152" t="s">
        <v>65</v>
      </c>
      <c r="P152" t="str">
        <f>"INV-00116787 CT093752         "</f>
        <v xml:space="preserve">INV-00116787 CT093752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42.84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0.2</v>
      </c>
      <c r="BJ152">
        <v>0.8</v>
      </c>
      <c r="BK152">
        <v>1</v>
      </c>
      <c r="BL152" s="4">
        <v>137</v>
      </c>
      <c r="BM152" s="4">
        <v>20.55</v>
      </c>
      <c r="BN152" s="4">
        <v>157.55000000000001</v>
      </c>
      <c r="BO152" s="4">
        <v>157.55000000000001</v>
      </c>
      <c r="BQ152" t="s">
        <v>567</v>
      </c>
      <c r="BR152" t="s">
        <v>320</v>
      </c>
      <c r="BS152" s="1">
        <v>45756</v>
      </c>
      <c r="BT152" s="2">
        <v>0.36388888888888887</v>
      </c>
      <c r="BU152" t="s">
        <v>259</v>
      </c>
      <c r="BV152" t="s">
        <v>66</v>
      </c>
      <c r="BY152">
        <v>3761.68</v>
      </c>
      <c r="BZ152" t="s">
        <v>79</v>
      </c>
      <c r="CA152" t="s">
        <v>569</v>
      </c>
      <c r="CC152" t="s">
        <v>161</v>
      </c>
      <c r="CD152">
        <v>1900</v>
      </c>
      <c r="CE152" t="s">
        <v>343</v>
      </c>
      <c r="CF152" s="1">
        <v>45756</v>
      </c>
      <c r="CI152">
        <v>1</v>
      </c>
      <c r="CJ152">
        <v>2</v>
      </c>
      <c r="CK152">
        <v>23</v>
      </c>
      <c r="CL152" t="s">
        <v>66</v>
      </c>
    </row>
    <row r="153" spans="1:90" x14ac:dyDescent="0.3">
      <c r="A153" t="s">
        <v>315</v>
      </c>
      <c r="B153" t="s">
        <v>316</v>
      </c>
      <c r="C153" t="s">
        <v>59</v>
      </c>
      <c r="E153" t="str">
        <f>"GAB2025402"</f>
        <v>GAB2025402</v>
      </c>
      <c r="F153" s="1">
        <v>45754</v>
      </c>
      <c r="G153">
        <v>202601</v>
      </c>
      <c r="H153" t="s">
        <v>77</v>
      </c>
      <c r="I153" t="s">
        <v>78</v>
      </c>
      <c r="J153" t="s">
        <v>317</v>
      </c>
      <c r="K153" t="s">
        <v>62</v>
      </c>
      <c r="L153" t="s">
        <v>77</v>
      </c>
      <c r="M153" t="s">
        <v>78</v>
      </c>
      <c r="N153" t="s">
        <v>810</v>
      </c>
      <c r="O153" t="s">
        <v>65</v>
      </c>
      <c r="P153" t="str">
        <f>"INV-00116788 CT093747         "</f>
        <v xml:space="preserve">INV-00116788 CT093747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17.27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0.3</v>
      </c>
      <c r="BJ153">
        <v>2.6</v>
      </c>
      <c r="BK153">
        <v>3</v>
      </c>
      <c r="BL153" s="4">
        <v>55.23</v>
      </c>
      <c r="BM153" s="4">
        <v>8.2799999999999994</v>
      </c>
      <c r="BN153" s="4">
        <v>63.51</v>
      </c>
      <c r="BO153" s="4">
        <v>63.51</v>
      </c>
      <c r="BQ153" t="s">
        <v>811</v>
      </c>
      <c r="BR153" t="s">
        <v>320</v>
      </c>
      <c r="BS153" s="1">
        <v>45755</v>
      </c>
      <c r="BT153" s="2">
        <v>0.51249999999999996</v>
      </c>
      <c r="BU153" t="s">
        <v>812</v>
      </c>
      <c r="BV153" t="s">
        <v>66</v>
      </c>
      <c r="BW153" t="s">
        <v>177</v>
      </c>
      <c r="BX153" t="s">
        <v>231</v>
      </c>
      <c r="BY153">
        <v>12822.6</v>
      </c>
      <c r="BZ153" t="s">
        <v>79</v>
      </c>
      <c r="CA153" t="s">
        <v>813</v>
      </c>
      <c r="CC153" t="s">
        <v>78</v>
      </c>
      <c r="CD153">
        <v>7708</v>
      </c>
      <c r="CE153" t="s">
        <v>382</v>
      </c>
      <c r="CF153" s="1">
        <v>45756</v>
      </c>
      <c r="CI153">
        <v>1</v>
      </c>
      <c r="CJ153">
        <v>1</v>
      </c>
      <c r="CK153">
        <v>22</v>
      </c>
      <c r="CL153" t="s">
        <v>66</v>
      </c>
    </row>
    <row r="154" spans="1:90" x14ac:dyDescent="0.3">
      <c r="A154" t="s">
        <v>315</v>
      </c>
      <c r="B154" t="s">
        <v>316</v>
      </c>
      <c r="C154" t="s">
        <v>59</v>
      </c>
      <c r="E154" t="str">
        <f>"GAB2025403"</f>
        <v>GAB2025403</v>
      </c>
      <c r="F154" s="1">
        <v>45754</v>
      </c>
      <c r="G154">
        <v>202601</v>
      </c>
      <c r="H154" t="s">
        <v>77</v>
      </c>
      <c r="I154" t="s">
        <v>78</v>
      </c>
      <c r="J154" t="s">
        <v>317</v>
      </c>
      <c r="K154" t="s">
        <v>62</v>
      </c>
      <c r="L154" t="s">
        <v>83</v>
      </c>
      <c r="M154" t="s">
        <v>84</v>
      </c>
      <c r="N154" t="s">
        <v>562</v>
      </c>
      <c r="O154" t="s">
        <v>65</v>
      </c>
      <c r="P154" t="str">
        <f>"INV-00116789 CT093749         "</f>
        <v xml:space="preserve">INV-00116789 CT093749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22.11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0.1</v>
      </c>
      <c r="BJ154">
        <v>0.8</v>
      </c>
      <c r="BK154">
        <v>1</v>
      </c>
      <c r="BL154" s="4">
        <v>70.709999999999994</v>
      </c>
      <c r="BM154" s="4">
        <v>10.61</v>
      </c>
      <c r="BN154" s="4">
        <v>81.319999999999993</v>
      </c>
      <c r="BO154" s="4">
        <v>81.319999999999993</v>
      </c>
      <c r="BQ154" t="s">
        <v>440</v>
      </c>
      <c r="BR154" t="s">
        <v>320</v>
      </c>
      <c r="BS154" s="1">
        <v>45756</v>
      </c>
      <c r="BT154" s="2">
        <v>0.41666666666666669</v>
      </c>
      <c r="BU154" t="s">
        <v>441</v>
      </c>
      <c r="BV154" t="s">
        <v>66</v>
      </c>
      <c r="BY154">
        <v>4001.4</v>
      </c>
      <c r="BZ154" t="s">
        <v>79</v>
      </c>
      <c r="CA154" t="s">
        <v>176</v>
      </c>
      <c r="CC154" t="s">
        <v>84</v>
      </c>
      <c r="CD154">
        <v>3201</v>
      </c>
      <c r="CE154" t="s">
        <v>393</v>
      </c>
      <c r="CF154" s="1">
        <v>45757</v>
      </c>
      <c r="CI154">
        <v>1</v>
      </c>
      <c r="CJ154">
        <v>2</v>
      </c>
      <c r="CK154">
        <v>21</v>
      </c>
      <c r="CL154" t="s">
        <v>66</v>
      </c>
    </row>
    <row r="155" spans="1:90" x14ac:dyDescent="0.3">
      <c r="A155" t="s">
        <v>315</v>
      </c>
      <c r="B155" t="s">
        <v>316</v>
      </c>
      <c r="C155" t="s">
        <v>59</v>
      </c>
      <c r="E155" t="str">
        <f>"GAB2025404"</f>
        <v>GAB2025404</v>
      </c>
      <c r="F155" s="1">
        <v>45754</v>
      </c>
      <c r="G155">
        <v>202601</v>
      </c>
      <c r="H155" t="s">
        <v>77</v>
      </c>
      <c r="I155" t="s">
        <v>78</v>
      </c>
      <c r="J155" t="s">
        <v>317</v>
      </c>
      <c r="K155" t="s">
        <v>62</v>
      </c>
      <c r="L155" t="s">
        <v>86</v>
      </c>
      <c r="M155" t="s">
        <v>87</v>
      </c>
      <c r="N155" t="s">
        <v>814</v>
      </c>
      <c r="O155" t="s">
        <v>65</v>
      </c>
      <c r="P155" t="str">
        <f>"INV-00116790 CT093750         "</f>
        <v xml:space="preserve">INV-00116790 CT093750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17.27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0.4</v>
      </c>
      <c r="BJ155">
        <v>2.2999999999999998</v>
      </c>
      <c r="BK155">
        <v>3</v>
      </c>
      <c r="BL155" s="4">
        <v>55.23</v>
      </c>
      <c r="BM155" s="4">
        <v>8.2799999999999994</v>
      </c>
      <c r="BN155" s="4">
        <v>63.51</v>
      </c>
      <c r="BO155" s="4">
        <v>63.51</v>
      </c>
      <c r="BQ155" t="s">
        <v>262</v>
      </c>
      <c r="BR155" t="s">
        <v>320</v>
      </c>
      <c r="BS155" s="1">
        <v>45755</v>
      </c>
      <c r="BT155" s="2">
        <v>0.39374999999999999</v>
      </c>
      <c r="BU155" t="s">
        <v>815</v>
      </c>
      <c r="BV155" t="s">
        <v>74</v>
      </c>
      <c r="BY155">
        <v>11749.31</v>
      </c>
      <c r="BZ155" t="s">
        <v>79</v>
      </c>
      <c r="CA155" t="s">
        <v>141</v>
      </c>
      <c r="CC155" t="s">
        <v>87</v>
      </c>
      <c r="CD155">
        <v>7600</v>
      </c>
      <c r="CE155" t="s">
        <v>382</v>
      </c>
      <c r="CF155" s="1">
        <v>45756</v>
      </c>
      <c r="CI155">
        <v>1</v>
      </c>
      <c r="CJ155">
        <v>1</v>
      </c>
      <c r="CK155">
        <v>22</v>
      </c>
      <c r="CL155" t="s">
        <v>66</v>
      </c>
    </row>
    <row r="156" spans="1:90" x14ac:dyDescent="0.3">
      <c r="A156" t="s">
        <v>315</v>
      </c>
      <c r="B156" t="s">
        <v>316</v>
      </c>
      <c r="C156" t="s">
        <v>59</v>
      </c>
      <c r="E156" t="str">
        <f>"GAB2025405"</f>
        <v>GAB2025405</v>
      </c>
      <c r="F156" s="1">
        <v>45754</v>
      </c>
      <c r="G156">
        <v>202601</v>
      </c>
      <c r="H156" t="s">
        <v>77</v>
      </c>
      <c r="I156" t="s">
        <v>78</v>
      </c>
      <c r="J156" t="s">
        <v>317</v>
      </c>
      <c r="K156" t="s">
        <v>62</v>
      </c>
      <c r="L156" t="s">
        <v>413</v>
      </c>
      <c r="M156" t="s">
        <v>414</v>
      </c>
      <c r="N156" t="s">
        <v>477</v>
      </c>
      <c r="O156" t="s">
        <v>65</v>
      </c>
      <c r="P156" t="str">
        <f>"INV-00116791 CT093751         "</f>
        <v xml:space="preserve">INV-00116791 CT093751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22.11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0.1</v>
      </c>
      <c r="BJ156">
        <v>0.7</v>
      </c>
      <c r="BK156">
        <v>1</v>
      </c>
      <c r="BL156" s="4">
        <v>70.709999999999994</v>
      </c>
      <c r="BM156" s="4">
        <v>10.61</v>
      </c>
      <c r="BN156" s="4">
        <v>81.319999999999993</v>
      </c>
      <c r="BO156" s="4">
        <v>81.319999999999993</v>
      </c>
      <c r="BQ156" t="s">
        <v>478</v>
      </c>
      <c r="BR156" t="s">
        <v>320</v>
      </c>
      <c r="BS156" s="1">
        <v>45756</v>
      </c>
      <c r="BT156" s="2">
        <v>0.4236111111111111</v>
      </c>
      <c r="BU156" t="s">
        <v>479</v>
      </c>
      <c r="BV156" t="s">
        <v>74</v>
      </c>
      <c r="BY156">
        <v>3547.28</v>
      </c>
      <c r="BZ156" t="s">
        <v>79</v>
      </c>
      <c r="CC156" t="s">
        <v>414</v>
      </c>
      <c r="CD156">
        <v>8301</v>
      </c>
      <c r="CE156" t="s">
        <v>393</v>
      </c>
      <c r="CF156" s="1">
        <v>45757</v>
      </c>
      <c r="CI156">
        <v>2</v>
      </c>
      <c r="CJ156">
        <v>2</v>
      </c>
      <c r="CK156">
        <v>21</v>
      </c>
      <c r="CL156" t="s">
        <v>66</v>
      </c>
    </row>
    <row r="157" spans="1:90" x14ac:dyDescent="0.3">
      <c r="A157" t="s">
        <v>315</v>
      </c>
      <c r="B157" t="s">
        <v>316</v>
      </c>
      <c r="C157" t="s">
        <v>59</v>
      </c>
      <c r="E157" t="str">
        <f>"GAB2025406"</f>
        <v>GAB2025406</v>
      </c>
      <c r="F157" s="1">
        <v>45754</v>
      </c>
      <c r="G157">
        <v>202601</v>
      </c>
      <c r="H157" t="s">
        <v>77</v>
      </c>
      <c r="I157" t="s">
        <v>78</v>
      </c>
      <c r="J157" t="s">
        <v>317</v>
      </c>
      <c r="K157" t="s">
        <v>62</v>
      </c>
      <c r="L157" t="s">
        <v>91</v>
      </c>
      <c r="M157" t="s">
        <v>92</v>
      </c>
      <c r="N157" t="s">
        <v>816</v>
      </c>
      <c r="O157" t="s">
        <v>65</v>
      </c>
      <c r="P157" t="str">
        <f>"INV-00116792 CT093756         "</f>
        <v xml:space="preserve">INV-00116792 CT093756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22.11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0.1</v>
      </c>
      <c r="BJ157">
        <v>0.8</v>
      </c>
      <c r="BK157">
        <v>1</v>
      </c>
      <c r="BL157" s="4">
        <v>70.709999999999994</v>
      </c>
      <c r="BM157" s="4">
        <v>10.61</v>
      </c>
      <c r="BN157" s="4">
        <v>81.319999999999993</v>
      </c>
      <c r="BO157" s="4">
        <v>81.319999999999993</v>
      </c>
      <c r="BQ157" t="s">
        <v>817</v>
      </c>
      <c r="BR157" t="s">
        <v>320</v>
      </c>
      <c r="BS157" s="1">
        <v>45755</v>
      </c>
      <c r="BT157" s="2">
        <v>0.41041666666666665</v>
      </c>
      <c r="BU157" t="s">
        <v>818</v>
      </c>
      <c r="BV157" t="s">
        <v>74</v>
      </c>
      <c r="BY157">
        <v>3914.01</v>
      </c>
      <c r="BZ157" t="s">
        <v>79</v>
      </c>
      <c r="CA157" t="s">
        <v>819</v>
      </c>
      <c r="CC157" t="s">
        <v>92</v>
      </c>
      <c r="CD157" s="3" t="s">
        <v>279</v>
      </c>
      <c r="CE157" t="s">
        <v>343</v>
      </c>
      <c r="CF157" s="1">
        <v>45755</v>
      </c>
      <c r="CI157">
        <v>1</v>
      </c>
      <c r="CJ157">
        <v>1</v>
      </c>
      <c r="CK157">
        <v>21</v>
      </c>
      <c r="CL157" t="s">
        <v>66</v>
      </c>
    </row>
    <row r="158" spans="1:90" x14ac:dyDescent="0.3">
      <c r="A158" t="s">
        <v>315</v>
      </c>
      <c r="B158" t="s">
        <v>316</v>
      </c>
      <c r="C158" t="s">
        <v>59</v>
      </c>
      <c r="E158" t="str">
        <f>"GAB2025407"</f>
        <v>GAB2025407</v>
      </c>
      <c r="F158" s="1">
        <v>45754</v>
      </c>
      <c r="G158">
        <v>202601</v>
      </c>
      <c r="H158" t="s">
        <v>77</v>
      </c>
      <c r="I158" t="s">
        <v>78</v>
      </c>
      <c r="J158" t="s">
        <v>317</v>
      </c>
      <c r="K158" t="s">
        <v>62</v>
      </c>
      <c r="L158" t="s">
        <v>169</v>
      </c>
      <c r="M158" t="s">
        <v>170</v>
      </c>
      <c r="N158" t="s">
        <v>820</v>
      </c>
      <c r="O158" t="s">
        <v>65</v>
      </c>
      <c r="P158" t="str">
        <f>"INV-00116793 CT093755         "</f>
        <v xml:space="preserve">INV-00116793 CT093755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27.64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0.3</v>
      </c>
      <c r="BJ158">
        <v>2.4</v>
      </c>
      <c r="BK158">
        <v>2.5</v>
      </c>
      <c r="BL158" s="4">
        <v>88.38</v>
      </c>
      <c r="BM158" s="4">
        <v>13.26</v>
      </c>
      <c r="BN158" s="4">
        <v>101.64</v>
      </c>
      <c r="BO158" s="4">
        <v>101.64</v>
      </c>
      <c r="BQ158" t="s">
        <v>821</v>
      </c>
      <c r="BR158" t="s">
        <v>320</v>
      </c>
      <c r="BS158" s="1">
        <v>45755</v>
      </c>
      <c r="BT158" s="2">
        <v>0.43055555555555558</v>
      </c>
      <c r="BU158" t="s">
        <v>822</v>
      </c>
      <c r="BV158" t="s">
        <v>74</v>
      </c>
      <c r="BY158">
        <v>11861.44</v>
      </c>
      <c r="BZ158" t="s">
        <v>79</v>
      </c>
      <c r="CA158" t="s">
        <v>823</v>
      </c>
      <c r="CC158" t="s">
        <v>170</v>
      </c>
      <c r="CD158">
        <v>1684</v>
      </c>
      <c r="CE158" t="s">
        <v>578</v>
      </c>
      <c r="CF158" s="1">
        <v>45755</v>
      </c>
      <c r="CI158">
        <v>1</v>
      </c>
      <c r="CJ158">
        <v>1</v>
      </c>
      <c r="CK158">
        <v>21</v>
      </c>
      <c r="CL158" t="s">
        <v>66</v>
      </c>
    </row>
    <row r="159" spans="1:90" x14ac:dyDescent="0.3">
      <c r="A159" t="s">
        <v>315</v>
      </c>
      <c r="B159" t="s">
        <v>316</v>
      </c>
      <c r="C159" t="s">
        <v>59</v>
      </c>
      <c r="E159" t="str">
        <f>"GAB2025408"</f>
        <v>GAB2025408</v>
      </c>
      <c r="F159" s="1">
        <v>45754</v>
      </c>
      <c r="G159">
        <v>202601</v>
      </c>
      <c r="H159" t="s">
        <v>77</v>
      </c>
      <c r="I159" t="s">
        <v>78</v>
      </c>
      <c r="J159" t="s">
        <v>317</v>
      </c>
      <c r="K159" t="s">
        <v>62</v>
      </c>
      <c r="L159" t="s">
        <v>89</v>
      </c>
      <c r="M159" t="s">
        <v>90</v>
      </c>
      <c r="N159" t="s">
        <v>824</v>
      </c>
      <c r="O159" t="s">
        <v>65</v>
      </c>
      <c r="P159" t="str">
        <f>"INV-00116794 CT093757         "</f>
        <v xml:space="preserve">INV-00116794 CT093757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22.11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0.6</v>
      </c>
      <c r="BJ159">
        <v>1.7</v>
      </c>
      <c r="BK159">
        <v>2</v>
      </c>
      <c r="BL159" s="4">
        <v>70.709999999999994</v>
      </c>
      <c r="BM159" s="4">
        <v>10.61</v>
      </c>
      <c r="BN159" s="4">
        <v>81.319999999999993</v>
      </c>
      <c r="BO159" s="4">
        <v>81.319999999999993</v>
      </c>
      <c r="BR159" t="s">
        <v>320</v>
      </c>
      <c r="BS159" s="1">
        <v>45756</v>
      </c>
      <c r="BT159" s="2">
        <v>0.44583333333333336</v>
      </c>
      <c r="BU159" t="s">
        <v>825</v>
      </c>
      <c r="BV159" t="s">
        <v>66</v>
      </c>
      <c r="BW159" t="s">
        <v>112</v>
      </c>
      <c r="BX159" t="s">
        <v>240</v>
      </c>
      <c r="BY159">
        <v>8471.43</v>
      </c>
      <c r="BZ159" t="s">
        <v>79</v>
      </c>
      <c r="CA159" t="s">
        <v>627</v>
      </c>
      <c r="CC159" t="s">
        <v>90</v>
      </c>
      <c r="CD159">
        <v>4001</v>
      </c>
      <c r="CE159" t="s">
        <v>434</v>
      </c>
      <c r="CF159" s="1">
        <v>45757</v>
      </c>
      <c r="CI159">
        <v>2</v>
      </c>
      <c r="CJ159">
        <v>2</v>
      </c>
      <c r="CK159">
        <v>21</v>
      </c>
      <c r="CL159" t="s">
        <v>66</v>
      </c>
    </row>
    <row r="160" spans="1:90" x14ac:dyDescent="0.3">
      <c r="A160" t="s">
        <v>315</v>
      </c>
      <c r="B160" t="s">
        <v>316</v>
      </c>
      <c r="C160" t="s">
        <v>59</v>
      </c>
      <c r="E160" t="str">
        <f>"GAB2025411"</f>
        <v>GAB2025411</v>
      </c>
      <c r="F160" s="1">
        <v>45754</v>
      </c>
      <c r="G160">
        <v>202601</v>
      </c>
      <c r="H160" t="s">
        <v>77</v>
      </c>
      <c r="I160" t="s">
        <v>78</v>
      </c>
      <c r="J160" t="s">
        <v>317</v>
      </c>
      <c r="K160" t="s">
        <v>62</v>
      </c>
      <c r="L160" t="s">
        <v>406</v>
      </c>
      <c r="M160" t="s">
        <v>407</v>
      </c>
      <c r="N160" t="s">
        <v>408</v>
      </c>
      <c r="O160" t="s">
        <v>65</v>
      </c>
      <c r="P160" t="str">
        <f>"INV-00116770 CT093734         "</f>
        <v xml:space="preserve">INV-00116770 CT093734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42.84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0.2</v>
      </c>
      <c r="BJ160">
        <v>0.8</v>
      </c>
      <c r="BK160">
        <v>1</v>
      </c>
      <c r="BL160" s="4">
        <v>137</v>
      </c>
      <c r="BM160" s="4">
        <v>20.55</v>
      </c>
      <c r="BN160" s="4">
        <v>157.55000000000001</v>
      </c>
      <c r="BO160" s="4">
        <v>157.55000000000001</v>
      </c>
      <c r="BQ160" t="s">
        <v>409</v>
      </c>
      <c r="BR160" t="s">
        <v>320</v>
      </c>
      <c r="BS160" s="1">
        <v>45755</v>
      </c>
      <c r="BT160" s="2">
        <v>0.43055555555555558</v>
      </c>
      <c r="BU160" t="s">
        <v>826</v>
      </c>
      <c r="BV160" t="s">
        <v>74</v>
      </c>
      <c r="BY160">
        <v>4123.78</v>
      </c>
      <c r="BZ160" t="s">
        <v>79</v>
      </c>
      <c r="CA160" t="s">
        <v>222</v>
      </c>
      <c r="CC160" t="s">
        <v>407</v>
      </c>
      <c r="CD160">
        <v>2515</v>
      </c>
      <c r="CE160" t="s">
        <v>393</v>
      </c>
      <c r="CF160" s="1">
        <v>45755</v>
      </c>
      <c r="CI160">
        <v>1</v>
      </c>
      <c r="CJ160">
        <v>1</v>
      </c>
      <c r="CK160">
        <v>23</v>
      </c>
      <c r="CL160" t="s">
        <v>66</v>
      </c>
    </row>
    <row r="161" spans="1:90" x14ac:dyDescent="0.3">
      <c r="A161" t="s">
        <v>315</v>
      </c>
      <c r="B161" t="s">
        <v>316</v>
      </c>
      <c r="C161" t="s">
        <v>59</v>
      </c>
      <c r="E161" t="str">
        <f>"GAB2025412"</f>
        <v>GAB2025412</v>
      </c>
      <c r="F161" s="1">
        <v>45754</v>
      </c>
      <c r="G161">
        <v>202601</v>
      </c>
      <c r="H161" t="s">
        <v>77</v>
      </c>
      <c r="I161" t="s">
        <v>78</v>
      </c>
      <c r="J161" t="s">
        <v>317</v>
      </c>
      <c r="K161" t="s">
        <v>62</v>
      </c>
      <c r="L161" t="s">
        <v>142</v>
      </c>
      <c r="M161" t="s">
        <v>143</v>
      </c>
      <c r="N161" t="s">
        <v>450</v>
      </c>
      <c r="O161" t="s">
        <v>65</v>
      </c>
      <c r="P161" t="str">
        <f>"INV-00116772 CT093733         "</f>
        <v xml:space="preserve">INV-00116772 CT093733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22.11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0.1</v>
      </c>
      <c r="BJ161">
        <v>0.8</v>
      </c>
      <c r="BK161">
        <v>1</v>
      </c>
      <c r="BL161" s="4">
        <v>70.709999999999994</v>
      </c>
      <c r="BM161" s="4">
        <v>10.61</v>
      </c>
      <c r="BN161" s="4">
        <v>81.319999999999993</v>
      </c>
      <c r="BO161" s="4">
        <v>81.319999999999993</v>
      </c>
      <c r="BQ161" t="s">
        <v>827</v>
      </c>
      <c r="BR161" t="s">
        <v>320</v>
      </c>
      <c r="BS161" s="1">
        <v>45755</v>
      </c>
      <c r="BT161" s="2">
        <v>0.5625</v>
      </c>
      <c r="BU161" t="s">
        <v>828</v>
      </c>
      <c r="BV161" t="s">
        <v>66</v>
      </c>
      <c r="BW161" t="s">
        <v>71</v>
      </c>
      <c r="BX161" t="s">
        <v>99</v>
      </c>
      <c r="BY161">
        <v>3956.94</v>
      </c>
      <c r="BZ161" t="s">
        <v>79</v>
      </c>
      <c r="CA161" t="s">
        <v>829</v>
      </c>
      <c r="CC161" t="s">
        <v>143</v>
      </c>
      <c r="CD161" s="3" t="s">
        <v>144</v>
      </c>
      <c r="CE161" t="s">
        <v>393</v>
      </c>
      <c r="CI161">
        <v>1</v>
      </c>
      <c r="CJ161">
        <v>1</v>
      </c>
      <c r="CK161">
        <v>21</v>
      </c>
      <c r="CL161" t="s">
        <v>66</v>
      </c>
    </row>
    <row r="162" spans="1:90" x14ac:dyDescent="0.3">
      <c r="A162" t="s">
        <v>315</v>
      </c>
      <c r="B162" t="s">
        <v>316</v>
      </c>
      <c r="C162" t="s">
        <v>59</v>
      </c>
      <c r="E162" t="str">
        <f>"GAB2025413"</f>
        <v>GAB2025413</v>
      </c>
      <c r="F162" s="1">
        <v>45754</v>
      </c>
      <c r="G162">
        <v>202601</v>
      </c>
      <c r="H162" t="s">
        <v>77</v>
      </c>
      <c r="I162" t="s">
        <v>78</v>
      </c>
      <c r="J162" t="s">
        <v>317</v>
      </c>
      <c r="K162" t="s">
        <v>62</v>
      </c>
      <c r="L162" t="s">
        <v>95</v>
      </c>
      <c r="M162" t="s">
        <v>96</v>
      </c>
      <c r="N162" t="s">
        <v>830</v>
      </c>
      <c r="O162" t="s">
        <v>65</v>
      </c>
      <c r="P162" t="str">
        <f>"INV-00116773 CT093739         "</f>
        <v xml:space="preserve">INV-00116773 CT093739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22.11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16.739999999999998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0.2</v>
      </c>
      <c r="BJ162">
        <v>0.8</v>
      </c>
      <c r="BK162">
        <v>1</v>
      </c>
      <c r="BL162" s="4">
        <v>87.45</v>
      </c>
      <c r="BM162" s="4">
        <v>13.12</v>
      </c>
      <c r="BN162" s="4">
        <v>100.57</v>
      </c>
      <c r="BO162" s="4">
        <v>100.57</v>
      </c>
      <c r="BQ162" t="s">
        <v>831</v>
      </c>
      <c r="BR162" t="s">
        <v>320</v>
      </c>
      <c r="BS162" s="1">
        <v>45756</v>
      </c>
      <c r="BT162" s="2">
        <v>0.53263888888888888</v>
      </c>
      <c r="BU162" t="s">
        <v>832</v>
      </c>
      <c r="BV162" t="s">
        <v>66</v>
      </c>
      <c r="BY162">
        <v>4105.43</v>
      </c>
      <c r="BZ162" t="s">
        <v>97</v>
      </c>
      <c r="CA162" t="s">
        <v>833</v>
      </c>
      <c r="CC162" t="s">
        <v>96</v>
      </c>
      <c r="CD162">
        <v>1863</v>
      </c>
      <c r="CE162" t="s">
        <v>343</v>
      </c>
      <c r="CF162" s="1">
        <v>45757</v>
      </c>
      <c r="CI162">
        <v>0</v>
      </c>
      <c r="CJ162">
        <v>0</v>
      </c>
      <c r="CK162">
        <v>21</v>
      </c>
      <c r="CL162" t="s">
        <v>66</v>
      </c>
    </row>
    <row r="163" spans="1:90" x14ac:dyDescent="0.3">
      <c r="A163" t="s">
        <v>315</v>
      </c>
      <c r="B163" t="s">
        <v>316</v>
      </c>
      <c r="C163" t="s">
        <v>59</v>
      </c>
      <c r="E163" t="str">
        <f>"GAB2025415"</f>
        <v>GAB2025415</v>
      </c>
      <c r="F163" s="1">
        <v>45754</v>
      </c>
      <c r="G163">
        <v>202601</v>
      </c>
      <c r="H163" t="s">
        <v>77</v>
      </c>
      <c r="I163" t="s">
        <v>78</v>
      </c>
      <c r="J163" t="s">
        <v>317</v>
      </c>
      <c r="K163" t="s">
        <v>62</v>
      </c>
      <c r="L163" t="s">
        <v>211</v>
      </c>
      <c r="M163" t="s">
        <v>212</v>
      </c>
      <c r="N163" t="s">
        <v>834</v>
      </c>
      <c r="O163" t="s">
        <v>65</v>
      </c>
      <c r="P163" t="str">
        <f>"INV-00116771 CT093732         "</f>
        <v xml:space="preserve">INV-00116771 CT093732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27.64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0.2</v>
      </c>
      <c r="BJ163">
        <v>2.2000000000000002</v>
      </c>
      <c r="BK163">
        <v>2.5</v>
      </c>
      <c r="BL163" s="4">
        <v>88.38</v>
      </c>
      <c r="BM163" s="4">
        <v>13.26</v>
      </c>
      <c r="BN163" s="4">
        <v>101.64</v>
      </c>
      <c r="BO163" s="4">
        <v>101.64</v>
      </c>
      <c r="BQ163" t="s">
        <v>835</v>
      </c>
      <c r="BR163" t="s">
        <v>320</v>
      </c>
      <c r="BS163" s="1">
        <v>45755</v>
      </c>
      <c r="BT163" s="2">
        <v>0.625</v>
      </c>
      <c r="BU163" t="s">
        <v>836</v>
      </c>
      <c r="BV163" t="s">
        <v>74</v>
      </c>
      <c r="BY163">
        <v>10901.77</v>
      </c>
      <c r="BZ163" t="s">
        <v>79</v>
      </c>
      <c r="CA163" t="s">
        <v>837</v>
      </c>
      <c r="CC163" t="s">
        <v>212</v>
      </c>
      <c r="CD163">
        <v>6530</v>
      </c>
      <c r="CE163" t="s">
        <v>389</v>
      </c>
      <c r="CF163" s="1">
        <v>45756</v>
      </c>
      <c r="CI163">
        <v>1</v>
      </c>
      <c r="CJ163">
        <v>1</v>
      </c>
      <c r="CK163">
        <v>21</v>
      </c>
      <c r="CL163" t="s">
        <v>66</v>
      </c>
    </row>
    <row r="164" spans="1:90" x14ac:dyDescent="0.3">
      <c r="A164" t="s">
        <v>315</v>
      </c>
      <c r="B164" t="s">
        <v>316</v>
      </c>
      <c r="C164" t="s">
        <v>59</v>
      </c>
      <c r="E164" t="str">
        <f>"GAB2025416"</f>
        <v>GAB2025416</v>
      </c>
      <c r="F164" s="1">
        <v>45754</v>
      </c>
      <c r="G164">
        <v>202601</v>
      </c>
      <c r="H164" t="s">
        <v>77</v>
      </c>
      <c r="I164" t="s">
        <v>78</v>
      </c>
      <c r="J164" t="s">
        <v>317</v>
      </c>
      <c r="K164" t="s">
        <v>62</v>
      </c>
      <c r="L164" t="s">
        <v>72</v>
      </c>
      <c r="M164" t="s">
        <v>73</v>
      </c>
      <c r="N164" t="s">
        <v>687</v>
      </c>
      <c r="O164" t="s">
        <v>65</v>
      </c>
      <c r="P164" t="str">
        <f>"ATT:PREETHUM                  "</f>
        <v xml:space="preserve">ATT:PREETHUM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27.64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0.1</v>
      </c>
      <c r="BJ164">
        <v>2.1</v>
      </c>
      <c r="BK164">
        <v>2.5</v>
      </c>
      <c r="BL164" s="4">
        <v>88.38</v>
      </c>
      <c r="BM164" s="4">
        <v>13.26</v>
      </c>
      <c r="BN164" s="4">
        <v>101.64</v>
      </c>
      <c r="BO164" s="4">
        <v>101.64</v>
      </c>
      <c r="BQ164" t="s">
        <v>492</v>
      </c>
      <c r="BR164" t="s">
        <v>320</v>
      </c>
      <c r="BS164" s="1">
        <v>45756</v>
      </c>
      <c r="BT164" s="2">
        <v>0.4513888888888889</v>
      </c>
      <c r="BU164" t="s">
        <v>838</v>
      </c>
      <c r="BV164" t="s">
        <v>74</v>
      </c>
      <c r="BY164">
        <v>10333.44</v>
      </c>
      <c r="BZ164" t="s">
        <v>79</v>
      </c>
      <c r="CC164" t="s">
        <v>73</v>
      </c>
      <c r="CD164">
        <v>3610</v>
      </c>
      <c r="CE164" t="s">
        <v>706</v>
      </c>
      <c r="CF164" s="1">
        <v>45757</v>
      </c>
      <c r="CI164">
        <v>2</v>
      </c>
      <c r="CJ164">
        <v>2</v>
      </c>
      <c r="CK164">
        <v>21</v>
      </c>
      <c r="CL164" t="s">
        <v>66</v>
      </c>
    </row>
    <row r="165" spans="1:90" x14ac:dyDescent="0.3">
      <c r="A165" t="s">
        <v>315</v>
      </c>
      <c r="B165" t="s">
        <v>316</v>
      </c>
      <c r="C165" t="s">
        <v>59</v>
      </c>
      <c r="E165" t="str">
        <f>"GAB2025417"</f>
        <v>GAB2025417</v>
      </c>
      <c r="F165" s="1">
        <v>45754</v>
      </c>
      <c r="G165">
        <v>202601</v>
      </c>
      <c r="H165" t="s">
        <v>77</v>
      </c>
      <c r="I165" t="s">
        <v>78</v>
      </c>
      <c r="J165" t="s">
        <v>317</v>
      </c>
      <c r="K165" t="s">
        <v>62</v>
      </c>
      <c r="L165" t="s">
        <v>110</v>
      </c>
      <c r="M165" t="s">
        <v>111</v>
      </c>
      <c r="N165" t="s">
        <v>839</v>
      </c>
      <c r="O165" t="s">
        <v>65</v>
      </c>
      <c r="P165" t="str">
        <f>"INV-00116803 CT093765         "</f>
        <v xml:space="preserve">INV-00116803 CT093765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27.64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0.3</v>
      </c>
      <c r="BJ165">
        <v>2.4</v>
      </c>
      <c r="BK165">
        <v>2.5</v>
      </c>
      <c r="BL165" s="4">
        <v>88.38</v>
      </c>
      <c r="BM165" s="4">
        <v>13.26</v>
      </c>
      <c r="BN165" s="4">
        <v>101.64</v>
      </c>
      <c r="BO165" s="4">
        <v>101.64</v>
      </c>
      <c r="BR165" t="s">
        <v>320</v>
      </c>
      <c r="BS165" s="1">
        <v>45756</v>
      </c>
      <c r="BT165" s="2">
        <v>0.53402777777777777</v>
      </c>
      <c r="BU165" t="s">
        <v>840</v>
      </c>
      <c r="BV165" t="s">
        <v>66</v>
      </c>
      <c r="BW165" t="s">
        <v>112</v>
      </c>
      <c r="BX165" t="s">
        <v>428</v>
      </c>
      <c r="BY165">
        <v>11977.58</v>
      </c>
      <c r="BZ165" t="s">
        <v>79</v>
      </c>
      <c r="CA165" t="s">
        <v>232</v>
      </c>
      <c r="CC165" t="s">
        <v>111</v>
      </c>
      <c r="CD165">
        <v>4319</v>
      </c>
      <c r="CE165" t="s">
        <v>382</v>
      </c>
      <c r="CF165" s="1">
        <v>45757</v>
      </c>
      <c r="CI165">
        <v>2</v>
      </c>
      <c r="CJ165">
        <v>2</v>
      </c>
      <c r="CK165">
        <v>21</v>
      </c>
      <c r="CL165" t="s">
        <v>66</v>
      </c>
    </row>
    <row r="166" spans="1:90" x14ac:dyDescent="0.3">
      <c r="A166" t="s">
        <v>315</v>
      </c>
      <c r="B166" t="s">
        <v>316</v>
      </c>
      <c r="C166" t="s">
        <v>59</v>
      </c>
      <c r="E166" t="str">
        <f>"GAB2025418"</f>
        <v>GAB2025418</v>
      </c>
      <c r="F166" s="1">
        <v>45754</v>
      </c>
      <c r="G166">
        <v>202601</v>
      </c>
      <c r="H166" t="s">
        <v>77</v>
      </c>
      <c r="I166" t="s">
        <v>78</v>
      </c>
      <c r="J166" t="s">
        <v>317</v>
      </c>
      <c r="K166" t="s">
        <v>62</v>
      </c>
      <c r="L166" t="s">
        <v>102</v>
      </c>
      <c r="M166" t="s">
        <v>102</v>
      </c>
      <c r="N166" t="s">
        <v>353</v>
      </c>
      <c r="O166" t="s">
        <v>65</v>
      </c>
      <c r="P166" t="str">
        <f>"INV-00116804 CT093768         "</f>
        <v xml:space="preserve">INV-00116804 CT093768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38.67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0.3</v>
      </c>
      <c r="BJ166">
        <v>2.2999999999999998</v>
      </c>
      <c r="BK166">
        <v>2.5</v>
      </c>
      <c r="BL166" s="4">
        <v>123.66</v>
      </c>
      <c r="BM166" s="4">
        <v>18.55</v>
      </c>
      <c r="BN166" s="4">
        <v>142.21</v>
      </c>
      <c r="BO166" s="4">
        <v>142.21</v>
      </c>
      <c r="BQ166" t="s">
        <v>354</v>
      </c>
      <c r="BR166" t="s">
        <v>320</v>
      </c>
      <c r="BS166" s="1">
        <v>45755</v>
      </c>
      <c r="BT166" s="2">
        <v>0.41666666666666669</v>
      </c>
      <c r="BU166" t="s">
        <v>841</v>
      </c>
      <c r="BV166" t="s">
        <v>74</v>
      </c>
      <c r="BY166">
        <v>11744.28</v>
      </c>
      <c r="BZ166" t="s">
        <v>79</v>
      </c>
      <c r="CC166" t="s">
        <v>102</v>
      </c>
      <c r="CD166">
        <v>7646</v>
      </c>
      <c r="CE166" t="s">
        <v>382</v>
      </c>
      <c r="CF166" s="1">
        <v>45756</v>
      </c>
      <c r="CI166">
        <v>1</v>
      </c>
      <c r="CJ166">
        <v>1</v>
      </c>
      <c r="CK166">
        <v>24</v>
      </c>
      <c r="CL166" t="s">
        <v>66</v>
      </c>
    </row>
    <row r="167" spans="1:90" x14ac:dyDescent="0.3">
      <c r="A167" t="s">
        <v>315</v>
      </c>
      <c r="B167" t="s">
        <v>316</v>
      </c>
      <c r="C167" t="s">
        <v>59</v>
      </c>
      <c r="E167" t="str">
        <f>"GAB2025419"</f>
        <v>GAB2025419</v>
      </c>
      <c r="F167" s="1">
        <v>45754</v>
      </c>
      <c r="G167">
        <v>202601</v>
      </c>
      <c r="H167" t="s">
        <v>77</v>
      </c>
      <c r="I167" t="s">
        <v>78</v>
      </c>
      <c r="J167" t="s">
        <v>317</v>
      </c>
      <c r="K167" t="s">
        <v>62</v>
      </c>
      <c r="L167" t="s">
        <v>91</v>
      </c>
      <c r="M167" t="s">
        <v>92</v>
      </c>
      <c r="N167" t="s">
        <v>842</v>
      </c>
      <c r="O167" t="s">
        <v>65</v>
      </c>
      <c r="P167" t="str">
        <f>"INV-00116805 CT093759         "</f>
        <v xml:space="preserve">INV-00116805 CT093759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27.64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1.2</v>
      </c>
      <c r="BJ167">
        <v>2.2999999999999998</v>
      </c>
      <c r="BK167">
        <v>2.5</v>
      </c>
      <c r="BL167" s="4">
        <v>88.38</v>
      </c>
      <c r="BM167" s="4">
        <v>13.26</v>
      </c>
      <c r="BN167" s="4">
        <v>101.64</v>
      </c>
      <c r="BO167" s="4">
        <v>101.64</v>
      </c>
      <c r="BQ167" t="s">
        <v>804</v>
      </c>
      <c r="BR167" t="s">
        <v>320</v>
      </c>
      <c r="BS167" s="1">
        <v>45755</v>
      </c>
      <c r="BT167" s="2">
        <v>0.42569444444444443</v>
      </c>
      <c r="BU167" t="s">
        <v>843</v>
      </c>
      <c r="BV167" t="s">
        <v>74</v>
      </c>
      <c r="BY167">
        <v>11674.6</v>
      </c>
      <c r="BZ167" t="s">
        <v>79</v>
      </c>
      <c r="CA167" t="s">
        <v>844</v>
      </c>
      <c r="CC167" t="s">
        <v>92</v>
      </c>
      <c r="CD167" s="3" t="s">
        <v>845</v>
      </c>
      <c r="CE167" t="s">
        <v>846</v>
      </c>
      <c r="CF167" s="1">
        <v>45756</v>
      </c>
      <c r="CI167">
        <v>1</v>
      </c>
      <c r="CJ167">
        <v>1</v>
      </c>
      <c r="CK167">
        <v>21</v>
      </c>
      <c r="CL167" t="s">
        <v>66</v>
      </c>
    </row>
    <row r="168" spans="1:90" x14ac:dyDescent="0.3">
      <c r="A168" t="s">
        <v>315</v>
      </c>
      <c r="B168" t="s">
        <v>316</v>
      </c>
      <c r="C168" t="s">
        <v>59</v>
      </c>
      <c r="E168" t="str">
        <f>"GAB2025420"</f>
        <v>GAB2025420</v>
      </c>
      <c r="F168" s="1">
        <v>45754</v>
      </c>
      <c r="G168">
        <v>202601</v>
      </c>
      <c r="H168" t="s">
        <v>77</v>
      </c>
      <c r="I168" t="s">
        <v>78</v>
      </c>
      <c r="J168" t="s">
        <v>317</v>
      </c>
      <c r="K168" t="s">
        <v>62</v>
      </c>
      <c r="L168" t="s">
        <v>171</v>
      </c>
      <c r="M168" t="s">
        <v>172</v>
      </c>
      <c r="N168" t="s">
        <v>847</v>
      </c>
      <c r="O168" t="s">
        <v>65</v>
      </c>
      <c r="P168" t="str">
        <f>"INV-00116806 CT093763         "</f>
        <v xml:space="preserve">INV-00116806 CT093763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52.52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16.739999999999998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0.4</v>
      </c>
      <c r="BJ168">
        <v>2.5</v>
      </c>
      <c r="BK168">
        <v>2.5</v>
      </c>
      <c r="BL168" s="4">
        <v>184.68</v>
      </c>
      <c r="BM168" s="4">
        <v>27.7</v>
      </c>
      <c r="BN168" s="4">
        <v>212.38</v>
      </c>
      <c r="BO168" s="4">
        <v>212.38</v>
      </c>
      <c r="BQ168" t="s">
        <v>848</v>
      </c>
      <c r="BR168" t="s">
        <v>320</v>
      </c>
      <c r="BS168" s="1">
        <v>45756</v>
      </c>
      <c r="BT168" s="2">
        <v>0.40902777777777777</v>
      </c>
      <c r="BU168" t="s">
        <v>849</v>
      </c>
      <c r="BV168" t="s">
        <v>66</v>
      </c>
      <c r="BY168">
        <v>12601.23</v>
      </c>
      <c r="BZ168" t="s">
        <v>97</v>
      </c>
      <c r="CA168" t="s">
        <v>163</v>
      </c>
      <c r="CC168" t="s">
        <v>172</v>
      </c>
      <c r="CD168">
        <v>1982</v>
      </c>
      <c r="CE168" t="s">
        <v>412</v>
      </c>
      <c r="CF168" s="1">
        <v>45757</v>
      </c>
      <c r="CI168">
        <v>1</v>
      </c>
      <c r="CJ168">
        <v>2</v>
      </c>
      <c r="CK168">
        <v>23</v>
      </c>
      <c r="CL168" t="s">
        <v>66</v>
      </c>
    </row>
    <row r="169" spans="1:90" x14ac:dyDescent="0.3">
      <c r="A169" t="s">
        <v>315</v>
      </c>
      <c r="B169" t="s">
        <v>316</v>
      </c>
      <c r="C169" t="s">
        <v>59</v>
      </c>
      <c r="E169" t="str">
        <f>"GAB2025422"</f>
        <v>GAB2025422</v>
      </c>
      <c r="F169" s="1">
        <v>45754</v>
      </c>
      <c r="G169">
        <v>202601</v>
      </c>
      <c r="H169" t="s">
        <v>77</v>
      </c>
      <c r="I169" t="s">
        <v>78</v>
      </c>
      <c r="J169" t="s">
        <v>317</v>
      </c>
      <c r="K169" t="s">
        <v>62</v>
      </c>
      <c r="L169" t="s">
        <v>145</v>
      </c>
      <c r="M169" t="s">
        <v>146</v>
      </c>
      <c r="N169" t="s">
        <v>732</v>
      </c>
      <c r="O169" t="s">
        <v>65</v>
      </c>
      <c r="P169" t="str">
        <f>"INV-00034428 031784           "</f>
        <v xml:space="preserve">INV-00034428 031784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62.19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0.2</v>
      </c>
      <c r="BJ169">
        <v>2.7</v>
      </c>
      <c r="BK169">
        <v>3</v>
      </c>
      <c r="BL169" s="4">
        <v>198.87</v>
      </c>
      <c r="BM169" s="4">
        <v>29.83</v>
      </c>
      <c r="BN169" s="4">
        <v>228.7</v>
      </c>
      <c r="BO169" s="4">
        <v>228.7</v>
      </c>
      <c r="BQ169" t="s">
        <v>404</v>
      </c>
      <c r="BR169" t="s">
        <v>320</v>
      </c>
      <c r="BS169" s="1">
        <v>45756</v>
      </c>
      <c r="BT169" s="2">
        <v>0.33611111111111114</v>
      </c>
      <c r="BU169" t="s">
        <v>258</v>
      </c>
      <c r="BV169" t="s">
        <v>74</v>
      </c>
      <c r="BY169">
        <v>13252.14</v>
      </c>
      <c r="BZ169" t="s">
        <v>79</v>
      </c>
      <c r="CA169" t="s">
        <v>599</v>
      </c>
      <c r="CC169" t="s">
        <v>146</v>
      </c>
      <c r="CD169">
        <v>3900</v>
      </c>
      <c r="CE169" t="s">
        <v>389</v>
      </c>
      <c r="CF169" s="1">
        <v>45756</v>
      </c>
      <c r="CI169">
        <v>2</v>
      </c>
      <c r="CJ169">
        <v>2</v>
      </c>
      <c r="CK169">
        <v>23</v>
      </c>
      <c r="CL169" t="s">
        <v>66</v>
      </c>
    </row>
    <row r="170" spans="1:90" x14ac:dyDescent="0.3">
      <c r="A170" t="s">
        <v>315</v>
      </c>
      <c r="B170" t="s">
        <v>316</v>
      </c>
      <c r="C170" t="s">
        <v>59</v>
      </c>
      <c r="E170" t="str">
        <f>"GAB2025423"</f>
        <v>GAB2025423</v>
      </c>
      <c r="F170" s="1">
        <v>45754</v>
      </c>
      <c r="G170">
        <v>202601</v>
      </c>
      <c r="H170" t="s">
        <v>77</v>
      </c>
      <c r="I170" t="s">
        <v>78</v>
      </c>
      <c r="J170" t="s">
        <v>317</v>
      </c>
      <c r="K170" t="s">
        <v>62</v>
      </c>
      <c r="L170" t="s">
        <v>91</v>
      </c>
      <c r="M170" t="s">
        <v>92</v>
      </c>
      <c r="N170" t="s">
        <v>850</v>
      </c>
      <c r="O170" t="s">
        <v>65</v>
      </c>
      <c r="P170" t="str">
        <f>"INV-00034427 031612           "</f>
        <v xml:space="preserve">INV-00034427 031612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22.11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0.2</v>
      </c>
      <c r="BJ170">
        <v>1.7</v>
      </c>
      <c r="BK170">
        <v>2</v>
      </c>
      <c r="BL170" s="4">
        <v>70.709999999999994</v>
      </c>
      <c r="BM170" s="4">
        <v>10.61</v>
      </c>
      <c r="BN170" s="4">
        <v>81.319999999999993</v>
      </c>
      <c r="BO170" s="4">
        <v>81.319999999999993</v>
      </c>
      <c r="BQ170" t="s">
        <v>310</v>
      </c>
      <c r="BR170" t="s">
        <v>320</v>
      </c>
      <c r="BS170" s="1">
        <v>45755</v>
      </c>
      <c r="BT170" s="2">
        <v>0.41666666666666669</v>
      </c>
      <c r="BU170" t="s">
        <v>851</v>
      </c>
      <c r="BV170" t="s">
        <v>74</v>
      </c>
      <c r="BY170">
        <v>8482.32</v>
      </c>
      <c r="BZ170" t="s">
        <v>79</v>
      </c>
      <c r="CA170" t="s">
        <v>147</v>
      </c>
      <c r="CC170" t="s">
        <v>92</v>
      </c>
      <c r="CD170" s="3" t="s">
        <v>94</v>
      </c>
      <c r="CE170" t="s">
        <v>852</v>
      </c>
      <c r="CF170" s="1">
        <v>45755</v>
      </c>
      <c r="CI170">
        <v>1</v>
      </c>
      <c r="CJ170">
        <v>1</v>
      </c>
      <c r="CK170">
        <v>21</v>
      </c>
      <c r="CL170" t="s">
        <v>66</v>
      </c>
    </row>
    <row r="171" spans="1:90" x14ac:dyDescent="0.3">
      <c r="A171" t="s">
        <v>315</v>
      </c>
      <c r="B171" t="s">
        <v>316</v>
      </c>
      <c r="C171" t="s">
        <v>59</v>
      </c>
      <c r="E171" t="str">
        <f>"GAB2025425"</f>
        <v>GAB2025425</v>
      </c>
      <c r="F171" s="1">
        <v>45754</v>
      </c>
      <c r="G171">
        <v>202601</v>
      </c>
      <c r="H171" t="s">
        <v>77</v>
      </c>
      <c r="I171" t="s">
        <v>78</v>
      </c>
      <c r="J171" t="s">
        <v>317</v>
      </c>
      <c r="K171" t="s">
        <v>62</v>
      </c>
      <c r="L171" t="s">
        <v>853</v>
      </c>
      <c r="M171" t="s">
        <v>854</v>
      </c>
      <c r="N171" t="s">
        <v>855</v>
      </c>
      <c r="O171" t="s">
        <v>65</v>
      </c>
      <c r="P171" t="str">
        <f>"INV-00116814 CT093772         "</f>
        <v xml:space="preserve">INV-00116814 CT093772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42.84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</v>
      </c>
      <c r="BK171">
        <v>2</v>
      </c>
      <c r="BL171" s="4">
        <v>137</v>
      </c>
      <c r="BM171" s="4">
        <v>20.55</v>
      </c>
      <c r="BN171" s="4">
        <v>157.55000000000001</v>
      </c>
      <c r="BO171" s="4">
        <v>157.55000000000001</v>
      </c>
      <c r="BQ171" t="s">
        <v>612</v>
      </c>
      <c r="BR171" t="s">
        <v>320</v>
      </c>
      <c r="BS171" s="1">
        <v>45756</v>
      </c>
      <c r="BT171" s="2">
        <v>0.59444444444444444</v>
      </c>
      <c r="BU171" t="s">
        <v>856</v>
      </c>
      <c r="BV171" t="s">
        <v>74</v>
      </c>
      <c r="BY171">
        <v>10154.43</v>
      </c>
      <c r="BZ171" t="s">
        <v>79</v>
      </c>
      <c r="CA171" t="s">
        <v>857</v>
      </c>
      <c r="CC171" t="s">
        <v>854</v>
      </c>
      <c r="CD171">
        <v>3100</v>
      </c>
      <c r="CE171" t="s">
        <v>343</v>
      </c>
      <c r="CF171" s="1">
        <v>45757</v>
      </c>
      <c r="CI171">
        <v>2</v>
      </c>
      <c r="CJ171">
        <v>2</v>
      </c>
      <c r="CK171">
        <v>23</v>
      </c>
      <c r="CL171" t="s">
        <v>66</v>
      </c>
    </row>
    <row r="172" spans="1:90" x14ac:dyDescent="0.3">
      <c r="A172" t="s">
        <v>315</v>
      </c>
      <c r="B172" t="s">
        <v>316</v>
      </c>
      <c r="C172" t="s">
        <v>59</v>
      </c>
      <c r="E172" t="str">
        <f>"GAB2025426"</f>
        <v>GAB2025426</v>
      </c>
      <c r="F172" s="1">
        <v>45754</v>
      </c>
      <c r="G172">
        <v>202601</v>
      </c>
      <c r="H172" t="s">
        <v>77</v>
      </c>
      <c r="I172" t="s">
        <v>78</v>
      </c>
      <c r="J172" t="s">
        <v>317</v>
      </c>
      <c r="K172" t="s">
        <v>62</v>
      </c>
      <c r="L172" t="s">
        <v>295</v>
      </c>
      <c r="M172" t="s">
        <v>296</v>
      </c>
      <c r="N172" t="s">
        <v>745</v>
      </c>
      <c r="O172" t="s">
        <v>65</v>
      </c>
      <c r="P172" t="str">
        <f>"INV-00034454 00034455 031798 0"</f>
        <v>INV-00034454 00034455 031798 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42.84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0.1</v>
      </c>
      <c r="BJ172">
        <v>2</v>
      </c>
      <c r="BK172">
        <v>2</v>
      </c>
      <c r="BL172" s="4">
        <v>137</v>
      </c>
      <c r="BM172" s="4">
        <v>20.55</v>
      </c>
      <c r="BN172" s="4">
        <v>157.55000000000001</v>
      </c>
      <c r="BO172" s="4">
        <v>157.55000000000001</v>
      </c>
      <c r="BQ172" t="s">
        <v>746</v>
      </c>
      <c r="BR172" t="s">
        <v>320</v>
      </c>
      <c r="BS172" s="1">
        <v>45756</v>
      </c>
      <c r="BT172" s="2">
        <v>0.4375</v>
      </c>
      <c r="BU172" t="s">
        <v>858</v>
      </c>
      <c r="BV172" t="s">
        <v>66</v>
      </c>
      <c r="BY172">
        <v>10186.15</v>
      </c>
      <c r="BZ172" t="s">
        <v>79</v>
      </c>
      <c r="CA172" t="s">
        <v>748</v>
      </c>
      <c r="CC172" t="s">
        <v>296</v>
      </c>
      <c r="CD172">
        <v>1035</v>
      </c>
      <c r="CE172" t="s">
        <v>343</v>
      </c>
      <c r="CF172" s="1">
        <v>45756</v>
      </c>
      <c r="CI172">
        <v>1</v>
      </c>
      <c r="CJ172">
        <v>2</v>
      </c>
      <c r="CK172">
        <v>23</v>
      </c>
      <c r="CL172" t="s">
        <v>66</v>
      </c>
    </row>
    <row r="173" spans="1:90" x14ac:dyDescent="0.3">
      <c r="A173" t="s">
        <v>315</v>
      </c>
      <c r="B173" t="s">
        <v>316</v>
      </c>
      <c r="C173" t="s">
        <v>59</v>
      </c>
      <c r="E173" t="str">
        <f>"GAB2025427"</f>
        <v>GAB2025427</v>
      </c>
      <c r="F173" s="1">
        <v>45754</v>
      </c>
      <c r="G173">
        <v>202601</v>
      </c>
      <c r="H173" t="s">
        <v>77</v>
      </c>
      <c r="I173" t="s">
        <v>78</v>
      </c>
      <c r="J173" t="s">
        <v>317</v>
      </c>
      <c r="K173" t="s">
        <v>62</v>
      </c>
      <c r="L173" t="s">
        <v>91</v>
      </c>
      <c r="M173" t="s">
        <v>92</v>
      </c>
      <c r="N173" t="s">
        <v>617</v>
      </c>
      <c r="O173" t="s">
        <v>65</v>
      </c>
      <c r="P173" t="str">
        <f>"INV-00116774 00116775 CT093737"</f>
        <v>INV-00116774 00116775 CT093737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38.68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0.2</v>
      </c>
      <c r="BJ173">
        <v>3.5</v>
      </c>
      <c r="BK173">
        <v>3.5</v>
      </c>
      <c r="BL173" s="4">
        <v>123.7</v>
      </c>
      <c r="BM173" s="4">
        <v>18.559999999999999</v>
      </c>
      <c r="BN173" s="4">
        <v>142.26</v>
      </c>
      <c r="BO173" s="4">
        <v>142.26</v>
      </c>
      <c r="BQ173" t="s">
        <v>618</v>
      </c>
      <c r="BR173" t="s">
        <v>320</v>
      </c>
      <c r="BS173" s="1">
        <v>45756</v>
      </c>
      <c r="BT173" s="2">
        <v>0.3888888888888889</v>
      </c>
      <c r="BU173" t="s">
        <v>859</v>
      </c>
      <c r="BV173" t="s">
        <v>66</v>
      </c>
      <c r="BW173" t="s">
        <v>71</v>
      </c>
      <c r="BX173" t="s">
        <v>166</v>
      </c>
      <c r="BY173">
        <v>17530.5</v>
      </c>
      <c r="BZ173" t="s">
        <v>79</v>
      </c>
      <c r="CA173" t="s">
        <v>253</v>
      </c>
      <c r="CC173" t="s">
        <v>92</v>
      </c>
      <c r="CD173" s="3" t="s">
        <v>94</v>
      </c>
      <c r="CE173" t="s">
        <v>389</v>
      </c>
      <c r="CF173" s="1">
        <v>45756</v>
      </c>
      <c r="CI173">
        <v>1</v>
      </c>
      <c r="CJ173">
        <v>2</v>
      </c>
      <c r="CK173">
        <v>21</v>
      </c>
      <c r="CL173" t="s">
        <v>66</v>
      </c>
    </row>
    <row r="174" spans="1:90" x14ac:dyDescent="0.3">
      <c r="A174" t="s">
        <v>315</v>
      </c>
      <c r="B174" t="s">
        <v>316</v>
      </c>
      <c r="C174" t="s">
        <v>59</v>
      </c>
      <c r="E174" t="str">
        <f>"GAB2025391"</f>
        <v>GAB2025391</v>
      </c>
      <c r="F174" s="1">
        <v>45754</v>
      </c>
      <c r="G174">
        <v>202601</v>
      </c>
      <c r="H174" t="s">
        <v>77</v>
      </c>
      <c r="I174" t="s">
        <v>78</v>
      </c>
      <c r="J174" t="s">
        <v>317</v>
      </c>
      <c r="K174" t="s">
        <v>62</v>
      </c>
      <c r="L174" t="s">
        <v>142</v>
      </c>
      <c r="M174" t="s">
        <v>143</v>
      </c>
      <c r="N174" t="s">
        <v>860</v>
      </c>
      <c r="O174" t="s">
        <v>98</v>
      </c>
      <c r="P174" t="str">
        <f>"INV-00116769 CT093660         "</f>
        <v xml:space="preserve">INV-00116769 CT093660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5.57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42.76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1.2</v>
      </c>
      <c r="BJ174">
        <v>6.4</v>
      </c>
      <c r="BK174">
        <v>7</v>
      </c>
      <c r="BL174" s="4">
        <v>142.31</v>
      </c>
      <c r="BM174" s="4">
        <v>21.35</v>
      </c>
      <c r="BN174" s="4">
        <v>163.66</v>
      </c>
      <c r="BO174" s="4">
        <v>163.66</v>
      </c>
      <c r="BR174" t="s">
        <v>320</v>
      </c>
      <c r="BS174" s="1">
        <v>45756</v>
      </c>
      <c r="BT174" s="2">
        <v>0.48888888888888887</v>
      </c>
      <c r="BU174" t="s">
        <v>263</v>
      </c>
      <c r="BV174" t="s">
        <v>74</v>
      </c>
      <c r="BY174">
        <v>31815.3</v>
      </c>
      <c r="CA174" t="s">
        <v>93</v>
      </c>
      <c r="CC174" t="s">
        <v>143</v>
      </c>
      <c r="CD174" s="3" t="s">
        <v>144</v>
      </c>
      <c r="CE174" t="s">
        <v>861</v>
      </c>
      <c r="CF174" s="1">
        <v>45756</v>
      </c>
      <c r="CI174">
        <v>3</v>
      </c>
      <c r="CJ174">
        <v>2</v>
      </c>
      <c r="CK174">
        <v>41</v>
      </c>
      <c r="CL174" t="s">
        <v>66</v>
      </c>
    </row>
    <row r="175" spans="1:90" x14ac:dyDescent="0.3">
      <c r="A175" t="s">
        <v>315</v>
      </c>
      <c r="B175" t="s">
        <v>316</v>
      </c>
      <c r="C175" t="s">
        <v>59</v>
      </c>
      <c r="E175" t="str">
        <f>"GAB2025409"</f>
        <v>GAB2025409</v>
      </c>
      <c r="F175" s="1">
        <v>45754</v>
      </c>
      <c r="G175">
        <v>202601</v>
      </c>
      <c r="H175" t="s">
        <v>77</v>
      </c>
      <c r="I175" t="s">
        <v>78</v>
      </c>
      <c r="J175" t="s">
        <v>317</v>
      </c>
      <c r="K175" t="s">
        <v>62</v>
      </c>
      <c r="L175" t="s">
        <v>83</v>
      </c>
      <c r="M175" t="s">
        <v>84</v>
      </c>
      <c r="N175" t="s">
        <v>344</v>
      </c>
      <c r="O175" t="s">
        <v>98</v>
      </c>
      <c r="P175" t="str">
        <f>"INV-00116797 CT093661         "</f>
        <v xml:space="preserve">INV-00116797 CT093661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5.57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42.76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1.3</v>
      </c>
      <c r="BJ175">
        <v>3.4</v>
      </c>
      <c r="BK175">
        <v>4</v>
      </c>
      <c r="BL175" s="4">
        <v>142.31</v>
      </c>
      <c r="BM175" s="4">
        <v>21.35</v>
      </c>
      <c r="BN175" s="4">
        <v>163.66</v>
      </c>
      <c r="BO175" s="4">
        <v>163.66</v>
      </c>
      <c r="BQ175" t="s">
        <v>345</v>
      </c>
      <c r="BR175" t="s">
        <v>320</v>
      </c>
      <c r="BS175" s="1">
        <v>45757</v>
      </c>
      <c r="BT175" s="2">
        <v>0.40902777777777777</v>
      </c>
      <c r="BU175" t="s">
        <v>862</v>
      </c>
      <c r="BV175" t="s">
        <v>74</v>
      </c>
      <c r="BY175">
        <v>17129.45</v>
      </c>
      <c r="CA175" t="s">
        <v>863</v>
      </c>
      <c r="CC175" t="s">
        <v>84</v>
      </c>
      <c r="CD175">
        <v>3201</v>
      </c>
      <c r="CE175" t="s">
        <v>339</v>
      </c>
      <c r="CF175" s="1">
        <v>45757</v>
      </c>
      <c r="CI175">
        <v>4</v>
      </c>
      <c r="CJ175">
        <v>3</v>
      </c>
      <c r="CK175">
        <v>41</v>
      </c>
      <c r="CL175" t="s">
        <v>66</v>
      </c>
    </row>
    <row r="176" spans="1:90" x14ac:dyDescent="0.3">
      <c r="A176" t="s">
        <v>315</v>
      </c>
      <c r="B176" t="s">
        <v>316</v>
      </c>
      <c r="C176" t="s">
        <v>59</v>
      </c>
      <c r="E176" t="str">
        <f>"GAB2025410"</f>
        <v>GAB2025410</v>
      </c>
      <c r="F176" s="1">
        <v>45754</v>
      </c>
      <c r="G176">
        <v>202601</v>
      </c>
      <c r="H176" t="s">
        <v>77</v>
      </c>
      <c r="I176" t="s">
        <v>78</v>
      </c>
      <c r="J176" t="s">
        <v>317</v>
      </c>
      <c r="K176" t="s">
        <v>62</v>
      </c>
      <c r="L176" t="s">
        <v>100</v>
      </c>
      <c r="M176" t="s">
        <v>101</v>
      </c>
      <c r="N176" t="s">
        <v>864</v>
      </c>
      <c r="O176" t="s">
        <v>98</v>
      </c>
      <c r="P176" t="str">
        <f>"INV-00116798 CT093156         "</f>
        <v xml:space="preserve">INV-00116798 CT093156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5.57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49.82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13.3</v>
      </c>
      <c r="BJ176">
        <v>18.100000000000001</v>
      </c>
      <c r="BK176">
        <v>19</v>
      </c>
      <c r="BL176" s="4">
        <v>164.89</v>
      </c>
      <c r="BM176" s="4">
        <v>24.73</v>
      </c>
      <c r="BN176" s="4">
        <v>189.62</v>
      </c>
      <c r="BO176" s="4">
        <v>189.62</v>
      </c>
      <c r="BQ176" t="s">
        <v>865</v>
      </c>
      <c r="BR176" t="s">
        <v>320</v>
      </c>
      <c r="BS176" s="1">
        <v>45756</v>
      </c>
      <c r="BT176" s="2">
        <v>0.37916666666666665</v>
      </c>
      <c r="BU176" t="s">
        <v>866</v>
      </c>
      <c r="BV176" t="s">
        <v>74</v>
      </c>
      <c r="BY176">
        <v>90698.25</v>
      </c>
      <c r="CA176" t="s">
        <v>220</v>
      </c>
      <c r="CC176" t="s">
        <v>101</v>
      </c>
      <c r="CD176">
        <v>6000</v>
      </c>
      <c r="CE176" t="s">
        <v>339</v>
      </c>
      <c r="CF176" s="1">
        <v>45756</v>
      </c>
      <c r="CI176">
        <v>3</v>
      </c>
      <c r="CJ176">
        <v>2</v>
      </c>
      <c r="CK176">
        <v>41</v>
      </c>
      <c r="CL176" t="s">
        <v>66</v>
      </c>
    </row>
    <row r="177" spans="1:90" x14ac:dyDescent="0.3">
      <c r="A177" t="s">
        <v>315</v>
      </c>
      <c r="B177" t="s">
        <v>316</v>
      </c>
      <c r="C177" t="s">
        <v>59</v>
      </c>
      <c r="E177" t="str">
        <f>"GAB2025414"</f>
        <v>GAB2025414</v>
      </c>
      <c r="F177" s="1">
        <v>45754</v>
      </c>
      <c r="G177">
        <v>202601</v>
      </c>
      <c r="H177" t="s">
        <v>77</v>
      </c>
      <c r="I177" t="s">
        <v>78</v>
      </c>
      <c r="J177" t="s">
        <v>317</v>
      </c>
      <c r="K177" t="s">
        <v>62</v>
      </c>
      <c r="L177" t="s">
        <v>77</v>
      </c>
      <c r="M177" t="s">
        <v>78</v>
      </c>
      <c r="N177" t="s">
        <v>867</v>
      </c>
      <c r="O177" t="s">
        <v>98</v>
      </c>
      <c r="P177" t="str">
        <f>"INV-00116776 00116785 CT093746"</f>
        <v>INV-00116776 00116785 CT093746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5.57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35.89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2</v>
      </c>
      <c r="BI177">
        <v>8</v>
      </c>
      <c r="BJ177">
        <v>17.5</v>
      </c>
      <c r="BK177">
        <v>18</v>
      </c>
      <c r="BL177" s="4">
        <v>120.34</v>
      </c>
      <c r="BM177" s="4">
        <v>18.05</v>
      </c>
      <c r="BN177" s="4">
        <v>138.38999999999999</v>
      </c>
      <c r="BO177" s="4">
        <v>138.38999999999999</v>
      </c>
      <c r="BQ177" t="s">
        <v>702</v>
      </c>
      <c r="BR177" t="s">
        <v>320</v>
      </c>
      <c r="BS177" s="1">
        <v>45755</v>
      </c>
      <c r="BT177" s="2">
        <v>0.52152777777777781</v>
      </c>
      <c r="BU177" t="s">
        <v>868</v>
      </c>
      <c r="BV177" t="s">
        <v>74</v>
      </c>
      <c r="BY177">
        <v>87694.96</v>
      </c>
      <c r="CA177" t="s">
        <v>704</v>
      </c>
      <c r="CC177" t="s">
        <v>78</v>
      </c>
      <c r="CD177">
        <v>7550</v>
      </c>
      <c r="CE177" t="s">
        <v>322</v>
      </c>
      <c r="CF177" s="1">
        <v>45756</v>
      </c>
      <c r="CI177">
        <v>1</v>
      </c>
      <c r="CJ177">
        <v>1</v>
      </c>
      <c r="CK177">
        <v>42</v>
      </c>
      <c r="CL177" t="s">
        <v>66</v>
      </c>
    </row>
    <row r="178" spans="1:90" x14ac:dyDescent="0.3">
      <c r="A178" t="s">
        <v>315</v>
      </c>
      <c r="B178" t="s">
        <v>316</v>
      </c>
      <c r="C178" t="s">
        <v>59</v>
      </c>
      <c r="E178" t="str">
        <f>"GAB2025421"</f>
        <v>GAB2025421</v>
      </c>
      <c r="F178" s="1">
        <v>45754</v>
      </c>
      <c r="G178">
        <v>202601</v>
      </c>
      <c r="H178" t="s">
        <v>77</v>
      </c>
      <c r="I178" t="s">
        <v>78</v>
      </c>
      <c r="J178" t="s">
        <v>317</v>
      </c>
      <c r="K178" t="s">
        <v>62</v>
      </c>
      <c r="L178" t="s">
        <v>546</v>
      </c>
      <c r="M178" t="s">
        <v>547</v>
      </c>
      <c r="N178" t="s">
        <v>869</v>
      </c>
      <c r="O178" t="s">
        <v>98</v>
      </c>
      <c r="P178" t="str">
        <f>"INV-00116796 CT093505         "</f>
        <v xml:space="preserve">INV-00116796 CT093505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5.57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48.06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6.9</v>
      </c>
      <c r="BJ178">
        <v>17.100000000000001</v>
      </c>
      <c r="BK178">
        <v>18</v>
      </c>
      <c r="BL178" s="4">
        <v>159.25</v>
      </c>
      <c r="BM178" s="4">
        <v>23.89</v>
      </c>
      <c r="BN178" s="4">
        <v>183.14</v>
      </c>
      <c r="BO178" s="4">
        <v>183.14</v>
      </c>
      <c r="BQ178" t="s">
        <v>870</v>
      </c>
      <c r="BR178" t="s">
        <v>320</v>
      </c>
      <c r="BS178" s="1">
        <v>45762</v>
      </c>
      <c r="BT178" s="2">
        <v>0.54166666666666663</v>
      </c>
      <c r="BU178" t="s">
        <v>870</v>
      </c>
      <c r="BV178" t="s">
        <v>66</v>
      </c>
      <c r="BW178" t="s">
        <v>292</v>
      </c>
      <c r="BX178" t="s">
        <v>871</v>
      </c>
      <c r="BY178">
        <v>85545.600000000006</v>
      </c>
      <c r="CC178" t="s">
        <v>547</v>
      </c>
      <c r="CD178">
        <v>9300</v>
      </c>
      <c r="CE178" t="s">
        <v>339</v>
      </c>
      <c r="CF178" s="1">
        <v>45763</v>
      </c>
      <c r="CI178">
        <v>4</v>
      </c>
      <c r="CJ178">
        <v>6</v>
      </c>
      <c r="CK178">
        <v>41</v>
      </c>
      <c r="CL178" t="s">
        <v>66</v>
      </c>
    </row>
    <row r="179" spans="1:90" x14ac:dyDescent="0.3">
      <c r="A179" t="s">
        <v>315</v>
      </c>
      <c r="B179" t="s">
        <v>316</v>
      </c>
      <c r="C179" t="s">
        <v>59</v>
      </c>
      <c r="E179" t="str">
        <f>"GAB2025424"</f>
        <v>GAB2025424</v>
      </c>
      <c r="F179" s="1">
        <v>45754</v>
      </c>
      <c r="G179">
        <v>202601</v>
      </c>
      <c r="H179" t="s">
        <v>77</v>
      </c>
      <c r="I179" t="s">
        <v>78</v>
      </c>
      <c r="J179" t="s">
        <v>317</v>
      </c>
      <c r="K179" t="s">
        <v>62</v>
      </c>
      <c r="L179" t="s">
        <v>117</v>
      </c>
      <c r="M179" t="s">
        <v>118</v>
      </c>
      <c r="N179" t="s">
        <v>872</v>
      </c>
      <c r="O179" t="s">
        <v>98</v>
      </c>
      <c r="P179" t="str">
        <f>"INV-00116813 CT093770         "</f>
        <v xml:space="preserve">INV-00116813 CT093770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5.57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62.18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7.8</v>
      </c>
      <c r="BJ179">
        <v>26</v>
      </c>
      <c r="BK179">
        <v>26</v>
      </c>
      <c r="BL179" s="4">
        <v>204.41</v>
      </c>
      <c r="BM179" s="4">
        <v>30.66</v>
      </c>
      <c r="BN179" s="4">
        <v>235.07</v>
      </c>
      <c r="BO179" s="4">
        <v>235.07</v>
      </c>
      <c r="BR179" t="s">
        <v>320</v>
      </c>
      <c r="BS179" s="1">
        <v>45756</v>
      </c>
      <c r="BT179" s="2">
        <v>0.74097222222222225</v>
      </c>
      <c r="BU179" t="s">
        <v>873</v>
      </c>
      <c r="BV179" t="s">
        <v>74</v>
      </c>
      <c r="BY179">
        <v>130066.68</v>
      </c>
      <c r="CA179" t="s">
        <v>874</v>
      </c>
      <c r="CC179" t="s">
        <v>118</v>
      </c>
      <c r="CD179">
        <v>4133</v>
      </c>
      <c r="CE179" t="s">
        <v>525</v>
      </c>
      <c r="CF179" s="1">
        <v>45757</v>
      </c>
      <c r="CI179">
        <v>3</v>
      </c>
      <c r="CJ179">
        <v>2</v>
      </c>
      <c r="CK179">
        <v>41</v>
      </c>
      <c r="CL179" t="s">
        <v>66</v>
      </c>
    </row>
    <row r="180" spans="1:90" x14ac:dyDescent="0.3">
      <c r="A180" t="s">
        <v>315</v>
      </c>
      <c r="B180" t="s">
        <v>316</v>
      </c>
      <c r="C180" t="s">
        <v>59</v>
      </c>
      <c r="E180" t="str">
        <f>"080011486622"</f>
        <v>080011486622</v>
      </c>
      <c r="F180" s="1">
        <v>45755</v>
      </c>
      <c r="G180">
        <v>202601</v>
      </c>
      <c r="H180" t="s">
        <v>126</v>
      </c>
      <c r="I180" t="s">
        <v>127</v>
      </c>
      <c r="J180" t="s">
        <v>875</v>
      </c>
      <c r="K180" t="s">
        <v>62</v>
      </c>
      <c r="L180" t="s">
        <v>77</v>
      </c>
      <c r="M180" t="s">
        <v>78</v>
      </c>
      <c r="N180" t="s">
        <v>450</v>
      </c>
      <c r="O180" t="s">
        <v>98</v>
      </c>
      <c r="P180" t="str">
        <f>"Gabler                        "</f>
        <v xml:space="preserve">Gabler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5.57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42.76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2</v>
      </c>
      <c r="BJ180">
        <v>0.2</v>
      </c>
      <c r="BK180">
        <v>2</v>
      </c>
      <c r="BL180" s="4">
        <v>142.31</v>
      </c>
      <c r="BM180" s="4">
        <v>21.35</v>
      </c>
      <c r="BN180" s="4">
        <v>163.66</v>
      </c>
      <c r="BO180" s="4">
        <v>163.66</v>
      </c>
      <c r="BP180" t="s">
        <v>81</v>
      </c>
      <c r="BQ180" t="s">
        <v>506</v>
      </c>
      <c r="BR180" t="s">
        <v>876</v>
      </c>
      <c r="BS180" s="1">
        <v>45757</v>
      </c>
      <c r="BT180" s="2">
        <v>0.43125000000000002</v>
      </c>
      <c r="BU180" t="s">
        <v>263</v>
      </c>
      <c r="BV180" t="s">
        <v>74</v>
      </c>
      <c r="BY180">
        <v>1000</v>
      </c>
      <c r="BZ180" t="s">
        <v>114</v>
      </c>
      <c r="CA180" t="s">
        <v>193</v>
      </c>
      <c r="CC180" t="s">
        <v>78</v>
      </c>
      <c r="CD180">
        <v>7460</v>
      </c>
      <c r="CE180" t="s">
        <v>877</v>
      </c>
      <c r="CF180" s="1">
        <v>45758</v>
      </c>
      <c r="CI180">
        <v>3</v>
      </c>
      <c r="CJ180">
        <v>2</v>
      </c>
      <c r="CK180">
        <v>41</v>
      </c>
      <c r="CL180" t="s">
        <v>66</v>
      </c>
    </row>
    <row r="181" spans="1:90" x14ac:dyDescent="0.3">
      <c r="A181" t="s">
        <v>315</v>
      </c>
      <c r="B181" t="s">
        <v>316</v>
      </c>
      <c r="C181" t="s">
        <v>59</v>
      </c>
      <c r="E181" t="str">
        <f>"GAB2025429"</f>
        <v>GAB2025429</v>
      </c>
      <c r="F181" s="1">
        <v>45755</v>
      </c>
      <c r="G181">
        <v>202601</v>
      </c>
      <c r="H181" t="s">
        <v>77</v>
      </c>
      <c r="I181" t="s">
        <v>78</v>
      </c>
      <c r="J181" t="s">
        <v>317</v>
      </c>
      <c r="K181" t="s">
        <v>62</v>
      </c>
      <c r="L181" t="s">
        <v>95</v>
      </c>
      <c r="M181" t="s">
        <v>96</v>
      </c>
      <c r="N181" t="s">
        <v>878</v>
      </c>
      <c r="O181" t="s">
        <v>98</v>
      </c>
      <c r="P181" t="str">
        <f>"INV-00116812 CT093760         "</f>
        <v xml:space="preserve">INV-00116812 CT093760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5.57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60.41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2</v>
      </c>
      <c r="BI181">
        <v>8.5</v>
      </c>
      <c r="BJ181">
        <v>25</v>
      </c>
      <c r="BK181">
        <v>25</v>
      </c>
      <c r="BL181" s="4">
        <v>198.76</v>
      </c>
      <c r="BM181" s="4">
        <v>29.81</v>
      </c>
      <c r="BN181" s="4">
        <v>228.57</v>
      </c>
      <c r="BO181" s="4">
        <v>228.57</v>
      </c>
      <c r="BQ181" t="s">
        <v>879</v>
      </c>
      <c r="BR181" t="s">
        <v>320</v>
      </c>
      <c r="BS181" s="1">
        <v>45761</v>
      </c>
      <c r="BT181" s="2">
        <v>0.69861111111111107</v>
      </c>
      <c r="BU181" t="s">
        <v>308</v>
      </c>
      <c r="BV181" t="s">
        <v>66</v>
      </c>
      <c r="BY181">
        <v>124999.32</v>
      </c>
      <c r="CA181" t="s">
        <v>607</v>
      </c>
      <c r="CC181" t="s">
        <v>96</v>
      </c>
      <c r="CD181">
        <v>2021</v>
      </c>
      <c r="CE181" t="s">
        <v>525</v>
      </c>
      <c r="CF181" s="1">
        <v>45762</v>
      </c>
      <c r="CI181">
        <v>2</v>
      </c>
      <c r="CJ181">
        <v>4</v>
      </c>
      <c r="CK181">
        <v>41</v>
      </c>
      <c r="CL181" t="s">
        <v>66</v>
      </c>
    </row>
    <row r="182" spans="1:90" x14ac:dyDescent="0.3">
      <c r="A182" t="s">
        <v>315</v>
      </c>
      <c r="B182" t="s">
        <v>316</v>
      </c>
      <c r="C182" t="s">
        <v>59</v>
      </c>
      <c r="E182" t="str">
        <f>"GAB2025461"</f>
        <v>GAB2025461</v>
      </c>
      <c r="F182" s="1">
        <v>45755</v>
      </c>
      <c r="G182">
        <v>202601</v>
      </c>
      <c r="H182" t="s">
        <v>77</v>
      </c>
      <c r="I182" t="s">
        <v>78</v>
      </c>
      <c r="J182" t="s">
        <v>317</v>
      </c>
      <c r="K182" t="s">
        <v>62</v>
      </c>
      <c r="L182" t="s">
        <v>211</v>
      </c>
      <c r="M182" t="s">
        <v>212</v>
      </c>
      <c r="N182" t="s">
        <v>880</v>
      </c>
      <c r="O182" t="s">
        <v>98</v>
      </c>
      <c r="P182" t="str">
        <f>"INV-00034490 031150           "</f>
        <v xml:space="preserve">INV-00034490 031150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5.57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42.76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0.6</v>
      </c>
      <c r="BJ182">
        <v>1.7</v>
      </c>
      <c r="BK182">
        <v>2</v>
      </c>
      <c r="BL182" s="4">
        <v>142.31</v>
      </c>
      <c r="BM182" s="4">
        <v>21.35</v>
      </c>
      <c r="BN182" s="4">
        <v>163.66</v>
      </c>
      <c r="BO182" s="4">
        <v>163.66</v>
      </c>
      <c r="BQ182" t="s">
        <v>881</v>
      </c>
      <c r="BR182" t="s">
        <v>320</v>
      </c>
      <c r="BS182" s="1">
        <v>45756</v>
      </c>
      <c r="BT182" s="2">
        <v>0.61458333333333337</v>
      </c>
      <c r="BU182" t="s">
        <v>882</v>
      </c>
      <c r="BV182" t="s">
        <v>74</v>
      </c>
      <c r="BY182">
        <v>8749.0499999999993</v>
      </c>
      <c r="CC182" t="s">
        <v>212</v>
      </c>
      <c r="CD182">
        <v>6529</v>
      </c>
      <c r="CE182" t="s">
        <v>322</v>
      </c>
      <c r="CF182" s="1">
        <v>45757</v>
      </c>
      <c r="CI182">
        <v>1</v>
      </c>
      <c r="CJ182">
        <v>1</v>
      </c>
      <c r="CK182">
        <v>41</v>
      </c>
      <c r="CL182" t="s">
        <v>66</v>
      </c>
    </row>
    <row r="183" spans="1:90" x14ac:dyDescent="0.3">
      <c r="A183" t="s">
        <v>315</v>
      </c>
      <c r="B183" t="s">
        <v>316</v>
      </c>
      <c r="C183" t="s">
        <v>59</v>
      </c>
      <c r="E183" t="str">
        <f>"GAB2025462"</f>
        <v>GAB2025462</v>
      </c>
      <c r="F183" s="1">
        <v>45755</v>
      </c>
      <c r="G183">
        <v>202601</v>
      </c>
      <c r="H183" t="s">
        <v>77</v>
      </c>
      <c r="I183" t="s">
        <v>78</v>
      </c>
      <c r="J183" t="s">
        <v>317</v>
      </c>
      <c r="K183" t="s">
        <v>62</v>
      </c>
      <c r="L183" t="s">
        <v>514</v>
      </c>
      <c r="M183" t="s">
        <v>515</v>
      </c>
      <c r="N183" t="s">
        <v>883</v>
      </c>
      <c r="O183" t="s">
        <v>98</v>
      </c>
      <c r="P183" t="str">
        <f>"INV-00116858 CT093473         "</f>
        <v xml:space="preserve">INV-00116858 CT093473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5.57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60.31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3</v>
      </c>
      <c r="BJ183">
        <v>6.1</v>
      </c>
      <c r="BK183">
        <v>7</v>
      </c>
      <c r="BL183" s="4">
        <v>198.43</v>
      </c>
      <c r="BM183" s="4">
        <v>29.76</v>
      </c>
      <c r="BN183" s="4">
        <v>228.19</v>
      </c>
      <c r="BO183" s="4">
        <v>228.19</v>
      </c>
      <c r="BQ183" t="s">
        <v>884</v>
      </c>
      <c r="BR183" t="s">
        <v>320</v>
      </c>
      <c r="BS183" s="1">
        <v>45761</v>
      </c>
      <c r="BT183" s="2">
        <v>0.70208333333333328</v>
      </c>
      <c r="BU183" t="s">
        <v>885</v>
      </c>
      <c r="BV183" t="s">
        <v>74</v>
      </c>
      <c r="BY183">
        <v>30544.92</v>
      </c>
      <c r="CC183" t="s">
        <v>515</v>
      </c>
      <c r="CD183">
        <v>5099</v>
      </c>
      <c r="CE183" t="s">
        <v>339</v>
      </c>
      <c r="CF183" s="1">
        <v>45762</v>
      </c>
      <c r="CI183">
        <v>4</v>
      </c>
      <c r="CJ183">
        <v>4</v>
      </c>
      <c r="CK183">
        <v>43</v>
      </c>
      <c r="CL183" t="s">
        <v>66</v>
      </c>
    </row>
    <row r="184" spans="1:90" x14ac:dyDescent="0.3">
      <c r="A184" t="s">
        <v>315</v>
      </c>
      <c r="B184" t="s">
        <v>316</v>
      </c>
      <c r="C184" t="s">
        <v>59</v>
      </c>
      <c r="E184" t="str">
        <f>"GAB2025465"</f>
        <v>GAB2025465</v>
      </c>
      <c r="F184" s="1">
        <v>45755</v>
      </c>
      <c r="G184">
        <v>202601</v>
      </c>
      <c r="H184" t="s">
        <v>77</v>
      </c>
      <c r="I184" t="s">
        <v>78</v>
      </c>
      <c r="J184" t="s">
        <v>317</v>
      </c>
      <c r="K184" t="s">
        <v>62</v>
      </c>
      <c r="L184" t="s">
        <v>886</v>
      </c>
      <c r="M184" t="s">
        <v>887</v>
      </c>
      <c r="N184" t="s">
        <v>888</v>
      </c>
      <c r="O184" t="s">
        <v>98</v>
      </c>
      <c r="P184" t="str">
        <f>"INV-00116860 CT093814         "</f>
        <v xml:space="preserve">INV-00116860 CT093814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5.57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60.31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5.0999999999999996</v>
      </c>
      <c r="BJ184">
        <v>12.2</v>
      </c>
      <c r="BK184">
        <v>13</v>
      </c>
      <c r="BL184" s="4">
        <v>198.43</v>
      </c>
      <c r="BM184" s="4">
        <v>29.76</v>
      </c>
      <c r="BN184" s="4">
        <v>228.19</v>
      </c>
      <c r="BO184" s="4">
        <v>228.19</v>
      </c>
      <c r="BQ184" t="s">
        <v>326</v>
      </c>
      <c r="BR184" t="s">
        <v>320</v>
      </c>
      <c r="BS184" s="1">
        <v>45758</v>
      </c>
      <c r="BT184" s="2">
        <v>0.52361111111111114</v>
      </c>
      <c r="BU184" t="s">
        <v>889</v>
      </c>
      <c r="BV184" t="s">
        <v>74</v>
      </c>
      <c r="BY184">
        <v>61063.8</v>
      </c>
      <c r="CA184" t="s">
        <v>151</v>
      </c>
      <c r="CC184" t="s">
        <v>887</v>
      </c>
      <c r="CD184">
        <v>7000</v>
      </c>
      <c r="CE184" t="s">
        <v>322</v>
      </c>
      <c r="CF184" s="1">
        <v>45763</v>
      </c>
      <c r="CI184">
        <v>5</v>
      </c>
      <c r="CJ184">
        <v>3</v>
      </c>
      <c r="CK184">
        <v>43</v>
      </c>
      <c r="CL184" t="s">
        <v>66</v>
      </c>
    </row>
    <row r="185" spans="1:90" x14ac:dyDescent="0.3">
      <c r="A185" t="s">
        <v>315</v>
      </c>
      <c r="B185" t="s">
        <v>316</v>
      </c>
      <c r="C185" t="s">
        <v>59</v>
      </c>
      <c r="E185" t="str">
        <f>"GAB2025428"</f>
        <v>GAB2025428</v>
      </c>
      <c r="F185" s="1">
        <v>45755</v>
      </c>
      <c r="G185">
        <v>202601</v>
      </c>
      <c r="H185" t="s">
        <v>77</v>
      </c>
      <c r="I185" t="s">
        <v>78</v>
      </c>
      <c r="J185" t="s">
        <v>317</v>
      </c>
      <c r="K185" t="s">
        <v>62</v>
      </c>
      <c r="L185" t="s">
        <v>77</v>
      </c>
      <c r="M185" t="s">
        <v>78</v>
      </c>
      <c r="N185" t="s">
        <v>890</v>
      </c>
      <c r="O185" t="s">
        <v>65</v>
      </c>
      <c r="P185" t="str">
        <f>"ATT:MS R WESSELS              "</f>
        <v xml:space="preserve">ATT:MS R WESSELS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17.27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1.2</v>
      </c>
      <c r="BJ185">
        <v>3.2</v>
      </c>
      <c r="BK185">
        <v>4</v>
      </c>
      <c r="BL185" s="4">
        <v>55.23</v>
      </c>
      <c r="BM185" s="4">
        <v>8.2799999999999994</v>
      </c>
      <c r="BN185" s="4">
        <v>63.51</v>
      </c>
      <c r="BO185" s="4">
        <v>63.51</v>
      </c>
      <c r="BQ185" t="s">
        <v>891</v>
      </c>
      <c r="BR185" t="s">
        <v>320</v>
      </c>
      <c r="BS185" s="1">
        <v>45756</v>
      </c>
      <c r="BT185" s="2">
        <v>0.43055555555555558</v>
      </c>
      <c r="BU185" t="s">
        <v>892</v>
      </c>
      <c r="BV185" t="s">
        <v>74</v>
      </c>
      <c r="BY185">
        <v>16087.5</v>
      </c>
      <c r="BZ185" t="s">
        <v>79</v>
      </c>
      <c r="CA185" t="s">
        <v>700</v>
      </c>
      <c r="CC185" t="s">
        <v>78</v>
      </c>
      <c r="CD185">
        <v>7551</v>
      </c>
      <c r="CE185" t="s">
        <v>893</v>
      </c>
      <c r="CF185" s="1">
        <v>45757</v>
      </c>
      <c r="CI185">
        <v>1</v>
      </c>
      <c r="CJ185">
        <v>1</v>
      </c>
      <c r="CK185">
        <v>22</v>
      </c>
      <c r="CL185" t="s">
        <v>66</v>
      </c>
    </row>
    <row r="186" spans="1:90" x14ac:dyDescent="0.3">
      <c r="A186" t="s">
        <v>315</v>
      </c>
      <c r="B186" t="s">
        <v>316</v>
      </c>
      <c r="C186" t="s">
        <v>59</v>
      </c>
      <c r="E186" t="str">
        <f>"GAB2025430"</f>
        <v>GAB2025430</v>
      </c>
      <c r="F186" s="1">
        <v>45755</v>
      </c>
      <c r="G186">
        <v>202601</v>
      </c>
      <c r="H186" t="s">
        <v>77</v>
      </c>
      <c r="I186" t="s">
        <v>78</v>
      </c>
      <c r="J186" t="s">
        <v>317</v>
      </c>
      <c r="K186" t="s">
        <v>62</v>
      </c>
      <c r="L186" t="s">
        <v>77</v>
      </c>
      <c r="M186" t="s">
        <v>78</v>
      </c>
      <c r="N186" t="s">
        <v>894</v>
      </c>
      <c r="O186" t="s">
        <v>65</v>
      </c>
      <c r="P186" t="str">
        <f>"INV-00116815 CT093779         "</f>
        <v xml:space="preserve">INV-00116815 CT093779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17.27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0.2</v>
      </c>
      <c r="BJ186">
        <v>1.6</v>
      </c>
      <c r="BK186">
        <v>2</v>
      </c>
      <c r="BL186" s="4">
        <v>55.23</v>
      </c>
      <c r="BM186" s="4">
        <v>8.2799999999999994</v>
      </c>
      <c r="BN186" s="4">
        <v>63.51</v>
      </c>
      <c r="BO186" s="4">
        <v>63.51</v>
      </c>
      <c r="BQ186" t="s">
        <v>895</v>
      </c>
      <c r="BR186" t="s">
        <v>320</v>
      </c>
      <c r="BS186" s="1">
        <v>45756</v>
      </c>
      <c r="BT186" s="2">
        <v>0.48333333333333334</v>
      </c>
      <c r="BU186" t="s">
        <v>284</v>
      </c>
      <c r="BV186" t="s">
        <v>74</v>
      </c>
      <c r="BY186">
        <v>8182.44</v>
      </c>
      <c r="BZ186" t="s">
        <v>79</v>
      </c>
      <c r="CA186" t="s">
        <v>105</v>
      </c>
      <c r="CC186" t="s">
        <v>78</v>
      </c>
      <c r="CD186">
        <v>7975</v>
      </c>
      <c r="CE186" t="s">
        <v>343</v>
      </c>
      <c r="CF186" s="1">
        <v>45757</v>
      </c>
      <c r="CI186">
        <v>1</v>
      </c>
      <c r="CJ186">
        <v>1</v>
      </c>
      <c r="CK186">
        <v>22</v>
      </c>
      <c r="CL186" t="s">
        <v>66</v>
      </c>
    </row>
    <row r="187" spans="1:90" x14ac:dyDescent="0.3">
      <c r="A187" t="s">
        <v>315</v>
      </c>
      <c r="B187" t="s">
        <v>316</v>
      </c>
      <c r="C187" t="s">
        <v>59</v>
      </c>
      <c r="E187" t="str">
        <f>"GAB2025431"</f>
        <v>GAB2025431</v>
      </c>
      <c r="F187" s="1">
        <v>45755</v>
      </c>
      <c r="G187">
        <v>202601</v>
      </c>
      <c r="H187" t="s">
        <v>77</v>
      </c>
      <c r="I187" t="s">
        <v>78</v>
      </c>
      <c r="J187" t="s">
        <v>317</v>
      </c>
      <c r="K187" t="s">
        <v>62</v>
      </c>
      <c r="L187" t="s">
        <v>91</v>
      </c>
      <c r="M187" t="s">
        <v>92</v>
      </c>
      <c r="N187" t="s">
        <v>842</v>
      </c>
      <c r="O187" t="s">
        <v>65</v>
      </c>
      <c r="P187" t="str">
        <f>"INV-00116817 CT093777         "</f>
        <v xml:space="preserve">INV-00116817 CT093777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27.64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0.1</v>
      </c>
      <c r="BJ187">
        <v>2.1</v>
      </c>
      <c r="BK187">
        <v>2.5</v>
      </c>
      <c r="BL187" s="4">
        <v>88.38</v>
      </c>
      <c r="BM187" s="4">
        <v>13.26</v>
      </c>
      <c r="BN187" s="4">
        <v>101.64</v>
      </c>
      <c r="BO187" s="4">
        <v>101.64</v>
      </c>
      <c r="BQ187" t="s">
        <v>804</v>
      </c>
      <c r="BR187" t="s">
        <v>320</v>
      </c>
      <c r="BS187" s="1">
        <v>45756</v>
      </c>
      <c r="BT187" s="2">
        <v>0.39791666666666664</v>
      </c>
      <c r="BU187" t="s">
        <v>896</v>
      </c>
      <c r="BV187" t="s">
        <v>74</v>
      </c>
      <c r="BY187">
        <v>10267.4</v>
      </c>
      <c r="BZ187" t="s">
        <v>79</v>
      </c>
      <c r="CA187" t="s">
        <v>897</v>
      </c>
      <c r="CC187" t="s">
        <v>92</v>
      </c>
      <c r="CD187" s="3" t="s">
        <v>845</v>
      </c>
      <c r="CE187" t="s">
        <v>343</v>
      </c>
      <c r="CF187" s="1">
        <v>45756</v>
      </c>
      <c r="CI187">
        <v>1</v>
      </c>
      <c r="CJ187">
        <v>1</v>
      </c>
      <c r="CK187">
        <v>21</v>
      </c>
      <c r="CL187" t="s">
        <v>66</v>
      </c>
    </row>
    <row r="188" spans="1:90" x14ac:dyDescent="0.3">
      <c r="A188" t="s">
        <v>315</v>
      </c>
      <c r="B188" t="s">
        <v>316</v>
      </c>
      <c r="C188" t="s">
        <v>59</v>
      </c>
      <c r="E188" t="str">
        <f>"GAB2025432"</f>
        <v>GAB2025432</v>
      </c>
      <c r="F188" s="1">
        <v>45755</v>
      </c>
      <c r="G188">
        <v>202601</v>
      </c>
      <c r="H188" t="s">
        <v>77</v>
      </c>
      <c r="I188" t="s">
        <v>78</v>
      </c>
      <c r="J188" t="s">
        <v>317</v>
      </c>
      <c r="K188" t="s">
        <v>62</v>
      </c>
      <c r="L188" t="s">
        <v>419</v>
      </c>
      <c r="M188" t="s">
        <v>420</v>
      </c>
      <c r="N188" t="s">
        <v>421</v>
      </c>
      <c r="O188" t="s">
        <v>65</v>
      </c>
      <c r="P188" t="str">
        <f>"INV-00116818 CT093776         "</f>
        <v xml:space="preserve">INV-00116818 CT093776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52.52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0.2</v>
      </c>
      <c r="BJ188">
        <v>2.1</v>
      </c>
      <c r="BK188">
        <v>2.5</v>
      </c>
      <c r="BL188" s="4">
        <v>167.94</v>
      </c>
      <c r="BM188" s="4">
        <v>25.19</v>
      </c>
      <c r="BN188" s="4">
        <v>193.13</v>
      </c>
      <c r="BO188" s="4">
        <v>193.13</v>
      </c>
      <c r="BQ188" t="s">
        <v>722</v>
      </c>
      <c r="BR188" t="s">
        <v>320</v>
      </c>
      <c r="BS188" s="1">
        <v>45756</v>
      </c>
      <c r="BT188" s="2">
        <v>0.43125000000000002</v>
      </c>
      <c r="BU188" t="s">
        <v>423</v>
      </c>
      <c r="BV188" t="s">
        <v>74</v>
      </c>
      <c r="BY188">
        <v>10723.8</v>
      </c>
      <c r="BZ188" t="s">
        <v>79</v>
      </c>
      <c r="CA188" t="s">
        <v>424</v>
      </c>
      <c r="CC188" t="s">
        <v>420</v>
      </c>
      <c r="CD188" s="3" t="s">
        <v>425</v>
      </c>
      <c r="CE188" t="s">
        <v>343</v>
      </c>
      <c r="CF188" s="1">
        <v>45756</v>
      </c>
      <c r="CI188">
        <v>2</v>
      </c>
      <c r="CJ188">
        <v>1</v>
      </c>
      <c r="CK188">
        <v>23</v>
      </c>
      <c r="CL188" t="s">
        <v>66</v>
      </c>
    </row>
    <row r="189" spans="1:90" x14ac:dyDescent="0.3">
      <c r="A189" t="s">
        <v>315</v>
      </c>
      <c r="B189" t="s">
        <v>316</v>
      </c>
      <c r="C189" t="s">
        <v>59</v>
      </c>
      <c r="E189" t="str">
        <f>"GAB2025433"</f>
        <v>GAB2025433</v>
      </c>
      <c r="F189" s="1">
        <v>45755</v>
      </c>
      <c r="G189">
        <v>202601</v>
      </c>
      <c r="H189" t="s">
        <v>77</v>
      </c>
      <c r="I189" t="s">
        <v>78</v>
      </c>
      <c r="J189" t="s">
        <v>317</v>
      </c>
      <c r="K189" t="s">
        <v>62</v>
      </c>
      <c r="L189" t="s">
        <v>77</v>
      </c>
      <c r="M189" t="s">
        <v>78</v>
      </c>
      <c r="N189" t="s">
        <v>459</v>
      </c>
      <c r="O189" t="s">
        <v>65</v>
      </c>
      <c r="P189" t="str">
        <f>"INV-00116819 CT093775         "</f>
        <v xml:space="preserve">INV-00116819 CT093775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17.27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0.6</v>
      </c>
      <c r="BJ189">
        <v>1.8</v>
      </c>
      <c r="BK189">
        <v>2</v>
      </c>
      <c r="BL189" s="4">
        <v>55.23</v>
      </c>
      <c r="BM189" s="4">
        <v>8.2799999999999994</v>
      </c>
      <c r="BN189" s="4">
        <v>63.51</v>
      </c>
      <c r="BO189" s="4">
        <v>63.51</v>
      </c>
      <c r="BQ189" t="s">
        <v>460</v>
      </c>
      <c r="BR189" t="s">
        <v>320</v>
      </c>
      <c r="BS189" s="1">
        <v>45756</v>
      </c>
      <c r="BT189" s="2">
        <v>0.375</v>
      </c>
      <c r="BU189" t="s">
        <v>898</v>
      </c>
      <c r="BV189" t="s">
        <v>74</v>
      </c>
      <c r="BY189">
        <v>9026.15</v>
      </c>
      <c r="BZ189" t="s">
        <v>79</v>
      </c>
      <c r="CA189" t="s">
        <v>899</v>
      </c>
      <c r="CC189" t="s">
        <v>78</v>
      </c>
      <c r="CD189">
        <v>7700</v>
      </c>
      <c r="CE189" t="s">
        <v>434</v>
      </c>
      <c r="CF189" s="1">
        <v>45758</v>
      </c>
      <c r="CI189">
        <v>1</v>
      </c>
      <c r="CJ189">
        <v>1</v>
      </c>
      <c r="CK189">
        <v>22</v>
      </c>
      <c r="CL189" t="s">
        <v>66</v>
      </c>
    </row>
    <row r="190" spans="1:90" x14ac:dyDescent="0.3">
      <c r="A190" t="s">
        <v>315</v>
      </c>
      <c r="B190" t="s">
        <v>316</v>
      </c>
      <c r="C190" t="s">
        <v>59</v>
      </c>
      <c r="E190" t="str">
        <f>"GAB2025434"</f>
        <v>GAB2025434</v>
      </c>
      <c r="F190" s="1">
        <v>45755</v>
      </c>
      <c r="G190">
        <v>202601</v>
      </c>
      <c r="H190" t="s">
        <v>77</v>
      </c>
      <c r="I190" t="s">
        <v>78</v>
      </c>
      <c r="J190" t="s">
        <v>317</v>
      </c>
      <c r="K190" t="s">
        <v>62</v>
      </c>
      <c r="L190" t="s">
        <v>63</v>
      </c>
      <c r="M190" t="s">
        <v>64</v>
      </c>
      <c r="N190" t="s">
        <v>336</v>
      </c>
      <c r="O190" t="s">
        <v>65</v>
      </c>
      <c r="P190" t="str">
        <f>"INV-00116820 CT093773         "</f>
        <v xml:space="preserve">INV-00116820 CT093773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27.64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0.2</v>
      </c>
      <c r="BJ190">
        <v>2.2000000000000002</v>
      </c>
      <c r="BK190">
        <v>2.5</v>
      </c>
      <c r="BL190" s="4">
        <v>88.38</v>
      </c>
      <c r="BM190" s="4">
        <v>13.26</v>
      </c>
      <c r="BN190" s="4">
        <v>101.64</v>
      </c>
      <c r="BO190" s="4">
        <v>101.64</v>
      </c>
      <c r="BR190" t="s">
        <v>320</v>
      </c>
      <c r="BS190" s="1">
        <v>45756</v>
      </c>
      <c r="BT190" s="2">
        <v>0.4375</v>
      </c>
      <c r="BU190" t="s">
        <v>557</v>
      </c>
      <c r="BV190" t="s">
        <v>74</v>
      </c>
      <c r="BY190">
        <v>10754.8</v>
      </c>
      <c r="BZ190" t="s">
        <v>79</v>
      </c>
      <c r="CA190" t="s">
        <v>299</v>
      </c>
      <c r="CC190" t="s">
        <v>64</v>
      </c>
      <c r="CD190">
        <v>5200</v>
      </c>
      <c r="CE190" t="s">
        <v>343</v>
      </c>
      <c r="CF190" s="1">
        <v>45756</v>
      </c>
      <c r="CI190">
        <v>1</v>
      </c>
      <c r="CJ190">
        <v>1</v>
      </c>
      <c r="CK190">
        <v>21</v>
      </c>
      <c r="CL190" t="s">
        <v>66</v>
      </c>
    </row>
    <row r="191" spans="1:90" x14ac:dyDescent="0.3">
      <c r="A191" t="s">
        <v>315</v>
      </c>
      <c r="B191" t="s">
        <v>316</v>
      </c>
      <c r="C191" t="s">
        <v>59</v>
      </c>
      <c r="E191" t="str">
        <f>"GAB2025435"</f>
        <v>GAB2025435</v>
      </c>
      <c r="F191" s="1">
        <v>45755</v>
      </c>
      <c r="G191">
        <v>202601</v>
      </c>
      <c r="H191" t="s">
        <v>77</v>
      </c>
      <c r="I191" t="s">
        <v>78</v>
      </c>
      <c r="J191" t="s">
        <v>317</v>
      </c>
      <c r="K191" t="s">
        <v>62</v>
      </c>
      <c r="L191" t="s">
        <v>77</v>
      </c>
      <c r="M191" t="s">
        <v>78</v>
      </c>
      <c r="N191" t="s">
        <v>601</v>
      </c>
      <c r="O191" t="s">
        <v>65</v>
      </c>
      <c r="P191" t="str">
        <f>"INV-00116822 CT093427         "</f>
        <v xml:space="preserve">INV-00116822 CT093427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17.27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16.739999999999998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0.5</v>
      </c>
      <c r="BJ191">
        <v>2.5</v>
      </c>
      <c r="BK191">
        <v>3</v>
      </c>
      <c r="BL191" s="4">
        <v>71.97</v>
      </c>
      <c r="BM191" s="4">
        <v>10.8</v>
      </c>
      <c r="BN191" s="4">
        <v>82.77</v>
      </c>
      <c r="BO191" s="4">
        <v>82.77</v>
      </c>
      <c r="BR191" t="s">
        <v>320</v>
      </c>
      <c r="BS191" s="1">
        <v>45756</v>
      </c>
      <c r="BT191" s="2">
        <v>0.43888888888888888</v>
      </c>
      <c r="BU191" t="s">
        <v>602</v>
      </c>
      <c r="BV191" t="s">
        <v>74</v>
      </c>
      <c r="BY191">
        <v>12474</v>
      </c>
      <c r="BZ191" t="s">
        <v>97</v>
      </c>
      <c r="CA191" t="s">
        <v>603</v>
      </c>
      <c r="CC191" t="s">
        <v>78</v>
      </c>
      <c r="CD191">
        <v>7784</v>
      </c>
      <c r="CE191" t="s">
        <v>412</v>
      </c>
      <c r="CF191" s="1">
        <v>45757</v>
      </c>
      <c r="CI191">
        <v>1</v>
      </c>
      <c r="CJ191">
        <v>1</v>
      </c>
      <c r="CK191">
        <v>22</v>
      </c>
      <c r="CL191" t="s">
        <v>66</v>
      </c>
    </row>
    <row r="192" spans="1:90" x14ac:dyDescent="0.3">
      <c r="A192" t="s">
        <v>315</v>
      </c>
      <c r="B192" t="s">
        <v>316</v>
      </c>
      <c r="C192" t="s">
        <v>59</v>
      </c>
      <c r="E192" t="str">
        <f>"GAB2025436"</f>
        <v>GAB2025436</v>
      </c>
      <c r="F192" s="1">
        <v>45755</v>
      </c>
      <c r="G192">
        <v>202601</v>
      </c>
      <c r="H192" t="s">
        <v>77</v>
      </c>
      <c r="I192" t="s">
        <v>78</v>
      </c>
      <c r="J192" t="s">
        <v>317</v>
      </c>
      <c r="K192" t="s">
        <v>62</v>
      </c>
      <c r="L192" t="s">
        <v>406</v>
      </c>
      <c r="M192" t="s">
        <v>407</v>
      </c>
      <c r="N192" t="s">
        <v>408</v>
      </c>
      <c r="O192" t="s">
        <v>65</v>
      </c>
      <c r="P192" t="str">
        <f>"INV-00116821 CT093778         "</f>
        <v xml:space="preserve">INV-00116821 CT093778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52.52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0.1</v>
      </c>
      <c r="BJ192">
        <v>2.2999999999999998</v>
      </c>
      <c r="BK192">
        <v>2.5</v>
      </c>
      <c r="BL192" s="4">
        <v>167.94</v>
      </c>
      <c r="BM192" s="4">
        <v>25.19</v>
      </c>
      <c r="BN192" s="4">
        <v>193.13</v>
      </c>
      <c r="BO192" s="4">
        <v>193.13</v>
      </c>
      <c r="BQ192" t="s">
        <v>409</v>
      </c>
      <c r="BR192" t="s">
        <v>320</v>
      </c>
      <c r="BS192" s="1">
        <v>45756</v>
      </c>
      <c r="BT192" s="2">
        <v>0.71458333333333335</v>
      </c>
      <c r="BU192" t="s">
        <v>900</v>
      </c>
      <c r="BV192" t="s">
        <v>74</v>
      </c>
      <c r="BY192">
        <v>11642.4</v>
      </c>
      <c r="BZ192" t="s">
        <v>79</v>
      </c>
      <c r="CC192" t="s">
        <v>407</v>
      </c>
      <c r="CD192">
        <v>2515</v>
      </c>
      <c r="CE192" t="s">
        <v>393</v>
      </c>
      <c r="CF192" s="1">
        <v>45756</v>
      </c>
      <c r="CI192">
        <v>1</v>
      </c>
      <c r="CJ192">
        <v>1</v>
      </c>
      <c r="CK192">
        <v>23</v>
      </c>
      <c r="CL192" t="s">
        <v>66</v>
      </c>
    </row>
    <row r="193" spans="1:90" x14ac:dyDescent="0.3">
      <c r="A193" t="s">
        <v>315</v>
      </c>
      <c r="B193" t="s">
        <v>316</v>
      </c>
      <c r="C193" t="s">
        <v>59</v>
      </c>
      <c r="E193" t="str">
        <f>"GAB2025437"</f>
        <v>GAB2025437</v>
      </c>
      <c r="F193" s="1">
        <v>45755</v>
      </c>
      <c r="G193">
        <v>202601</v>
      </c>
      <c r="H193" t="s">
        <v>77</v>
      </c>
      <c r="I193" t="s">
        <v>78</v>
      </c>
      <c r="J193" t="s">
        <v>317</v>
      </c>
      <c r="K193" t="s">
        <v>62</v>
      </c>
      <c r="L193" t="s">
        <v>63</v>
      </c>
      <c r="M193" t="s">
        <v>64</v>
      </c>
      <c r="N193" t="s">
        <v>901</v>
      </c>
      <c r="O193" t="s">
        <v>65</v>
      </c>
      <c r="P193" t="str">
        <f>"INV-00116832 CT093793         "</f>
        <v xml:space="preserve">INV-00116832 CT093793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22.11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0.1</v>
      </c>
      <c r="BJ193">
        <v>2</v>
      </c>
      <c r="BK193">
        <v>2</v>
      </c>
      <c r="BL193" s="4">
        <v>70.709999999999994</v>
      </c>
      <c r="BM193" s="4">
        <v>10.61</v>
      </c>
      <c r="BN193" s="4">
        <v>81.319999999999993</v>
      </c>
      <c r="BO193" s="4">
        <v>81.319999999999993</v>
      </c>
      <c r="BQ193" t="s">
        <v>902</v>
      </c>
      <c r="BR193" t="s">
        <v>320</v>
      </c>
      <c r="BS193" s="1">
        <v>45756</v>
      </c>
      <c r="BT193" s="2">
        <v>0.46319444444444446</v>
      </c>
      <c r="BU193" t="s">
        <v>903</v>
      </c>
      <c r="BV193" t="s">
        <v>66</v>
      </c>
      <c r="BY193">
        <v>10097.01</v>
      </c>
      <c r="BZ193" t="s">
        <v>79</v>
      </c>
      <c r="CA193" t="s">
        <v>904</v>
      </c>
      <c r="CC193" t="s">
        <v>64</v>
      </c>
      <c r="CD193">
        <v>5241</v>
      </c>
      <c r="CE193" t="s">
        <v>393</v>
      </c>
      <c r="CF193" s="1">
        <v>45756</v>
      </c>
      <c r="CI193">
        <v>1</v>
      </c>
      <c r="CJ193">
        <v>1</v>
      </c>
      <c r="CK193">
        <v>21</v>
      </c>
      <c r="CL193" t="s">
        <v>66</v>
      </c>
    </row>
    <row r="194" spans="1:90" x14ac:dyDescent="0.3">
      <c r="A194" t="s">
        <v>315</v>
      </c>
      <c r="B194" t="s">
        <v>316</v>
      </c>
      <c r="C194" t="s">
        <v>59</v>
      </c>
      <c r="E194" t="str">
        <f>"GAB2025439"</f>
        <v>GAB2025439</v>
      </c>
      <c r="F194" s="1">
        <v>45755</v>
      </c>
      <c r="G194">
        <v>202601</v>
      </c>
      <c r="H194" t="s">
        <v>77</v>
      </c>
      <c r="I194" t="s">
        <v>78</v>
      </c>
      <c r="J194" t="s">
        <v>317</v>
      </c>
      <c r="K194" t="s">
        <v>62</v>
      </c>
      <c r="L194" t="s">
        <v>77</v>
      </c>
      <c r="M194" t="s">
        <v>78</v>
      </c>
      <c r="N194" t="s">
        <v>554</v>
      </c>
      <c r="O194" t="s">
        <v>65</v>
      </c>
      <c r="P194" t="str">
        <f>"INV-00116834 CT093797         "</f>
        <v xml:space="preserve">INV-00116834 CT093797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17.27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0.3</v>
      </c>
      <c r="BJ194">
        <v>2.7</v>
      </c>
      <c r="BK194">
        <v>3</v>
      </c>
      <c r="BL194" s="4">
        <v>55.23</v>
      </c>
      <c r="BM194" s="4">
        <v>8.2799999999999994</v>
      </c>
      <c r="BN194" s="4">
        <v>63.51</v>
      </c>
      <c r="BO194" s="4">
        <v>63.51</v>
      </c>
      <c r="BQ194" t="s">
        <v>156</v>
      </c>
      <c r="BR194" t="s">
        <v>320</v>
      </c>
      <c r="BS194" s="1">
        <v>45756</v>
      </c>
      <c r="BT194" s="2">
        <v>0.39513888888888887</v>
      </c>
      <c r="BU194" t="s">
        <v>905</v>
      </c>
      <c r="BV194" t="s">
        <v>74</v>
      </c>
      <c r="BY194">
        <v>13541.64</v>
      </c>
      <c r="BZ194" t="s">
        <v>79</v>
      </c>
      <c r="CA194" t="s">
        <v>906</v>
      </c>
      <c r="CC194" t="s">
        <v>78</v>
      </c>
      <c r="CD194">
        <v>7441</v>
      </c>
      <c r="CE194" t="s">
        <v>389</v>
      </c>
      <c r="CF194" s="1">
        <v>45757</v>
      </c>
      <c r="CI194">
        <v>1</v>
      </c>
      <c r="CJ194">
        <v>1</v>
      </c>
      <c r="CK194">
        <v>22</v>
      </c>
      <c r="CL194" t="s">
        <v>66</v>
      </c>
    </row>
    <row r="195" spans="1:90" x14ac:dyDescent="0.3">
      <c r="A195" t="s">
        <v>315</v>
      </c>
      <c r="B195" t="s">
        <v>316</v>
      </c>
      <c r="C195" t="s">
        <v>59</v>
      </c>
      <c r="E195" t="str">
        <f>"GAB2025440"</f>
        <v>GAB2025440</v>
      </c>
      <c r="F195" s="1">
        <v>45755</v>
      </c>
      <c r="G195">
        <v>202601</v>
      </c>
      <c r="H195" t="s">
        <v>77</v>
      </c>
      <c r="I195" t="s">
        <v>78</v>
      </c>
      <c r="J195" t="s">
        <v>317</v>
      </c>
      <c r="K195" t="s">
        <v>62</v>
      </c>
      <c r="L195" t="s">
        <v>133</v>
      </c>
      <c r="M195" t="s">
        <v>134</v>
      </c>
      <c r="N195" t="s">
        <v>907</v>
      </c>
      <c r="O195" t="s">
        <v>65</v>
      </c>
      <c r="P195" t="str">
        <f>"INV-00116835 CT093795         "</f>
        <v xml:space="preserve">INV-00116835 CT093795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31.1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0.1</v>
      </c>
      <c r="BJ195">
        <v>2</v>
      </c>
      <c r="BK195">
        <v>2</v>
      </c>
      <c r="BL195" s="4">
        <v>99.45</v>
      </c>
      <c r="BM195" s="4">
        <v>14.92</v>
      </c>
      <c r="BN195" s="4">
        <v>114.37</v>
      </c>
      <c r="BO195" s="4">
        <v>114.37</v>
      </c>
      <c r="BQ195" t="s">
        <v>835</v>
      </c>
      <c r="BR195" t="s">
        <v>320</v>
      </c>
      <c r="BS195" s="1">
        <v>45756</v>
      </c>
      <c r="BT195" s="2">
        <v>0.56597222222222221</v>
      </c>
      <c r="BU195" t="s">
        <v>300</v>
      </c>
      <c r="BV195" t="s">
        <v>74</v>
      </c>
      <c r="BY195">
        <v>9756.5</v>
      </c>
      <c r="BZ195" t="s">
        <v>79</v>
      </c>
      <c r="CA195" t="s">
        <v>182</v>
      </c>
      <c r="CC195" t="s">
        <v>134</v>
      </c>
      <c r="CD195">
        <v>6850</v>
      </c>
      <c r="CE195" t="s">
        <v>343</v>
      </c>
      <c r="CF195" s="1">
        <v>45757</v>
      </c>
      <c r="CI195">
        <v>2</v>
      </c>
      <c r="CJ195">
        <v>1</v>
      </c>
      <c r="CK195">
        <v>24</v>
      </c>
      <c r="CL195" t="s">
        <v>66</v>
      </c>
    </row>
    <row r="196" spans="1:90" x14ac:dyDescent="0.3">
      <c r="A196" t="s">
        <v>315</v>
      </c>
      <c r="B196" t="s">
        <v>316</v>
      </c>
      <c r="C196" t="s">
        <v>59</v>
      </c>
      <c r="E196" t="str">
        <f>"GAB2025441"</f>
        <v>GAB2025441</v>
      </c>
      <c r="F196" s="1">
        <v>45755</v>
      </c>
      <c r="G196">
        <v>202601</v>
      </c>
      <c r="H196" t="s">
        <v>77</v>
      </c>
      <c r="I196" t="s">
        <v>78</v>
      </c>
      <c r="J196" t="s">
        <v>317</v>
      </c>
      <c r="K196" t="s">
        <v>62</v>
      </c>
      <c r="L196" t="s">
        <v>183</v>
      </c>
      <c r="M196" t="s">
        <v>184</v>
      </c>
      <c r="N196" t="s">
        <v>375</v>
      </c>
      <c r="O196" t="s">
        <v>65</v>
      </c>
      <c r="P196" t="str">
        <f>"INV-00116836 CT093791         "</f>
        <v xml:space="preserve">INV-00116836 CT093791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42.84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0.5</v>
      </c>
      <c r="BJ196">
        <v>1.7</v>
      </c>
      <c r="BK196">
        <v>2</v>
      </c>
      <c r="BL196" s="4">
        <v>137</v>
      </c>
      <c r="BM196" s="4">
        <v>20.55</v>
      </c>
      <c r="BN196" s="4">
        <v>157.55000000000001</v>
      </c>
      <c r="BO196" s="4">
        <v>157.55000000000001</v>
      </c>
      <c r="BQ196" t="s">
        <v>376</v>
      </c>
      <c r="BR196" t="s">
        <v>320</v>
      </c>
      <c r="BS196" s="1">
        <v>45756</v>
      </c>
      <c r="BT196" s="2">
        <v>0.50069444444444444</v>
      </c>
      <c r="BU196" t="s">
        <v>683</v>
      </c>
      <c r="BV196" t="s">
        <v>74</v>
      </c>
      <c r="BY196">
        <v>8598.26</v>
      </c>
      <c r="BZ196" t="s">
        <v>79</v>
      </c>
      <c r="CA196" t="s">
        <v>185</v>
      </c>
      <c r="CC196" t="s">
        <v>184</v>
      </c>
      <c r="CD196" s="3" t="s">
        <v>186</v>
      </c>
      <c r="CE196" t="s">
        <v>434</v>
      </c>
      <c r="CF196" s="1">
        <v>45757</v>
      </c>
      <c r="CI196">
        <v>2</v>
      </c>
      <c r="CJ196">
        <v>1</v>
      </c>
      <c r="CK196">
        <v>23</v>
      </c>
      <c r="CL196" t="s">
        <v>66</v>
      </c>
    </row>
    <row r="197" spans="1:90" x14ac:dyDescent="0.3">
      <c r="A197" t="s">
        <v>315</v>
      </c>
      <c r="B197" t="s">
        <v>316</v>
      </c>
      <c r="C197" t="s">
        <v>59</v>
      </c>
      <c r="E197" t="str">
        <f>"GAB2025442"</f>
        <v>GAB2025442</v>
      </c>
      <c r="F197" s="1">
        <v>45755</v>
      </c>
      <c r="G197">
        <v>202601</v>
      </c>
      <c r="H197" t="s">
        <v>77</v>
      </c>
      <c r="I197" t="s">
        <v>78</v>
      </c>
      <c r="J197" t="s">
        <v>317</v>
      </c>
      <c r="K197" t="s">
        <v>62</v>
      </c>
      <c r="L197" t="s">
        <v>63</v>
      </c>
      <c r="M197" t="s">
        <v>64</v>
      </c>
      <c r="N197" t="s">
        <v>908</v>
      </c>
      <c r="O197" t="s">
        <v>65</v>
      </c>
      <c r="P197" t="str">
        <f>"INV-00034464 031767           "</f>
        <v xml:space="preserve">INV-00034464 031767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22.11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0.1</v>
      </c>
      <c r="BJ197">
        <v>2</v>
      </c>
      <c r="BK197">
        <v>2</v>
      </c>
      <c r="BL197" s="4">
        <v>70.709999999999994</v>
      </c>
      <c r="BM197" s="4">
        <v>10.61</v>
      </c>
      <c r="BN197" s="4">
        <v>81.319999999999993</v>
      </c>
      <c r="BO197" s="4">
        <v>81.319999999999993</v>
      </c>
      <c r="BQ197" t="s">
        <v>909</v>
      </c>
      <c r="BR197" t="s">
        <v>320</v>
      </c>
      <c r="BS197" s="1">
        <v>45756</v>
      </c>
      <c r="BT197" s="2">
        <v>0.4375</v>
      </c>
      <c r="BU197" t="s">
        <v>233</v>
      </c>
      <c r="BV197" t="s">
        <v>74</v>
      </c>
      <c r="BY197">
        <v>10079.469999999999</v>
      </c>
      <c r="BZ197" t="s">
        <v>79</v>
      </c>
      <c r="CA197" t="s">
        <v>904</v>
      </c>
      <c r="CC197" t="s">
        <v>64</v>
      </c>
      <c r="CD197">
        <v>5200</v>
      </c>
      <c r="CE197" t="s">
        <v>393</v>
      </c>
      <c r="CF197" s="1">
        <v>45756</v>
      </c>
      <c r="CI197">
        <v>1</v>
      </c>
      <c r="CJ197">
        <v>1</v>
      </c>
      <c r="CK197">
        <v>21</v>
      </c>
      <c r="CL197" t="s">
        <v>66</v>
      </c>
    </row>
    <row r="198" spans="1:90" x14ac:dyDescent="0.3">
      <c r="A198" t="s">
        <v>315</v>
      </c>
      <c r="B198" t="s">
        <v>316</v>
      </c>
      <c r="C198" t="s">
        <v>59</v>
      </c>
      <c r="E198" t="str">
        <f>"GAB2025443"</f>
        <v>GAB2025443</v>
      </c>
      <c r="F198" s="1">
        <v>45755</v>
      </c>
      <c r="G198">
        <v>202601</v>
      </c>
      <c r="H198" t="s">
        <v>77</v>
      </c>
      <c r="I198" t="s">
        <v>78</v>
      </c>
      <c r="J198" t="s">
        <v>317</v>
      </c>
      <c r="K198" t="s">
        <v>62</v>
      </c>
      <c r="L198" t="s">
        <v>95</v>
      </c>
      <c r="M198" t="s">
        <v>96</v>
      </c>
      <c r="N198" t="s">
        <v>595</v>
      </c>
      <c r="O198" t="s">
        <v>65</v>
      </c>
      <c r="P198" t="str">
        <f>"INV-00034465 031760           "</f>
        <v xml:space="preserve">INV-00034465 031760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22.11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0.1</v>
      </c>
      <c r="BJ198">
        <v>2</v>
      </c>
      <c r="BK198">
        <v>2</v>
      </c>
      <c r="BL198" s="4">
        <v>70.709999999999994</v>
      </c>
      <c r="BM198" s="4">
        <v>10.61</v>
      </c>
      <c r="BN198" s="4">
        <v>81.319999999999993</v>
      </c>
      <c r="BO198" s="4">
        <v>81.319999999999993</v>
      </c>
      <c r="BQ198" t="s">
        <v>440</v>
      </c>
      <c r="BR198" t="s">
        <v>320</v>
      </c>
      <c r="BS198" s="1">
        <v>45756</v>
      </c>
      <c r="BT198" s="2">
        <v>0.39861111111111114</v>
      </c>
      <c r="BU198" t="s">
        <v>910</v>
      </c>
      <c r="BV198" t="s">
        <v>74</v>
      </c>
      <c r="BY198">
        <v>10165.32</v>
      </c>
      <c r="BZ198" t="s">
        <v>79</v>
      </c>
      <c r="CA198" t="s">
        <v>911</v>
      </c>
      <c r="CC198" t="s">
        <v>96</v>
      </c>
      <c r="CD198">
        <v>2193</v>
      </c>
      <c r="CE198" t="s">
        <v>343</v>
      </c>
      <c r="CF198" s="1">
        <v>45756</v>
      </c>
      <c r="CI198">
        <v>1</v>
      </c>
      <c r="CJ198">
        <v>1</v>
      </c>
      <c r="CK198">
        <v>21</v>
      </c>
      <c r="CL198" t="s">
        <v>66</v>
      </c>
    </row>
    <row r="199" spans="1:90" x14ac:dyDescent="0.3">
      <c r="A199" t="s">
        <v>315</v>
      </c>
      <c r="B199" t="s">
        <v>316</v>
      </c>
      <c r="C199" t="s">
        <v>59</v>
      </c>
      <c r="E199" t="str">
        <f>"GAB2025444"</f>
        <v>GAB2025444</v>
      </c>
      <c r="F199" s="1">
        <v>45755</v>
      </c>
      <c r="G199">
        <v>202601</v>
      </c>
      <c r="H199" t="s">
        <v>77</v>
      </c>
      <c r="I199" t="s">
        <v>78</v>
      </c>
      <c r="J199" t="s">
        <v>317</v>
      </c>
      <c r="K199" t="s">
        <v>62</v>
      </c>
      <c r="L199" t="s">
        <v>89</v>
      </c>
      <c r="M199" t="s">
        <v>90</v>
      </c>
      <c r="N199" t="s">
        <v>790</v>
      </c>
      <c r="O199" t="s">
        <v>65</v>
      </c>
      <c r="P199" t="str">
        <f>"INV-00034466 031794           "</f>
        <v xml:space="preserve">INV-00034466 031794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22.11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0.1</v>
      </c>
      <c r="BJ199">
        <v>1.7</v>
      </c>
      <c r="BK199">
        <v>2</v>
      </c>
      <c r="BL199" s="4">
        <v>70.709999999999994</v>
      </c>
      <c r="BM199" s="4">
        <v>10.61</v>
      </c>
      <c r="BN199" s="4">
        <v>81.319999999999993</v>
      </c>
      <c r="BO199" s="4">
        <v>81.319999999999993</v>
      </c>
      <c r="BQ199" t="s">
        <v>791</v>
      </c>
      <c r="BR199" t="s">
        <v>320</v>
      </c>
      <c r="BS199" s="1">
        <v>45757</v>
      </c>
      <c r="BT199" s="2">
        <v>0.42638888888888887</v>
      </c>
      <c r="BU199" t="s">
        <v>241</v>
      </c>
      <c r="BV199" t="s">
        <v>74</v>
      </c>
      <c r="BY199">
        <v>8673.2800000000007</v>
      </c>
      <c r="BZ199" t="s">
        <v>79</v>
      </c>
      <c r="CA199" t="s">
        <v>232</v>
      </c>
      <c r="CC199" t="s">
        <v>90</v>
      </c>
      <c r="CD199">
        <v>3629</v>
      </c>
      <c r="CE199" t="s">
        <v>393</v>
      </c>
      <c r="CF199" s="1">
        <v>45758</v>
      </c>
      <c r="CI199">
        <v>2</v>
      </c>
      <c r="CJ199">
        <v>2</v>
      </c>
      <c r="CK199">
        <v>21</v>
      </c>
      <c r="CL199" t="s">
        <v>66</v>
      </c>
    </row>
    <row r="200" spans="1:90" x14ac:dyDescent="0.3">
      <c r="A200" t="s">
        <v>315</v>
      </c>
      <c r="B200" t="s">
        <v>316</v>
      </c>
      <c r="C200" t="s">
        <v>59</v>
      </c>
      <c r="E200" t="str">
        <f>"GAB2025445"</f>
        <v>GAB2025445</v>
      </c>
      <c r="F200" s="1">
        <v>45755</v>
      </c>
      <c r="G200">
        <v>202601</v>
      </c>
      <c r="H200" t="s">
        <v>77</v>
      </c>
      <c r="I200" t="s">
        <v>78</v>
      </c>
      <c r="J200" t="s">
        <v>317</v>
      </c>
      <c r="K200" t="s">
        <v>62</v>
      </c>
      <c r="L200" t="s">
        <v>60</v>
      </c>
      <c r="M200" t="s">
        <v>61</v>
      </c>
      <c r="N200" t="s">
        <v>694</v>
      </c>
      <c r="O200" t="s">
        <v>65</v>
      </c>
      <c r="P200" t="str">
        <f>"INV-00034467 031776           "</f>
        <v xml:space="preserve">INV-00034467 031776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22.11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0.5</v>
      </c>
      <c r="BJ200">
        <v>1.8</v>
      </c>
      <c r="BK200">
        <v>2</v>
      </c>
      <c r="BL200" s="4">
        <v>70.709999999999994</v>
      </c>
      <c r="BM200" s="4">
        <v>10.61</v>
      </c>
      <c r="BN200" s="4">
        <v>81.319999999999993</v>
      </c>
      <c r="BO200" s="4">
        <v>81.319999999999993</v>
      </c>
      <c r="BQ200" t="s">
        <v>695</v>
      </c>
      <c r="BR200" t="s">
        <v>320</v>
      </c>
      <c r="BS200" s="1">
        <v>45756</v>
      </c>
      <c r="BT200" s="2">
        <v>0.34444444444444444</v>
      </c>
      <c r="BU200" t="s">
        <v>912</v>
      </c>
      <c r="BV200" t="s">
        <v>74</v>
      </c>
      <c r="BY200">
        <v>8803.08</v>
      </c>
      <c r="BZ200" t="s">
        <v>79</v>
      </c>
      <c r="CA200" t="s">
        <v>913</v>
      </c>
      <c r="CC200" t="s">
        <v>61</v>
      </c>
      <c r="CD200">
        <v>1619</v>
      </c>
      <c r="CE200" t="s">
        <v>434</v>
      </c>
      <c r="CF200" s="1">
        <v>45756</v>
      </c>
      <c r="CI200">
        <v>1</v>
      </c>
      <c r="CJ200">
        <v>1</v>
      </c>
      <c r="CK200">
        <v>21</v>
      </c>
      <c r="CL200" t="s">
        <v>66</v>
      </c>
    </row>
    <row r="201" spans="1:90" x14ac:dyDescent="0.3">
      <c r="A201" t="s">
        <v>315</v>
      </c>
      <c r="B201" t="s">
        <v>316</v>
      </c>
      <c r="C201" t="s">
        <v>59</v>
      </c>
      <c r="E201" t="str">
        <f>"GAB2025446"</f>
        <v>GAB2025446</v>
      </c>
      <c r="F201" s="1">
        <v>45755</v>
      </c>
      <c r="G201">
        <v>202601</v>
      </c>
      <c r="H201" t="s">
        <v>77</v>
      </c>
      <c r="I201" t="s">
        <v>78</v>
      </c>
      <c r="J201" t="s">
        <v>317</v>
      </c>
      <c r="K201" t="s">
        <v>62</v>
      </c>
      <c r="L201" t="s">
        <v>419</v>
      </c>
      <c r="M201" t="s">
        <v>420</v>
      </c>
      <c r="N201" t="s">
        <v>914</v>
      </c>
      <c r="O201" t="s">
        <v>65</v>
      </c>
      <c r="P201" t="str">
        <f>"INV-00116837 CT093790         "</f>
        <v xml:space="preserve">INV-00116837 CT093790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62.19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0.2</v>
      </c>
      <c r="BJ201">
        <v>2.7</v>
      </c>
      <c r="BK201">
        <v>3</v>
      </c>
      <c r="BL201" s="4">
        <v>198.87</v>
      </c>
      <c r="BM201" s="4">
        <v>29.83</v>
      </c>
      <c r="BN201" s="4">
        <v>228.7</v>
      </c>
      <c r="BO201" s="4">
        <v>228.7</v>
      </c>
      <c r="BQ201" t="s">
        <v>915</v>
      </c>
      <c r="BR201" t="s">
        <v>320</v>
      </c>
      <c r="BS201" s="1">
        <v>45756</v>
      </c>
      <c r="BT201" s="2">
        <v>0.6333333333333333</v>
      </c>
      <c r="BU201" t="s">
        <v>916</v>
      </c>
      <c r="BV201" t="s">
        <v>74</v>
      </c>
      <c r="BY201">
        <v>13440</v>
      </c>
      <c r="BZ201" t="s">
        <v>79</v>
      </c>
      <c r="CA201" t="s">
        <v>917</v>
      </c>
      <c r="CC201" t="s">
        <v>420</v>
      </c>
      <c r="CD201" s="3" t="s">
        <v>425</v>
      </c>
      <c r="CE201" t="s">
        <v>389</v>
      </c>
      <c r="CF201" s="1">
        <v>45756</v>
      </c>
      <c r="CI201">
        <v>2</v>
      </c>
      <c r="CJ201">
        <v>1</v>
      </c>
      <c r="CK201">
        <v>23</v>
      </c>
      <c r="CL201" t="s">
        <v>66</v>
      </c>
    </row>
    <row r="202" spans="1:90" x14ac:dyDescent="0.3">
      <c r="A202" t="s">
        <v>315</v>
      </c>
      <c r="B202" t="s">
        <v>316</v>
      </c>
      <c r="C202" t="s">
        <v>59</v>
      </c>
      <c r="E202" t="str">
        <f>"GAB2025447"</f>
        <v>GAB2025447</v>
      </c>
      <c r="F202" s="1">
        <v>45755</v>
      </c>
      <c r="G202">
        <v>202601</v>
      </c>
      <c r="H202" t="s">
        <v>77</v>
      </c>
      <c r="I202" t="s">
        <v>78</v>
      </c>
      <c r="J202" t="s">
        <v>317</v>
      </c>
      <c r="K202" t="s">
        <v>62</v>
      </c>
      <c r="L202" t="s">
        <v>95</v>
      </c>
      <c r="M202" t="s">
        <v>96</v>
      </c>
      <c r="N202" t="s">
        <v>465</v>
      </c>
      <c r="O202" t="s">
        <v>65</v>
      </c>
      <c r="P202" t="str">
        <f>"INV-00034480 031756           "</f>
        <v xml:space="preserve">INV-00034480 031756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33.159999999999997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3</v>
      </c>
      <c r="BK202">
        <v>3</v>
      </c>
      <c r="BL202" s="4">
        <v>106.04</v>
      </c>
      <c r="BM202" s="4">
        <v>15.91</v>
      </c>
      <c r="BN202" s="4">
        <v>121.95</v>
      </c>
      <c r="BO202" s="4">
        <v>121.95</v>
      </c>
      <c r="BQ202" t="s">
        <v>466</v>
      </c>
      <c r="BR202" t="s">
        <v>320</v>
      </c>
      <c r="BS202" s="1">
        <v>45756</v>
      </c>
      <c r="BT202" s="2">
        <v>0.35069444444444442</v>
      </c>
      <c r="BU202" t="s">
        <v>918</v>
      </c>
      <c r="BV202" t="s">
        <v>74</v>
      </c>
      <c r="BY202">
        <v>14778.4</v>
      </c>
      <c r="BZ202" t="s">
        <v>79</v>
      </c>
      <c r="CA202" t="s">
        <v>911</v>
      </c>
      <c r="CC202" t="s">
        <v>96</v>
      </c>
      <c r="CD202">
        <v>2000</v>
      </c>
      <c r="CE202" t="s">
        <v>393</v>
      </c>
      <c r="CF202" s="1">
        <v>45756</v>
      </c>
      <c r="CI202">
        <v>1</v>
      </c>
      <c r="CJ202">
        <v>1</v>
      </c>
      <c r="CK202">
        <v>21</v>
      </c>
      <c r="CL202" t="s">
        <v>66</v>
      </c>
    </row>
    <row r="203" spans="1:90" x14ac:dyDescent="0.3">
      <c r="A203" t="s">
        <v>315</v>
      </c>
      <c r="B203" t="s">
        <v>316</v>
      </c>
      <c r="C203" t="s">
        <v>59</v>
      </c>
      <c r="E203" t="str">
        <f>"GAB2025448"</f>
        <v>GAB2025448</v>
      </c>
      <c r="F203" s="1">
        <v>45755</v>
      </c>
      <c r="G203">
        <v>202601</v>
      </c>
      <c r="H203" t="s">
        <v>77</v>
      </c>
      <c r="I203" t="s">
        <v>78</v>
      </c>
      <c r="J203" t="s">
        <v>317</v>
      </c>
      <c r="K203" t="s">
        <v>62</v>
      </c>
      <c r="L203" t="s">
        <v>126</v>
      </c>
      <c r="M203" t="s">
        <v>127</v>
      </c>
      <c r="N203" t="s">
        <v>919</v>
      </c>
      <c r="O203" t="s">
        <v>65</v>
      </c>
      <c r="P203" t="str">
        <f>"INV-00034481 031764           "</f>
        <v xml:space="preserve">INV-00034481 031764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33.159999999999997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0.1</v>
      </c>
      <c r="BJ203">
        <v>2.7</v>
      </c>
      <c r="BK203">
        <v>3</v>
      </c>
      <c r="BL203" s="4">
        <v>106.04</v>
      </c>
      <c r="BM203" s="4">
        <v>15.91</v>
      </c>
      <c r="BN203" s="4">
        <v>121.95</v>
      </c>
      <c r="BO203" s="4">
        <v>121.95</v>
      </c>
      <c r="BQ203" t="s">
        <v>920</v>
      </c>
      <c r="BR203" t="s">
        <v>320</v>
      </c>
      <c r="BS203" s="1">
        <v>45756</v>
      </c>
      <c r="BT203" s="2">
        <v>0.36180555555555555</v>
      </c>
      <c r="BU203" t="s">
        <v>921</v>
      </c>
      <c r="BV203" t="s">
        <v>74</v>
      </c>
      <c r="BY203">
        <v>13305.6</v>
      </c>
      <c r="BZ203" t="s">
        <v>79</v>
      </c>
      <c r="CA203" t="s">
        <v>922</v>
      </c>
      <c r="CC203" t="s">
        <v>127</v>
      </c>
      <c r="CD203">
        <v>1709</v>
      </c>
      <c r="CE203" t="s">
        <v>343</v>
      </c>
      <c r="CF203" s="1">
        <v>45757</v>
      </c>
      <c r="CI203">
        <v>1</v>
      </c>
      <c r="CJ203">
        <v>1</v>
      </c>
      <c r="CK203">
        <v>21</v>
      </c>
      <c r="CL203" t="s">
        <v>66</v>
      </c>
    </row>
    <row r="204" spans="1:90" x14ac:dyDescent="0.3">
      <c r="A204" t="s">
        <v>315</v>
      </c>
      <c r="B204" t="s">
        <v>316</v>
      </c>
      <c r="C204" t="s">
        <v>59</v>
      </c>
      <c r="E204" t="str">
        <f>"GAB2025449"</f>
        <v>GAB2025449</v>
      </c>
      <c r="F204" s="1">
        <v>45755</v>
      </c>
      <c r="G204">
        <v>202601</v>
      </c>
      <c r="H204" t="s">
        <v>77</v>
      </c>
      <c r="I204" t="s">
        <v>78</v>
      </c>
      <c r="J204" t="s">
        <v>317</v>
      </c>
      <c r="K204" t="s">
        <v>62</v>
      </c>
      <c r="L204" t="s">
        <v>95</v>
      </c>
      <c r="M204" t="s">
        <v>96</v>
      </c>
      <c r="N204" t="s">
        <v>923</v>
      </c>
      <c r="O204" t="s">
        <v>65</v>
      </c>
      <c r="P204" t="str">
        <f>"INV-00034482 031814           "</f>
        <v xml:space="preserve">INV-00034482 031814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27.64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0.3</v>
      </c>
      <c r="BJ204">
        <v>2.2000000000000002</v>
      </c>
      <c r="BK204">
        <v>2.5</v>
      </c>
      <c r="BL204" s="4">
        <v>88.38</v>
      </c>
      <c r="BM204" s="4">
        <v>13.26</v>
      </c>
      <c r="BN204" s="4">
        <v>101.64</v>
      </c>
      <c r="BO204" s="4">
        <v>101.64</v>
      </c>
      <c r="BQ204" t="s">
        <v>924</v>
      </c>
      <c r="BR204" t="s">
        <v>320</v>
      </c>
      <c r="BS204" s="1">
        <v>45756</v>
      </c>
      <c r="BT204" s="2">
        <v>0.43263888888888891</v>
      </c>
      <c r="BU204" t="s">
        <v>925</v>
      </c>
      <c r="BV204" t="s">
        <v>74</v>
      </c>
      <c r="BY204">
        <v>10939.2</v>
      </c>
      <c r="BZ204" t="s">
        <v>79</v>
      </c>
      <c r="CA204" t="s">
        <v>926</v>
      </c>
      <c r="CC204" t="s">
        <v>96</v>
      </c>
      <c r="CD204">
        <v>2001</v>
      </c>
      <c r="CE204" t="s">
        <v>389</v>
      </c>
      <c r="CF204" s="1">
        <v>45756</v>
      </c>
      <c r="CI204">
        <v>1</v>
      </c>
      <c r="CJ204">
        <v>1</v>
      </c>
      <c r="CK204">
        <v>21</v>
      </c>
      <c r="CL204" t="s">
        <v>66</v>
      </c>
    </row>
    <row r="205" spans="1:90" x14ac:dyDescent="0.3">
      <c r="A205" t="s">
        <v>315</v>
      </c>
      <c r="B205" t="s">
        <v>316</v>
      </c>
      <c r="C205" t="s">
        <v>59</v>
      </c>
      <c r="E205" t="str">
        <f>"GAB2025450"</f>
        <v>GAB2025450</v>
      </c>
      <c r="F205" s="1">
        <v>45755</v>
      </c>
      <c r="G205">
        <v>202601</v>
      </c>
      <c r="H205" t="s">
        <v>77</v>
      </c>
      <c r="I205" t="s">
        <v>78</v>
      </c>
      <c r="J205" t="s">
        <v>317</v>
      </c>
      <c r="K205" t="s">
        <v>62</v>
      </c>
      <c r="L205" t="s">
        <v>142</v>
      </c>
      <c r="M205" t="s">
        <v>143</v>
      </c>
      <c r="N205" t="s">
        <v>450</v>
      </c>
      <c r="O205" t="s">
        <v>65</v>
      </c>
      <c r="P205" t="str">
        <f>"ATT:BIANKA BASSON             "</f>
        <v xml:space="preserve">ATT:BIANKA BASSON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22.11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0.1</v>
      </c>
      <c r="BJ205">
        <v>1.8</v>
      </c>
      <c r="BK205">
        <v>2</v>
      </c>
      <c r="BL205" s="4">
        <v>70.709999999999994</v>
      </c>
      <c r="BM205" s="4">
        <v>10.61</v>
      </c>
      <c r="BN205" s="4">
        <v>81.319999999999993</v>
      </c>
      <c r="BO205" s="4">
        <v>81.319999999999993</v>
      </c>
      <c r="BQ205" t="s">
        <v>927</v>
      </c>
      <c r="BR205" t="s">
        <v>320</v>
      </c>
      <c r="BS205" s="1">
        <v>45756</v>
      </c>
      <c r="BT205" s="2">
        <v>0.37569444444444444</v>
      </c>
      <c r="BU205" t="s">
        <v>452</v>
      </c>
      <c r="BV205" t="s">
        <v>74</v>
      </c>
      <c r="BY205">
        <v>9094.89</v>
      </c>
      <c r="BZ205" t="s">
        <v>79</v>
      </c>
      <c r="CA205" t="s">
        <v>453</v>
      </c>
      <c r="CC205" t="s">
        <v>143</v>
      </c>
      <c r="CD205" s="3" t="s">
        <v>144</v>
      </c>
      <c r="CE205" t="s">
        <v>706</v>
      </c>
      <c r="CF205" s="1">
        <v>45756</v>
      </c>
      <c r="CI205">
        <v>1</v>
      </c>
      <c r="CJ205">
        <v>1</v>
      </c>
      <c r="CK205">
        <v>21</v>
      </c>
      <c r="CL205" t="s">
        <v>66</v>
      </c>
    </row>
    <row r="206" spans="1:90" x14ac:dyDescent="0.3">
      <c r="A206" t="s">
        <v>315</v>
      </c>
      <c r="B206" t="s">
        <v>316</v>
      </c>
      <c r="C206" t="s">
        <v>59</v>
      </c>
      <c r="E206" t="str">
        <f>"GAB2025451"</f>
        <v>GAB2025451</v>
      </c>
      <c r="F206" s="1">
        <v>45755</v>
      </c>
      <c r="G206">
        <v>202601</v>
      </c>
      <c r="H206" t="s">
        <v>77</v>
      </c>
      <c r="I206" t="s">
        <v>78</v>
      </c>
      <c r="J206" t="s">
        <v>317</v>
      </c>
      <c r="K206" t="s">
        <v>62</v>
      </c>
      <c r="L206" t="s">
        <v>928</v>
      </c>
      <c r="M206" t="s">
        <v>929</v>
      </c>
      <c r="N206" t="s">
        <v>930</v>
      </c>
      <c r="O206" t="s">
        <v>65</v>
      </c>
      <c r="P206" t="str">
        <f>"INV-00116851 CT093805         "</f>
        <v xml:space="preserve">INV-00116851 CT093805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52.52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0.1</v>
      </c>
      <c r="BJ206">
        <v>2.1</v>
      </c>
      <c r="BK206">
        <v>2.5</v>
      </c>
      <c r="BL206" s="4">
        <v>167.94</v>
      </c>
      <c r="BM206" s="4">
        <v>25.19</v>
      </c>
      <c r="BN206" s="4">
        <v>193.13</v>
      </c>
      <c r="BO206" s="4">
        <v>193.13</v>
      </c>
      <c r="BQ206" t="s">
        <v>931</v>
      </c>
      <c r="BR206" t="s">
        <v>320</v>
      </c>
      <c r="BS206" s="1">
        <v>45756</v>
      </c>
      <c r="BT206" s="2">
        <v>0.59791666666666665</v>
      </c>
      <c r="BU206" t="s">
        <v>932</v>
      </c>
      <c r="BV206" t="s">
        <v>74</v>
      </c>
      <c r="BY206">
        <v>10346.93</v>
      </c>
      <c r="BZ206" t="s">
        <v>79</v>
      </c>
      <c r="CA206" t="s">
        <v>933</v>
      </c>
      <c r="CC206" t="s">
        <v>929</v>
      </c>
      <c r="CD206" s="3" t="s">
        <v>934</v>
      </c>
      <c r="CE206" t="s">
        <v>393</v>
      </c>
      <c r="CF206" s="1">
        <v>45756</v>
      </c>
      <c r="CI206">
        <v>3</v>
      </c>
      <c r="CJ206">
        <v>1</v>
      </c>
      <c r="CK206">
        <v>23</v>
      </c>
      <c r="CL206" t="s">
        <v>66</v>
      </c>
    </row>
    <row r="207" spans="1:90" x14ac:dyDescent="0.3">
      <c r="A207" t="s">
        <v>315</v>
      </c>
      <c r="B207" t="s">
        <v>316</v>
      </c>
      <c r="C207" t="s">
        <v>59</v>
      </c>
      <c r="E207" t="str">
        <f>"GAB2025452"</f>
        <v>GAB2025452</v>
      </c>
      <c r="F207" s="1">
        <v>45755</v>
      </c>
      <c r="G207">
        <v>202601</v>
      </c>
      <c r="H207" t="s">
        <v>77</v>
      </c>
      <c r="I207" t="s">
        <v>78</v>
      </c>
      <c r="J207" t="s">
        <v>317</v>
      </c>
      <c r="K207" t="s">
        <v>62</v>
      </c>
      <c r="L207" t="s">
        <v>295</v>
      </c>
      <c r="M207" t="s">
        <v>296</v>
      </c>
      <c r="N207" t="s">
        <v>935</v>
      </c>
      <c r="O207" t="s">
        <v>65</v>
      </c>
      <c r="P207" t="str">
        <f>"INV-00116853 CT093800         "</f>
        <v xml:space="preserve">INV-00116853 CT093800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42.84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0.1</v>
      </c>
      <c r="BJ207">
        <v>1.7</v>
      </c>
      <c r="BK207">
        <v>2</v>
      </c>
      <c r="BL207" s="4">
        <v>137</v>
      </c>
      <c r="BM207" s="4">
        <v>20.55</v>
      </c>
      <c r="BN207" s="4">
        <v>157.55000000000001</v>
      </c>
      <c r="BO207" s="4">
        <v>157.55000000000001</v>
      </c>
      <c r="BQ207" t="s">
        <v>936</v>
      </c>
      <c r="BR207" t="s">
        <v>320</v>
      </c>
      <c r="BS207" s="1">
        <v>45756</v>
      </c>
      <c r="BT207" s="2">
        <v>0.35902777777777778</v>
      </c>
      <c r="BU207" t="s">
        <v>937</v>
      </c>
      <c r="BV207" t="s">
        <v>74</v>
      </c>
      <c r="BY207">
        <v>8556.7199999999993</v>
      </c>
      <c r="BZ207" t="s">
        <v>79</v>
      </c>
      <c r="CA207" t="s">
        <v>748</v>
      </c>
      <c r="CC207" t="s">
        <v>296</v>
      </c>
      <c r="CD207">
        <v>1039</v>
      </c>
      <c r="CE207" t="s">
        <v>343</v>
      </c>
      <c r="CF207" s="1">
        <v>45756</v>
      </c>
      <c r="CI207">
        <v>1</v>
      </c>
      <c r="CJ207">
        <v>1</v>
      </c>
      <c r="CK207">
        <v>23</v>
      </c>
      <c r="CL207" t="s">
        <v>66</v>
      </c>
    </row>
    <row r="208" spans="1:90" x14ac:dyDescent="0.3">
      <c r="A208" t="s">
        <v>315</v>
      </c>
      <c r="B208" t="s">
        <v>316</v>
      </c>
      <c r="C208" t="s">
        <v>59</v>
      </c>
      <c r="E208" t="str">
        <f>"GAB2025453"</f>
        <v>GAB2025453</v>
      </c>
      <c r="F208" s="1">
        <v>45755</v>
      </c>
      <c r="G208">
        <v>202601</v>
      </c>
      <c r="H208" t="s">
        <v>77</v>
      </c>
      <c r="I208" t="s">
        <v>78</v>
      </c>
      <c r="J208" t="s">
        <v>317</v>
      </c>
      <c r="K208" t="s">
        <v>62</v>
      </c>
      <c r="L208" t="s">
        <v>142</v>
      </c>
      <c r="M208" t="s">
        <v>143</v>
      </c>
      <c r="N208" t="s">
        <v>349</v>
      </c>
      <c r="O208" t="s">
        <v>65</v>
      </c>
      <c r="P208" t="str">
        <f>"INV-00116854 00116833 CT093804"</f>
        <v>INV-00116854 00116833 CT093804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22.11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0.6</v>
      </c>
      <c r="BJ208">
        <v>1.9</v>
      </c>
      <c r="BK208">
        <v>2</v>
      </c>
      <c r="BL208" s="4">
        <v>70.709999999999994</v>
      </c>
      <c r="BM208" s="4">
        <v>10.61</v>
      </c>
      <c r="BN208" s="4">
        <v>81.319999999999993</v>
      </c>
      <c r="BO208" s="4">
        <v>81.319999999999993</v>
      </c>
      <c r="BQ208" t="s">
        <v>276</v>
      </c>
      <c r="BR208" t="s">
        <v>320</v>
      </c>
      <c r="BS208" s="1">
        <v>45756</v>
      </c>
      <c r="BT208" s="2">
        <v>0.36736111111111114</v>
      </c>
      <c r="BU208" t="s">
        <v>938</v>
      </c>
      <c r="BV208" t="s">
        <v>74</v>
      </c>
      <c r="BY208">
        <v>9305.01</v>
      </c>
      <c r="BZ208" t="s">
        <v>79</v>
      </c>
      <c r="CA208" t="s">
        <v>545</v>
      </c>
      <c r="CC208" t="s">
        <v>143</v>
      </c>
      <c r="CD208" s="3" t="s">
        <v>144</v>
      </c>
      <c r="CE208" t="s">
        <v>434</v>
      </c>
      <c r="CF208" s="1">
        <v>45756</v>
      </c>
      <c r="CI208">
        <v>1</v>
      </c>
      <c r="CJ208">
        <v>1</v>
      </c>
      <c r="CK208">
        <v>21</v>
      </c>
      <c r="CL208" t="s">
        <v>66</v>
      </c>
    </row>
    <row r="209" spans="1:90" x14ac:dyDescent="0.3">
      <c r="A209" t="s">
        <v>315</v>
      </c>
      <c r="B209" t="s">
        <v>316</v>
      </c>
      <c r="C209" t="s">
        <v>59</v>
      </c>
      <c r="E209" t="str">
        <f>"GAB2025454"</f>
        <v>GAB2025454</v>
      </c>
      <c r="F209" s="1">
        <v>45755</v>
      </c>
      <c r="G209">
        <v>202601</v>
      </c>
      <c r="H209" t="s">
        <v>77</v>
      </c>
      <c r="I209" t="s">
        <v>78</v>
      </c>
      <c r="J209" t="s">
        <v>317</v>
      </c>
      <c r="K209" t="s">
        <v>62</v>
      </c>
      <c r="L209" t="s">
        <v>100</v>
      </c>
      <c r="M209" t="s">
        <v>101</v>
      </c>
      <c r="N209" t="s">
        <v>939</v>
      </c>
      <c r="O209" t="s">
        <v>65</v>
      </c>
      <c r="P209" t="str">
        <f>"INV-00034483 031709           "</f>
        <v xml:space="preserve">INV-00034483 031709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44.21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1</v>
      </c>
      <c r="BJ209">
        <v>3.8</v>
      </c>
      <c r="BK209">
        <v>4</v>
      </c>
      <c r="BL209" s="4">
        <v>141.37</v>
      </c>
      <c r="BM209" s="4">
        <v>21.21</v>
      </c>
      <c r="BN209" s="4">
        <v>162.58000000000001</v>
      </c>
      <c r="BO209" s="4">
        <v>162.58000000000001</v>
      </c>
      <c r="BQ209" t="s">
        <v>940</v>
      </c>
      <c r="BR209" t="s">
        <v>320</v>
      </c>
      <c r="BS209" t="s">
        <v>81</v>
      </c>
      <c r="BY209">
        <v>19200</v>
      </c>
      <c r="CC209" t="s">
        <v>101</v>
      </c>
      <c r="CD209">
        <v>6001</v>
      </c>
      <c r="CE209" t="s">
        <v>578</v>
      </c>
      <c r="CI209">
        <v>2</v>
      </c>
      <c r="CJ209" t="s">
        <v>81</v>
      </c>
      <c r="CK209">
        <v>21</v>
      </c>
      <c r="CL209" t="s">
        <v>66</v>
      </c>
    </row>
    <row r="210" spans="1:90" x14ac:dyDescent="0.3">
      <c r="A210" t="s">
        <v>315</v>
      </c>
      <c r="B210" t="s">
        <v>316</v>
      </c>
      <c r="C210" t="s">
        <v>59</v>
      </c>
      <c r="E210" t="str">
        <f>"GAB2025455"</f>
        <v>GAB2025455</v>
      </c>
      <c r="F210" s="1">
        <v>45755</v>
      </c>
      <c r="G210">
        <v>202601</v>
      </c>
      <c r="H210" t="s">
        <v>77</v>
      </c>
      <c r="I210" t="s">
        <v>78</v>
      </c>
      <c r="J210" t="s">
        <v>317</v>
      </c>
      <c r="K210" t="s">
        <v>62</v>
      </c>
      <c r="L210" t="s">
        <v>83</v>
      </c>
      <c r="M210" t="s">
        <v>84</v>
      </c>
      <c r="N210" t="s">
        <v>483</v>
      </c>
      <c r="O210" t="s">
        <v>65</v>
      </c>
      <c r="P210" t="str">
        <f>"INV-00034484 030901           "</f>
        <v xml:space="preserve">INV-00034484 030901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22.11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0.1</v>
      </c>
      <c r="BJ210">
        <v>1.8</v>
      </c>
      <c r="BK210">
        <v>2</v>
      </c>
      <c r="BL210" s="4">
        <v>70.709999999999994</v>
      </c>
      <c r="BM210" s="4">
        <v>10.61</v>
      </c>
      <c r="BN210" s="4">
        <v>81.319999999999993</v>
      </c>
      <c r="BO210" s="4">
        <v>81.319999999999993</v>
      </c>
      <c r="BQ210" t="s">
        <v>612</v>
      </c>
      <c r="BR210" t="s">
        <v>320</v>
      </c>
      <c r="BS210" s="1">
        <v>45757</v>
      </c>
      <c r="BT210" s="2">
        <v>0.4777777777777778</v>
      </c>
      <c r="BU210" t="s">
        <v>941</v>
      </c>
      <c r="BV210" t="s">
        <v>66</v>
      </c>
      <c r="BY210">
        <v>8807.1299999999992</v>
      </c>
      <c r="BZ210" t="s">
        <v>79</v>
      </c>
      <c r="CA210" t="s">
        <v>176</v>
      </c>
      <c r="CC210" t="s">
        <v>84</v>
      </c>
      <c r="CD210">
        <v>3201</v>
      </c>
      <c r="CE210" t="s">
        <v>393</v>
      </c>
      <c r="CF210" s="1">
        <v>45758</v>
      </c>
      <c r="CI210">
        <v>1</v>
      </c>
      <c r="CJ210">
        <v>2</v>
      </c>
      <c r="CK210">
        <v>21</v>
      </c>
      <c r="CL210" t="s">
        <v>66</v>
      </c>
    </row>
    <row r="211" spans="1:90" x14ac:dyDescent="0.3">
      <c r="A211" t="s">
        <v>315</v>
      </c>
      <c r="B211" t="s">
        <v>316</v>
      </c>
      <c r="C211" t="s">
        <v>59</v>
      </c>
      <c r="E211" t="str">
        <f>"GAB2025456"</f>
        <v>GAB2025456</v>
      </c>
      <c r="F211" s="1">
        <v>45755</v>
      </c>
      <c r="G211">
        <v>202601</v>
      </c>
      <c r="H211" t="s">
        <v>77</v>
      </c>
      <c r="I211" t="s">
        <v>78</v>
      </c>
      <c r="J211" t="s">
        <v>317</v>
      </c>
      <c r="K211" t="s">
        <v>62</v>
      </c>
      <c r="L211" t="s">
        <v>206</v>
      </c>
      <c r="M211" t="s">
        <v>207</v>
      </c>
      <c r="N211" t="s">
        <v>942</v>
      </c>
      <c r="O211" t="s">
        <v>65</v>
      </c>
      <c r="P211" t="str">
        <f>"INV-00034485 031303           "</f>
        <v xml:space="preserve">INV-00034485 031303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22.11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0.7</v>
      </c>
      <c r="BJ211">
        <v>1.6</v>
      </c>
      <c r="BK211">
        <v>2</v>
      </c>
      <c r="BL211" s="4">
        <v>70.709999999999994</v>
      </c>
      <c r="BM211" s="4">
        <v>10.61</v>
      </c>
      <c r="BN211" s="4">
        <v>81.319999999999993</v>
      </c>
      <c r="BO211" s="4">
        <v>81.319999999999993</v>
      </c>
      <c r="BQ211" t="s">
        <v>615</v>
      </c>
      <c r="BR211" t="s">
        <v>320</v>
      </c>
      <c r="BS211" s="1">
        <v>45756</v>
      </c>
      <c r="BT211" s="2">
        <v>0.44374999999999998</v>
      </c>
      <c r="BU211" t="s">
        <v>943</v>
      </c>
      <c r="BV211" t="s">
        <v>74</v>
      </c>
      <c r="BY211">
        <v>8235.15</v>
      </c>
      <c r="BZ211" t="s">
        <v>79</v>
      </c>
      <c r="CA211" t="s">
        <v>208</v>
      </c>
      <c r="CC211" t="s">
        <v>207</v>
      </c>
      <c r="CD211" s="3" t="s">
        <v>209</v>
      </c>
      <c r="CE211" t="s">
        <v>434</v>
      </c>
      <c r="CF211" s="1">
        <v>45756</v>
      </c>
      <c r="CI211">
        <v>2</v>
      </c>
      <c r="CJ211">
        <v>1</v>
      </c>
      <c r="CK211">
        <v>21</v>
      </c>
      <c r="CL211" t="s">
        <v>66</v>
      </c>
    </row>
    <row r="212" spans="1:90" x14ac:dyDescent="0.3">
      <c r="A212" t="s">
        <v>315</v>
      </c>
      <c r="B212" t="s">
        <v>316</v>
      </c>
      <c r="C212" t="s">
        <v>59</v>
      </c>
      <c r="E212" t="str">
        <f>"GAB2025457"</f>
        <v>GAB2025457</v>
      </c>
      <c r="F212" s="1">
        <v>45755</v>
      </c>
      <c r="G212">
        <v>202601</v>
      </c>
      <c r="H212" t="s">
        <v>77</v>
      </c>
      <c r="I212" t="s">
        <v>78</v>
      </c>
      <c r="J212" t="s">
        <v>317</v>
      </c>
      <c r="K212" t="s">
        <v>62</v>
      </c>
      <c r="L212" t="s">
        <v>89</v>
      </c>
      <c r="M212" t="s">
        <v>90</v>
      </c>
      <c r="N212" t="s">
        <v>944</v>
      </c>
      <c r="O212" t="s">
        <v>65</v>
      </c>
      <c r="P212" t="str">
        <f>"INV-00034486 031635           "</f>
        <v xml:space="preserve">INV-00034486 031635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27.64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0.1</v>
      </c>
      <c r="BJ212">
        <v>2.4</v>
      </c>
      <c r="BK212">
        <v>2.5</v>
      </c>
      <c r="BL212" s="4">
        <v>88.38</v>
      </c>
      <c r="BM212" s="4">
        <v>13.26</v>
      </c>
      <c r="BN212" s="4">
        <v>101.64</v>
      </c>
      <c r="BO212" s="4">
        <v>101.64</v>
      </c>
      <c r="BQ212" t="s">
        <v>559</v>
      </c>
      <c r="BR212" t="s">
        <v>320</v>
      </c>
      <c r="BS212" s="1">
        <v>45757</v>
      </c>
      <c r="BT212" s="2">
        <v>0.48194444444444445</v>
      </c>
      <c r="BU212" t="s">
        <v>945</v>
      </c>
      <c r="BV212" t="s">
        <v>66</v>
      </c>
      <c r="BW212" t="s">
        <v>112</v>
      </c>
      <c r="BX212" t="s">
        <v>240</v>
      </c>
      <c r="BY212">
        <v>11934</v>
      </c>
      <c r="BZ212" t="s">
        <v>79</v>
      </c>
      <c r="CA212" t="s">
        <v>360</v>
      </c>
      <c r="CC212" t="s">
        <v>90</v>
      </c>
      <c r="CD212">
        <v>4001</v>
      </c>
      <c r="CE212" t="s">
        <v>393</v>
      </c>
      <c r="CF212" s="1">
        <v>45758</v>
      </c>
      <c r="CI212">
        <v>2</v>
      </c>
      <c r="CJ212">
        <v>2</v>
      </c>
      <c r="CK212">
        <v>21</v>
      </c>
      <c r="CL212" t="s">
        <v>66</v>
      </c>
    </row>
    <row r="213" spans="1:90" x14ac:dyDescent="0.3">
      <c r="A213" t="s">
        <v>315</v>
      </c>
      <c r="B213" t="s">
        <v>316</v>
      </c>
      <c r="C213" t="s">
        <v>59</v>
      </c>
      <c r="E213" t="str">
        <f>"GAB2025458"</f>
        <v>GAB2025458</v>
      </c>
      <c r="F213" s="1">
        <v>45755</v>
      </c>
      <c r="G213">
        <v>202601</v>
      </c>
      <c r="H213" t="s">
        <v>77</v>
      </c>
      <c r="I213" t="s">
        <v>78</v>
      </c>
      <c r="J213" t="s">
        <v>317</v>
      </c>
      <c r="K213" t="s">
        <v>62</v>
      </c>
      <c r="L213" t="s">
        <v>91</v>
      </c>
      <c r="M213" t="s">
        <v>92</v>
      </c>
      <c r="N213" t="s">
        <v>946</v>
      </c>
      <c r="O213" t="s">
        <v>65</v>
      </c>
      <c r="P213" t="str">
        <f>"INV-00034487 031019           "</f>
        <v xml:space="preserve">INV-00034487 031019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22.11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0.1</v>
      </c>
      <c r="BJ213">
        <v>1.9</v>
      </c>
      <c r="BK213">
        <v>2</v>
      </c>
      <c r="BL213" s="4">
        <v>70.709999999999994</v>
      </c>
      <c r="BM213" s="4">
        <v>10.61</v>
      </c>
      <c r="BN213" s="4">
        <v>81.319999999999993</v>
      </c>
      <c r="BO213" s="4">
        <v>81.319999999999993</v>
      </c>
      <c r="BQ213" t="s">
        <v>947</v>
      </c>
      <c r="BR213" t="s">
        <v>320</v>
      </c>
      <c r="BS213" s="1">
        <v>45756</v>
      </c>
      <c r="BT213" s="2">
        <v>0.36805555555555558</v>
      </c>
      <c r="BU213" t="s">
        <v>948</v>
      </c>
      <c r="BV213" t="s">
        <v>74</v>
      </c>
      <c r="BY213">
        <v>9669.6</v>
      </c>
      <c r="BZ213" t="s">
        <v>79</v>
      </c>
      <c r="CA213" t="s">
        <v>949</v>
      </c>
      <c r="CC213" t="s">
        <v>92</v>
      </c>
      <c r="CD213" s="3" t="s">
        <v>94</v>
      </c>
      <c r="CE213" t="s">
        <v>343</v>
      </c>
      <c r="CF213" s="1">
        <v>45757</v>
      </c>
      <c r="CI213">
        <v>1</v>
      </c>
      <c r="CJ213">
        <v>1</v>
      </c>
      <c r="CK213">
        <v>21</v>
      </c>
      <c r="CL213" t="s">
        <v>66</v>
      </c>
    </row>
    <row r="214" spans="1:90" x14ac:dyDescent="0.3">
      <c r="A214" t="s">
        <v>315</v>
      </c>
      <c r="B214" t="s">
        <v>316</v>
      </c>
      <c r="C214" t="s">
        <v>59</v>
      </c>
      <c r="E214" t="str">
        <f>"GAB2025459"</f>
        <v>GAB2025459</v>
      </c>
      <c r="F214" s="1">
        <v>45755</v>
      </c>
      <c r="G214">
        <v>202601</v>
      </c>
      <c r="H214" t="s">
        <v>77</v>
      </c>
      <c r="I214" t="s">
        <v>78</v>
      </c>
      <c r="J214" t="s">
        <v>317</v>
      </c>
      <c r="K214" t="s">
        <v>62</v>
      </c>
      <c r="L214" t="s">
        <v>180</v>
      </c>
      <c r="M214" t="s">
        <v>181</v>
      </c>
      <c r="N214" t="s">
        <v>589</v>
      </c>
      <c r="O214" t="s">
        <v>65</v>
      </c>
      <c r="P214" t="str">
        <f>"INV-00034488 031619           "</f>
        <v xml:space="preserve">INV-00034488 031619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27.64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0.1</v>
      </c>
      <c r="BJ214">
        <v>2.2000000000000002</v>
      </c>
      <c r="BK214">
        <v>2.5</v>
      </c>
      <c r="BL214" s="4">
        <v>88.38</v>
      </c>
      <c r="BM214" s="4">
        <v>13.26</v>
      </c>
      <c r="BN214" s="4">
        <v>101.64</v>
      </c>
      <c r="BO214" s="4">
        <v>101.64</v>
      </c>
      <c r="BQ214" t="s">
        <v>590</v>
      </c>
      <c r="BR214" t="s">
        <v>320</v>
      </c>
      <c r="BS214" s="1">
        <v>45756</v>
      </c>
      <c r="BT214" s="2">
        <v>0.375</v>
      </c>
      <c r="BU214" t="s">
        <v>950</v>
      </c>
      <c r="BV214" t="s">
        <v>74</v>
      </c>
      <c r="BY214">
        <v>10753.1</v>
      </c>
      <c r="BZ214" t="s">
        <v>79</v>
      </c>
      <c r="CA214" t="s">
        <v>273</v>
      </c>
      <c r="CC214" t="s">
        <v>181</v>
      </c>
      <c r="CD214">
        <v>1560</v>
      </c>
      <c r="CE214" t="s">
        <v>393</v>
      </c>
      <c r="CF214" s="1">
        <v>45756</v>
      </c>
      <c r="CI214">
        <v>1</v>
      </c>
      <c r="CJ214">
        <v>1</v>
      </c>
      <c r="CK214">
        <v>21</v>
      </c>
      <c r="CL214" t="s">
        <v>66</v>
      </c>
    </row>
    <row r="215" spans="1:90" x14ac:dyDescent="0.3">
      <c r="A215" t="s">
        <v>315</v>
      </c>
      <c r="B215" t="s">
        <v>316</v>
      </c>
      <c r="C215" t="s">
        <v>59</v>
      </c>
      <c r="E215" t="str">
        <f>"GAB2025460"</f>
        <v>GAB2025460</v>
      </c>
      <c r="F215" s="1">
        <v>45755</v>
      </c>
      <c r="G215">
        <v>202601</v>
      </c>
      <c r="H215" t="s">
        <v>77</v>
      </c>
      <c r="I215" t="s">
        <v>78</v>
      </c>
      <c r="J215" t="s">
        <v>317</v>
      </c>
      <c r="K215" t="s">
        <v>62</v>
      </c>
      <c r="L215" t="s">
        <v>242</v>
      </c>
      <c r="M215" t="s">
        <v>243</v>
      </c>
      <c r="N215" t="s">
        <v>951</v>
      </c>
      <c r="O215" t="s">
        <v>65</v>
      </c>
      <c r="P215" t="str">
        <f>"INV-00034489 031745           "</f>
        <v xml:space="preserve">INV-00034489 031745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52.52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0.1</v>
      </c>
      <c r="BJ215">
        <v>2.2999999999999998</v>
      </c>
      <c r="BK215">
        <v>2.5</v>
      </c>
      <c r="BL215" s="4">
        <v>167.94</v>
      </c>
      <c r="BM215" s="4">
        <v>25.19</v>
      </c>
      <c r="BN215" s="4">
        <v>193.13</v>
      </c>
      <c r="BO215" s="4">
        <v>193.13</v>
      </c>
      <c r="BQ215" t="s">
        <v>952</v>
      </c>
      <c r="BR215" t="s">
        <v>320</v>
      </c>
      <c r="BS215" s="1">
        <v>45757</v>
      </c>
      <c r="BT215" s="2">
        <v>0.62291666666666667</v>
      </c>
      <c r="BU215" t="s">
        <v>953</v>
      </c>
      <c r="BV215" t="s">
        <v>74</v>
      </c>
      <c r="BY215">
        <v>11397.24</v>
      </c>
      <c r="BZ215" t="s">
        <v>79</v>
      </c>
      <c r="CC215" t="s">
        <v>243</v>
      </c>
      <c r="CD215">
        <v>5320</v>
      </c>
      <c r="CE215" t="s">
        <v>393</v>
      </c>
      <c r="CF215" s="1">
        <v>45757</v>
      </c>
      <c r="CI215">
        <v>5</v>
      </c>
      <c r="CJ215">
        <v>2</v>
      </c>
      <c r="CK215">
        <v>23</v>
      </c>
      <c r="CL215" t="s">
        <v>66</v>
      </c>
    </row>
    <row r="216" spans="1:90" x14ac:dyDescent="0.3">
      <c r="A216" t="s">
        <v>315</v>
      </c>
      <c r="B216" t="s">
        <v>316</v>
      </c>
      <c r="C216" t="s">
        <v>59</v>
      </c>
      <c r="E216" t="str">
        <f>"GAB2025463"</f>
        <v>GAB2025463</v>
      </c>
      <c r="F216" s="1">
        <v>45755</v>
      </c>
      <c r="G216">
        <v>202601</v>
      </c>
      <c r="H216" t="s">
        <v>77</v>
      </c>
      <c r="I216" t="s">
        <v>78</v>
      </c>
      <c r="J216" t="s">
        <v>317</v>
      </c>
      <c r="K216" t="s">
        <v>62</v>
      </c>
      <c r="L216" t="s">
        <v>77</v>
      </c>
      <c r="M216" t="s">
        <v>78</v>
      </c>
      <c r="N216" t="s">
        <v>707</v>
      </c>
      <c r="O216" t="s">
        <v>65</v>
      </c>
      <c r="P216" t="str">
        <f>"INV-00116859 CT093815         "</f>
        <v xml:space="preserve">INV-00116859 CT093815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17.27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0.2</v>
      </c>
      <c r="BJ216">
        <v>2.5</v>
      </c>
      <c r="BK216">
        <v>3</v>
      </c>
      <c r="BL216" s="4">
        <v>55.23</v>
      </c>
      <c r="BM216" s="4">
        <v>8.2799999999999994</v>
      </c>
      <c r="BN216" s="4">
        <v>63.51</v>
      </c>
      <c r="BO216" s="4">
        <v>63.51</v>
      </c>
      <c r="BQ216" t="s">
        <v>708</v>
      </c>
      <c r="BR216" t="s">
        <v>320</v>
      </c>
      <c r="BS216" s="1">
        <v>45756</v>
      </c>
      <c r="BT216" s="2">
        <v>0.40694444444444444</v>
      </c>
      <c r="BU216" t="s">
        <v>954</v>
      </c>
      <c r="BV216" t="s">
        <v>74</v>
      </c>
      <c r="BY216">
        <v>12480</v>
      </c>
      <c r="BZ216" t="s">
        <v>79</v>
      </c>
      <c r="CA216" t="s">
        <v>955</v>
      </c>
      <c r="CC216" t="s">
        <v>78</v>
      </c>
      <c r="CD216">
        <v>7800</v>
      </c>
      <c r="CE216" t="s">
        <v>343</v>
      </c>
      <c r="CF216" s="1">
        <v>45757</v>
      </c>
      <c r="CI216">
        <v>1</v>
      </c>
      <c r="CJ216">
        <v>1</v>
      </c>
      <c r="CK216">
        <v>22</v>
      </c>
      <c r="CL216" t="s">
        <v>66</v>
      </c>
    </row>
    <row r="217" spans="1:90" x14ac:dyDescent="0.3">
      <c r="A217" t="s">
        <v>315</v>
      </c>
      <c r="B217" t="s">
        <v>316</v>
      </c>
      <c r="C217" t="s">
        <v>59</v>
      </c>
      <c r="E217" t="str">
        <f>"GAB2025464"</f>
        <v>GAB2025464</v>
      </c>
      <c r="F217" s="1">
        <v>45755</v>
      </c>
      <c r="G217">
        <v>202601</v>
      </c>
      <c r="H217" t="s">
        <v>77</v>
      </c>
      <c r="I217" t="s">
        <v>78</v>
      </c>
      <c r="J217" t="s">
        <v>317</v>
      </c>
      <c r="K217" t="s">
        <v>62</v>
      </c>
      <c r="L217" t="s">
        <v>142</v>
      </c>
      <c r="M217" t="s">
        <v>143</v>
      </c>
      <c r="N217" t="s">
        <v>956</v>
      </c>
      <c r="O217" t="s">
        <v>65</v>
      </c>
      <c r="P217" t="str">
        <f>"INV-00116862 CT093809         "</f>
        <v xml:space="preserve">INV-00116862 CT093809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33.159999999999997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0.2</v>
      </c>
      <c r="BJ217">
        <v>2.8</v>
      </c>
      <c r="BK217">
        <v>3</v>
      </c>
      <c r="BL217" s="4">
        <v>106.04</v>
      </c>
      <c r="BM217" s="4">
        <v>15.91</v>
      </c>
      <c r="BN217" s="4">
        <v>121.95</v>
      </c>
      <c r="BO217" s="4">
        <v>121.95</v>
      </c>
      <c r="BQ217" t="s">
        <v>957</v>
      </c>
      <c r="BR217" t="s">
        <v>320</v>
      </c>
      <c r="BS217" s="1">
        <v>45756</v>
      </c>
      <c r="BT217" s="2">
        <v>0.38750000000000001</v>
      </c>
      <c r="BU217" t="s">
        <v>958</v>
      </c>
      <c r="BV217" t="s">
        <v>74</v>
      </c>
      <c r="BY217">
        <v>13764.96</v>
      </c>
      <c r="BZ217" t="s">
        <v>79</v>
      </c>
      <c r="CA217" t="s">
        <v>959</v>
      </c>
      <c r="CC217" t="s">
        <v>143</v>
      </c>
      <c r="CD217" s="3" t="s">
        <v>144</v>
      </c>
      <c r="CE217" t="s">
        <v>382</v>
      </c>
      <c r="CF217" s="1">
        <v>45757</v>
      </c>
      <c r="CI217">
        <v>1</v>
      </c>
      <c r="CJ217">
        <v>1</v>
      </c>
      <c r="CK217">
        <v>21</v>
      </c>
      <c r="CL217" t="s">
        <v>66</v>
      </c>
    </row>
    <row r="218" spans="1:90" x14ac:dyDescent="0.3">
      <c r="A218" t="s">
        <v>315</v>
      </c>
      <c r="B218" t="s">
        <v>316</v>
      </c>
      <c r="C218" t="s">
        <v>59</v>
      </c>
      <c r="E218" t="str">
        <f>"GAB2025466"</f>
        <v>GAB2025466</v>
      </c>
      <c r="F218" s="1">
        <v>45755</v>
      </c>
      <c r="G218">
        <v>202601</v>
      </c>
      <c r="H218" t="s">
        <v>77</v>
      </c>
      <c r="I218" t="s">
        <v>78</v>
      </c>
      <c r="J218" t="s">
        <v>317</v>
      </c>
      <c r="K218" t="s">
        <v>62</v>
      </c>
      <c r="L218" t="s">
        <v>154</v>
      </c>
      <c r="M218" t="s">
        <v>155</v>
      </c>
      <c r="N218" t="s">
        <v>960</v>
      </c>
      <c r="O218" t="s">
        <v>65</v>
      </c>
      <c r="P218" t="str">
        <f>"INV-00116861 CT093812         "</f>
        <v xml:space="preserve">INV-00116861 CT093812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42.84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0.4</v>
      </c>
      <c r="BJ218">
        <v>1.6</v>
      </c>
      <c r="BK218">
        <v>2</v>
      </c>
      <c r="BL218" s="4">
        <v>137</v>
      </c>
      <c r="BM218" s="4">
        <v>20.55</v>
      </c>
      <c r="BN218" s="4">
        <v>157.55000000000001</v>
      </c>
      <c r="BO218" s="4">
        <v>157.55000000000001</v>
      </c>
      <c r="BQ218" t="s">
        <v>961</v>
      </c>
      <c r="BR218" t="s">
        <v>320</v>
      </c>
      <c r="BS218" s="1">
        <v>45758</v>
      </c>
      <c r="BT218" s="2">
        <v>0.44027777777777777</v>
      </c>
      <c r="BU218" t="s">
        <v>962</v>
      </c>
      <c r="BV218" t="s">
        <v>74</v>
      </c>
      <c r="BY218">
        <v>8230.2000000000007</v>
      </c>
      <c r="BZ218" t="s">
        <v>79</v>
      </c>
      <c r="CA218" t="s">
        <v>265</v>
      </c>
      <c r="CC218" t="s">
        <v>155</v>
      </c>
      <c r="CD218">
        <v>8800</v>
      </c>
      <c r="CE218" t="s">
        <v>586</v>
      </c>
      <c r="CF218" s="1">
        <v>45761</v>
      </c>
      <c r="CI218">
        <v>3</v>
      </c>
      <c r="CJ218">
        <v>3</v>
      </c>
      <c r="CK218">
        <v>23</v>
      </c>
      <c r="CL218" t="s">
        <v>66</v>
      </c>
    </row>
    <row r="219" spans="1:90" x14ac:dyDescent="0.3">
      <c r="A219" t="s">
        <v>315</v>
      </c>
      <c r="B219" t="s">
        <v>316</v>
      </c>
      <c r="C219" t="s">
        <v>59</v>
      </c>
      <c r="E219" t="str">
        <f>"009945075913"</f>
        <v>009945075913</v>
      </c>
      <c r="F219" s="1">
        <v>45755</v>
      </c>
      <c r="G219">
        <v>202601</v>
      </c>
      <c r="H219" t="s">
        <v>142</v>
      </c>
      <c r="I219" t="s">
        <v>143</v>
      </c>
      <c r="J219" t="s">
        <v>490</v>
      </c>
      <c r="K219" t="s">
        <v>62</v>
      </c>
      <c r="L219" t="s">
        <v>77</v>
      </c>
      <c r="M219" t="s">
        <v>78</v>
      </c>
      <c r="N219" t="s">
        <v>491</v>
      </c>
      <c r="O219" t="s">
        <v>65</v>
      </c>
      <c r="P219" t="str">
        <f>"NO REF                        "</f>
        <v xml:space="preserve">NO REF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22.11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</v>
      </c>
      <c r="BJ219">
        <v>0.2</v>
      </c>
      <c r="BK219">
        <v>1</v>
      </c>
      <c r="BL219" s="4">
        <v>70.709999999999994</v>
      </c>
      <c r="BM219" s="4">
        <v>10.61</v>
      </c>
      <c r="BN219" s="4">
        <v>81.319999999999993</v>
      </c>
      <c r="BO219" s="4">
        <v>81.319999999999993</v>
      </c>
      <c r="BQ219" t="s">
        <v>682</v>
      </c>
      <c r="BR219" t="s">
        <v>963</v>
      </c>
      <c r="BS219" s="1">
        <v>45757</v>
      </c>
      <c r="BT219" s="2">
        <v>0.43125000000000002</v>
      </c>
      <c r="BU219" t="s">
        <v>263</v>
      </c>
      <c r="BV219" t="s">
        <v>66</v>
      </c>
      <c r="BY219">
        <v>1200</v>
      </c>
      <c r="BZ219" t="s">
        <v>79</v>
      </c>
      <c r="CA219" t="s">
        <v>193</v>
      </c>
      <c r="CC219" t="s">
        <v>78</v>
      </c>
      <c r="CD219">
        <v>8000</v>
      </c>
      <c r="CE219" t="s">
        <v>236</v>
      </c>
      <c r="CF219" s="1">
        <v>45758</v>
      </c>
      <c r="CI219">
        <v>1</v>
      </c>
      <c r="CJ219">
        <v>2</v>
      </c>
      <c r="CK219">
        <v>21</v>
      </c>
      <c r="CL219" t="s">
        <v>66</v>
      </c>
    </row>
    <row r="220" spans="1:90" x14ac:dyDescent="0.3">
      <c r="A220" t="s">
        <v>315</v>
      </c>
      <c r="B220" t="s">
        <v>316</v>
      </c>
      <c r="C220" t="s">
        <v>59</v>
      </c>
      <c r="E220" t="str">
        <f>"009945075912"</f>
        <v>009945075912</v>
      </c>
      <c r="F220" s="1">
        <v>45755</v>
      </c>
      <c r="G220">
        <v>202601</v>
      </c>
      <c r="H220" t="s">
        <v>142</v>
      </c>
      <c r="I220" t="s">
        <v>143</v>
      </c>
      <c r="J220" t="s">
        <v>490</v>
      </c>
      <c r="K220" t="s">
        <v>62</v>
      </c>
      <c r="L220" t="s">
        <v>964</v>
      </c>
      <c r="M220" t="s">
        <v>965</v>
      </c>
      <c r="N220" t="s">
        <v>966</v>
      </c>
      <c r="O220" t="s">
        <v>65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42.84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1</v>
      </c>
      <c r="BJ220">
        <v>0.2</v>
      </c>
      <c r="BK220">
        <v>1</v>
      </c>
      <c r="BL220" s="4">
        <v>137</v>
      </c>
      <c r="BM220" s="4">
        <v>20.55</v>
      </c>
      <c r="BN220" s="4">
        <v>157.55000000000001</v>
      </c>
      <c r="BO220" s="4">
        <v>157.55000000000001</v>
      </c>
      <c r="BQ220" t="s">
        <v>967</v>
      </c>
      <c r="BR220" t="s">
        <v>672</v>
      </c>
      <c r="BS220" s="1">
        <v>45756</v>
      </c>
      <c r="BT220" s="2">
        <v>0.43611111111111112</v>
      </c>
      <c r="BU220" t="s">
        <v>70</v>
      </c>
      <c r="BV220" t="s">
        <v>74</v>
      </c>
      <c r="BY220">
        <v>1200</v>
      </c>
      <c r="BZ220" t="s">
        <v>79</v>
      </c>
      <c r="CA220" t="s">
        <v>968</v>
      </c>
      <c r="CC220" t="s">
        <v>965</v>
      </c>
      <c r="CD220">
        <v>2940</v>
      </c>
      <c r="CE220" t="s">
        <v>76</v>
      </c>
      <c r="CF220" s="1">
        <v>45757</v>
      </c>
      <c r="CI220">
        <v>1</v>
      </c>
      <c r="CJ220">
        <v>1</v>
      </c>
      <c r="CK220">
        <v>23</v>
      </c>
      <c r="CL220" t="s">
        <v>66</v>
      </c>
    </row>
    <row r="221" spans="1:90" x14ac:dyDescent="0.3">
      <c r="A221" t="s">
        <v>315</v>
      </c>
      <c r="B221" t="s">
        <v>316</v>
      </c>
      <c r="C221" t="s">
        <v>59</v>
      </c>
      <c r="E221" t="str">
        <f>"080011486539"</f>
        <v>080011486539</v>
      </c>
      <c r="F221" s="1">
        <v>45756</v>
      </c>
      <c r="G221">
        <v>202601</v>
      </c>
      <c r="H221" t="s">
        <v>969</v>
      </c>
      <c r="I221" t="s">
        <v>970</v>
      </c>
      <c r="J221" t="s">
        <v>971</v>
      </c>
      <c r="K221" t="s">
        <v>62</v>
      </c>
      <c r="L221" t="s">
        <v>142</v>
      </c>
      <c r="M221" t="s">
        <v>143</v>
      </c>
      <c r="N221" t="s">
        <v>972</v>
      </c>
      <c r="O221" t="s">
        <v>98</v>
      </c>
      <c r="P221" t="str">
        <f>"X                             "</f>
        <v xml:space="preserve">X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5.57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60.31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</v>
      </c>
      <c r="BJ221">
        <v>2.4</v>
      </c>
      <c r="BK221">
        <v>3</v>
      </c>
      <c r="BL221" s="4">
        <v>198.43</v>
      </c>
      <c r="BM221" s="4">
        <v>29.76</v>
      </c>
      <c r="BN221" s="4">
        <v>228.19</v>
      </c>
      <c r="BO221" s="4">
        <v>228.19</v>
      </c>
      <c r="BP221" t="s">
        <v>81</v>
      </c>
      <c r="BQ221" t="s">
        <v>973</v>
      </c>
      <c r="BR221" t="s">
        <v>974</v>
      </c>
      <c r="BS221" s="1">
        <v>45757</v>
      </c>
      <c r="BT221" s="2">
        <v>0.37847222222222221</v>
      </c>
      <c r="BU221" t="s">
        <v>452</v>
      </c>
      <c r="BV221" t="s">
        <v>74</v>
      </c>
      <c r="BY221">
        <v>12000</v>
      </c>
      <c r="BZ221" t="s">
        <v>114</v>
      </c>
      <c r="CA221" t="s">
        <v>453</v>
      </c>
      <c r="CC221" t="s">
        <v>143</v>
      </c>
      <c r="CD221" s="3" t="s">
        <v>144</v>
      </c>
      <c r="CE221" t="s">
        <v>80</v>
      </c>
      <c r="CF221" s="1">
        <v>45757</v>
      </c>
      <c r="CI221">
        <v>1</v>
      </c>
      <c r="CJ221">
        <v>1</v>
      </c>
      <c r="CK221">
        <v>43</v>
      </c>
      <c r="CL221" t="s">
        <v>66</v>
      </c>
    </row>
    <row r="222" spans="1:90" x14ac:dyDescent="0.3">
      <c r="A222" t="s">
        <v>315</v>
      </c>
      <c r="B222" t="s">
        <v>316</v>
      </c>
      <c r="C222" t="s">
        <v>59</v>
      </c>
      <c r="E222" t="str">
        <f>"RGAB2025399"</f>
        <v>RGAB2025399</v>
      </c>
      <c r="F222" s="1">
        <v>45756</v>
      </c>
      <c r="G222">
        <v>202601</v>
      </c>
      <c r="H222" t="s">
        <v>108</v>
      </c>
      <c r="I222" t="s">
        <v>109</v>
      </c>
      <c r="J222" t="s">
        <v>803</v>
      </c>
      <c r="K222" t="s">
        <v>62</v>
      </c>
      <c r="L222" t="s">
        <v>95</v>
      </c>
      <c r="M222" t="s">
        <v>96</v>
      </c>
      <c r="N222" t="s">
        <v>803</v>
      </c>
      <c r="O222" t="s">
        <v>98</v>
      </c>
      <c r="P222" t="str">
        <f>"INV-00116799 CT093762         "</f>
        <v xml:space="preserve">INV-00116799 CT093762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5.57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33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0.1</v>
      </c>
      <c r="BJ222">
        <v>0.8</v>
      </c>
      <c r="BK222">
        <v>1</v>
      </c>
      <c r="BL222" s="4">
        <v>111.09</v>
      </c>
      <c r="BM222" s="4">
        <v>16.66</v>
      </c>
      <c r="BN222" s="4">
        <v>127.75</v>
      </c>
      <c r="BO222" s="4">
        <v>127.75</v>
      </c>
      <c r="BQ222" t="s">
        <v>804</v>
      </c>
      <c r="BR222" t="s">
        <v>804</v>
      </c>
      <c r="BS222" s="1">
        <v>45757</v>
      </c>
      <c r="BT222" s="2">
        <v>0.52361111111111114</v>
      </c>
      <c r="BU222" t="s">
        <v>975</v>
      </c>
      <c r="BV222" t="s">
        <v>74</v>
      </c>
      <c r="BY222">
        <v>3876.29</v>
      </c>
      <c r="CC222" t="s">
        <v>96</v>
      </c>
      <c r="CD222">
        <v>2115</v>
      </c>
      <c r="CE222" t="s">
        <v>343</v>
      </c>
      <c r="CF222" s="1">
        <v>45757</v>
      </c>
      <c r="CI222">
        <v>1</v>
      </c>
      <c r="CJ222">
        <v>1</v>
      </c>
      <c r="CK222">
        <v>42</v>
      </c>
      <c r="CL222" t="s">
        <v>66</v>
      </c>
    </row>
    <row r="223" spans="1:90" x14ac:dyDescent="0.3">
      <c r="A223" t="s">
        <v>315</v>
      </c>
      <c r="B223" t="s">
        <v>316</v>
      </c>
      <c r="C223" t="s">
        <v>59</v>
      </c>
      <c r="E223" t="str">
        <f>"GAB2025470"</f>
        <v>GAB2025470</v>
      </c>
      <c r="F223" s="1">
        <v>45756</v>
      </c>
      <c r="G223">
        <v>202601</v>
      </c>
      <c r="H223" t="s">
        <v>77</v>
      </c>
      <c r="I223" t="s">
        <v>78</v>
      </c>
      <c r="J223" t="s">
        <v>317</v>
      </c>
      <c r="K223" t="s">
        <v>62</v>
      </c>
      <c r="L223" t="s">
        <v>72</v>
      </c>
      <c r="M223" t="s">
        <v>73</v>
      </c>
      <c r="N223" t="s">
        <v>976</v>
      </c>
      <c r="O223" t="s">
        <v>98</v>
      </c>
      <c r="P223" t="str">
        <f>"INV-00116878 CT093820         "</f>
        <v xml:space="preserve">INV-00116878 CT093820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5.57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42.76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1.3</v>
      </c>
      <c r="BJ223">
        <v>6.2</v>
      </c>
      <c r="BK223">
        <v>7</v>
      </c>
      <c r="BL223" s="4">
        <v>142.31</v>
      </c>
      <c r="BM223" s="4">
        <v>21.35</v>
      </c>
      <c r="BN223" s="4">
        <v>163.66</v>
      </c>
      <c r="BO223" s="4">
        <v>163.66</v>
      </c>
      <c r="BQ223" t="s">
        <v>977</v>
      </c>
      <c r="BR223" t="s">
        <v>320</v>
      </c>
      <c r="BS223" s="1">
        <v>45761</v>
      </c>
      <c r="BT223" s="2">
        <v>0.4375</v>
      </c>
      <c r="BU223" t="s">
        <v>272</v>
      </c>
      <c r="BV223" t="s">
        <v>74</v>
      </c>
      <c r="BY223">
        <v>30761.01</v>
      </c>
      <c r="CA223" t="s">
        <v>978</v>
      </c>
      <c r="CC223" t="s">
        <v>73</v>
      </c>
      <c r="CD223">
        <v>3610</v>
      </c>
      <c r="CE223" t="s">
        <v>322</v>
      </c>
      <c r="CF223" s="1">
        <v>45762</v>
      </c>
      <c r="CI223">
        <v>3</v>
      </c>
      <c r="CJ223">
        <v>3</v>
      </c>
      <c r="CK223">
        <v>41</v>
      </c>
      <c r="CL223" t="s">
        <v>66</v>
      </c>
    </row>
    <row r="224" spans="1:90" x14ac:dyDescent="0.3">
      <c r="A224" t="s">
        <v>315</v>
      </c>
      <c r="B224" t="s">
        <v>316</v>
      </c>
      <c r="C224" t="s">
        <v>59</v>
      </c>
      <c r="E224" t="str">
        <f>"GAB2025473"</f>
        <v>GAB2025473</v>
      </c>
      <c r="F224" s="1">
        <v>45756</v>
      </c>
      <c r="G224">
        <v>202601</v>
      </c>
      <c r="H224" t="s">
        <v>77</v>
      </c>
      <c r="I224" t="s">
        <v>78</v>
      </c>
      <c r="J224" t="s">
        <v>317</v>
      </c>
      <c r="K224" t="s">
        <v>62</v>
      </c>
      <c r="L224" t="s">
        <v>142</v>
      </c>
      <c r="M224" t="s">
        <v>143</v>
      </c>
      <c r="N224" t="s">
        <v>450</v>
      </c>
      <c r="O224" t="s">
        <v>98</v>
      </c>
      <c r="P224" t="str">
        <f>"ATT:MONIQUE                   "</f>
        <v xml:space="preserve">ATT:MONIQUE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5.57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42.76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8.9</v>
      </c>
      <c r="BJ224">
        <v>7.6</v>
      </c>
      <c r="BK224">
        <v>9</v>
      </c>
      <c r="BL224" s="4">
        <v>142.31</v>
      </c>
      <c r="BM224" s="4">
        <v>21.35</v>
      </c>
      <c r="BN224" s="4">
        <v>163.66</v>
      </c>
      <c r="BO224" s="4">
        <v>163.66</v>
      </c>
      <c r="BQ224" t="s">
        <v>979</v>
      </c>
      <c r="BR224" t="s">
        <v>320</v>
      </c>
      <c r="BS224" s="1">
        <v>45758</v>
      </c>
      <c r="BT224" s="2">
        <v>0.37916666666666665</v>
      </c>
      <c r="BU224" t="s">
        <v>980</v>
      </c>
      <c r="BV224" t="s">
        <v>74</v>
      </c>
      <c r="BY224">
        <v>37966.61</v>
      </c>
      <c r="CA224" t="s">
        <v>453</v>
      </c>
      <c r="CC224" t="s">
        <v>143</v>
      </c>
      <c r="CD224" s="3" t="s">
        <v>144</v>
      </c>
      <c r="CE224" t="s">
        <v>339</v>
      </c>
      <c r="CF224" s="1">
        <v>45758</v>
      </c>
      <c r="CI224">
        <v>3</v>
      </c>
      <c r="CJ224">
        <v>2</v>
      </c>
      <c r="CK224">
        <v>41</v>
      </c>
      <c r="CL224" t="s">
        <v>66</v>
      </c>
    </row>
    <row r="225" spans="1:90" x14ac:dyDescent="0.3">
      <c r="A225" t="s">
        <v>315</v>
      </c>
      <c r="B225" t="s">
        <v>316</v>
      </c>
      <c r="C225" t="s">
        <v>59</v>
      </c>
      <c r="E225" t="str">
        <f>"GAB2025478"</f>
        <v>GAB2025478</v>
      </c>
      <c r="F225" s="1">
        <v>45756</v>
      </c>
      <c r="G225">
        <v>202601</v>
      </c>
      <c r="H225" t="s">
        <v>77</v>
      </c>
      <c r="I225" t="s">
        <v>78</v>
      </c>
      <c r="J225" t="s">
        <v>317</v>
      </c>
      <c r="K225" t="s">
        <v>62</v>
      </c>
      <c r="L225" t="s">
        <v>89</v>
      </c>
      <c r="M225" t="s">
        <v>90</v>
      </c>
      <c r="N225" t="s">
        <v>981</v>
      </c>
      <c r="O225" t="s">
        <v>98</v>
      </c>
      <c r="P225" t="str">
        <f>"INV-00116894 CT093828         "</f>
        <v xml:space="preserve">INV-00116894 CT093828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5.57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106.32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4</v>
      </c>
      <c r="BI225">
        <v>17</v>
      </c>
      <c r="BJ225">
        <v>50.4</v>
      </c>
      <c r="BK225">
        <v>51</v>
      </c>
      <c r="BL225" s="4">
        <v>345.55</v>
      </c>
      <c r="BM225" s="4">
        <v>51.83</v>
      </c>
      <c r="BN225" s="4">
        <v>397.38</v>
      </c>
      <c r="BO225" s="4">
        <v>397.38</v>
      </c>
      <c r="BQ225" t="s">
        <v>982</v>
      </c>
      <c r="BR225" t="s">
        <v>320</v>
      </c>
      <c r="BS225" s="1">
        <v>45758</v>
      </c>
      <c r="BT225" s="2">
        <v>0.57986111111111116</v>
      </c>
      <c r="BU225" t="s">
        <v>983</v>
      </c>
      <c r="BV225" t="s">
        <v>74</v>
      </c>
      <c r="BY225">
        <v>251808.44</v>
      </c>
      <c r="CA225" t="s">
        <v>151</v>
      </c>
      <c r="CC225" t="s">
        <v>90</v>
      </c>
      <c r="CD225">
        <v>4001</v>
      </c>
      <c r="CE225" t="s">
        <v>525</v>
      </c>
      <c r="CF225" s="1">
        <v>45761</v>
      </c>
      <c r="CI225">
        <v>3</v>
      </c>
      <c r="CJ225">
        <v>2</v>
      </c>
      <c r="CK225">
        <v>41</v>
      </c>
      <c r="CL225" t="s">
        <v>66</v>
      </c>
    </row>
    <row r="226" spans="1:90" x14ac:dyDescent="0.3">
      <c r="A226" t="s">
        <v>315</v>
      </c>
      <c r="B226" t="s">
        <v>316</v>
      </c>
      <c r="C226" t="s">
        <v>59</v>
      </c>
      <c r="E226" t="str">
        <f>"GAB2025479"</f>
        <v>GAB2025479</v>
      </c>
      <c r="F226" s="1">
        <v>45756</v>
      </c>
      <c r="G226">
        <v>202601</v>
      </c>
      <c r="H226" t="s">
        <v>77</v>
      </c>
      <c r="I226" t="s">
        <v>78</v>
      </c>
      <c r="J226" t="s">
        <v>317</v>
      </c>
      <c r="K226" t="s">
        <v>62</v>
      </c>
      <c r="L226" t="s">
        <v>89</v>
      </c>
      <c r="M226" t="s">
        <v>90</v>
      </c>
      <c r="N226" t="s">
        <v>984</v>
      </c>
      <c r="O226" t="s">
        <v>98</v>
      </c>
      <c r="P226" t="str">
        <f>"INV-00116895 CT093825         "</f>
        <v xml:space="preserve">INV-00116895 CT093825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5.57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62.18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8</v>
      </c>
      <c r="BJ226">
        <v>25.4</v>
      </c>
      <c r="BK226">
        <v>26</v>
      </c>
      <c r="BL226" s="4">
        <v>204.41</v>
      </c>
      <c r="BM226" s="4">
        <v>30.66</v>
      </c>
      <c r="BN226" s="4">
        <v>235.07</v>
      </c>
      <c r="BO226" s="4">
        <v>235.07</v>
      </c>
      <c r="BQ226" t="s">
        <v>985</v>
      </c>
      <c r="BR226" t="s">
        <v>320</v>
      </c>
      <c r="BS226" s="1">
        <v>45758</v>
      </c>
      <c r="BT226" s="2">
        <v>0.56527777777777777</v>
      </c>
      <c r="BU226" t="s">
        <v>986</v>
      </c>
      <c r="BV226" t="s">
        <v>74</v>
      </c>
      <c r="BY226">
        <v>126991.4</v>
      </c>
      <c r="CA226" t="s">
        <v>987</v>
      </c>
      <c r="CC226" t="s">
        <v>90</v>
      </c>
      <c r="CD226">
        <v>4001</v>
      </c>
      <c r="CE226" t="s">
        <v>525</v>
      </c>
      <c r="CF226" s="1">
        <v>45761</v>
      </c>
      <c r="CI226">
        <v>3</v>
      </c>
      <c r="CJ226">
        <v>2</v>
      </c>
      <c r="CK226">
        <v>41</v>
      </c>
      <c r="CL226" t="s">
        <v>66</v>
      </c>
    </row>
    <row r="227" spans="1:90" x14ac:dyDescent="0.3">
      <c r="A227" t="s">
        <v>315</v>
      </c>
      <c r="B227" t="s">
        <v>316</v>
      </c>
      <c r="C227" t="s">
        <v>59</v>
      </c>
      <c r="E227" t="str">
        <f>"GAB2025483"</f>
        <v>GAB2025483</v>
      </c>
      <c r="F227" s="1">
        <v>45756</v>
      </c>
      <c r="G227">
        <v>202601</v>
      </c>
      <c r="H227" t="s">
        <v>77</v>
      </c>
      <c r="I227" t="s">
        <v>78</v>
      </c>
      <c r="J227" t="s">
        <v>317</v>
      </c>
      <c r="K227" t="s">
        <v>62</v>
      </c>
      <c r="L227" t="s">
        <v>295</v>
      </c>
      <c r="M227" t="s">
        <v>296</v>
      </c>
      <c r="N227" t="s">
        <v>988</v>
      </c>
      <c r="O227" t="s">
        <v>98</v>
      </c>
      <c r="P227" t="str">
        <f>"INV-00034531 031868           "</f>
        <v xml:space="preserve">INV-00034531 031868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5.57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91.11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10.199999999999999</v>
      </c>
      <c r="BJ227">
        <v>25</v>
      </c>
      <c r="BK227">
        <v>25</v>
      </c>
      <c r="BL227" s="4">
        <v>296.93</v>
      </c>
      <c r="BM227" s="4">
        <v>44.54</v>
      </c>
      <c r="BN227" s="4">
        <v>341.47</v>
      </c>
      <c r="BO227" s="4">
        <v>341.47</v>
      </c>
      <c r="BQ227" t="s">
        <v>529</v>
      </c>
      <c r="BR227" t="s">
        <v>320</v>
      </c>
      <c r="BS227" s="1">
        <v>45761</v>
      </c>
      <c r="BT227" s="2">
        <v>0.61111111111111116</v>
      </c>
      <c r="BU227" t="s">
        <v>989</v>
      </c>
      <c r="BV227" t="s">
        <v>74</v>
      </c>
      <c r="BY227">
        <v>124819.7</v>
      </c>
      <c r="CC227" t="s">
        <v>296</v>
      </c>
      <c r="CD227">
        <v>1050</v>
      </c>
      <c r="CE227" t="s">
        <v>322</v>
      </c>
      <c r="CF227" s="1">
        <v>45761</v>
      </c>
      <c r="CI227">
        <v>2</v>
      </c>
      <c r="CJ227">
        <v>3</v>
      </c>
      <c r="CK227">
        <v>43</v>
      </c>
      <c r="CL227" t="s">
        <v>66</v>
      </c>
    </row>
    <row r="228" spans="1:90" x14ac:dyDescent="0.3">
      <c r="A228" t="s">
        <v>315</v>
      </c>
      <c r="B228" t="s">
        <v>316</v>
      </c>
      <c r="C228" t="s">
        <v>59</v>
      </c>
      <c r="E228" t="str">
        <f>"GAB2025487"</f>
        <v>GAB2025487</v>
      </c>
      <c r="F228" s="1">
        <v>45756</v>
      </c>
      <c r="G228">
        <v>202601</v>
      </c>
      <c r="H228" t="s">
        <v>77</v>
      </c>
      <c r="I228" t="s">
        <v>78</v>
      </c>
      <c r="J228" t="s">
        <v>317</v>
      </c>
      <c r="K228" t="s">
        <v>62</v>
      </c>
      <c r="L228" t="s">
        <v>886</v>
      </c>
      <c r="M228" t="s">
        <v>887</v>
      </c>
      <c r="N228" t="s">
        <v>888</v>
      </c>
      <c r="O228" t="s">
        <v>98</v>
      </c>
      <c r="P228" t="str">
        <f>"INV-00034526 031842           "</f>
        <v xml:space="preserve">INV-00034526 031842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5.57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60.31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3.5</v>
      </c>
      <c r="BJ228">
        <v>12.4</v>
      </c>
      <c r="BK228">
        <v>13</v>
      </c>
      <c r="BL228" s="4">
        <v>198.43</v>
      </c>
      <c r="BM228" s="4">
        <v>29.76</v>
      </c>
      <c r="BN228" s="4">
        <v>228.19</v>
      </c>
      <c r="BO228" s="4">
        <v>228.19</v>
      </c>
      <c r="BQ228" t="s">
        <v>326</v>
      </c>
      <c r="BR228" t="s">
        <v>320</v>
      </c>
      <c r="BS228" s="1">
        <v>45758</v>
      </c>
      <c r="BT228" s="2">
        <v>0.52430555555555558</v>
      </c>
      <c r="BU228" t="s">
        <v>889</v>
      </c>
      <c r="BV228" t="s">
        <v>74</v>
      </c>
      <c r="BY228">
        <v>61872.3</v>
      </c>
      <c r="CA228" t="s">
        <v>151</v>
      </c>
      <c r="CC228" t="s">
        <v>887</v>
      </c>
      <c r="CD228">
        <v>7000</v>
      </c>
      <c r="CE228" t="s">
        <v>322</v>
      </c>
      <c r="CF228" s="1">
        <v>45763</v>
      </c>
      <c r="CI228">
        <v>5</v>
      </c>
      <c r="CJ228">
        <v>2</v>
      </c>
      <c r="CK228">
        <v>43</v>
      </c>
      <c r="CL228" t="s">
        <v>66</v>
      </c>
    </row>
    <row r="229" spans="1:90" x14ac:dyDescent="0.3">
      <c r="A229" t="s">
        <v>315</v>
      </c>
      <c r="B229" t="s">
        <v>316</v>
      </c>
      <c r="C229" t="s">
        <v>59</v>
      </c>
      <c r="E229" t="str">
        <f>"GAB2025494"</f>
        <v>GAB2025494</v>
      </c>
      <c r="F229" s="1">
        <v>45756</v>
      </c>
      <c r="G229">
        <v>202601</v>
      </c>
      <c r="H229" t="s">
        <v>77</v>
      </c>
      <c r="I229" t="s">
        <v>78</v>
      </c>
      <c r="J229" t="s">
        <v>317</v>
      </c>
      <c r="K229" t="s">
        <v>62</v>
      </c>
      <c r="L229" t="s">
        <v>83</v>
      </c>
      <c r="M229" t="s">
        <v>84</v>
      </c>
      <c r="N229" t="s">
        <v>483</v>
      </c>
      <c r="O229" t="s">
        <v>98</v>
      </c>
      <c r="P229" t="str">
        <f>"INV-00116866 CT092369         "</f>
        <v xml:space="preserve">INV-00116866 CT092369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5.57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155.75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3</v>
      </c>
      <c r="BI229">
        <v>23.5</v>
      </c>
      <c r="BJ229">
        <v>78.900000000000006</v>
      </c>
      <c r="BK229">
        <v>79</v>
      </c>
      <c r="BL229" s="4">
        <v>503.62</v>
      </c>
      <c r="BM229" s="4">
        <v>75.540000000000006</v>
      </c>
      <c r="BN229" s="4">
        <v>579.16</v>
      </c>
      <c r="BO229" s="4">
        <v>579.16</v>
      </c>
      <c r="BQ229" t="s">
        <v>990</v>
      </c>
      <c r="BR229" t="s">
        <v>320</v>
      </c>
      <c r="BS229" s="1">
        <v>45761</v>
      </c>
      <c r="BT229" s="2">
        <v>0.52777777777777779</v>
      </c>
      <c r="BU229" t="s">
        <v>991</v>
      </c>
      <c r="BV229" t="s">
        <v>74</v>
      </c>
      <c r="BY229">
        <v>394604.63</v>
      </c>
      <c r="CC229" t="s">
        <v>84</v>
      </c>
      <c r="CD229">
        <v>3201</v>
      </c>
      <c r="CE229" t="s">
        <v>992</v>
      </c>
      <c r="CF229" s="1">
        <v>45761</v>
      </c>
      <c r="CI229">
        <v>4</v>
      </c>
      <c r="CJ229">
        <v>3</v>
      </c>
      <c r="CK229">
        <v>41</v>
      </c>
      <c r="CL229" t="s">
        <v>66</v>
      </c>
    </row>
    <row r="230" spans="1:90" x14ac:dyDescent="0.3">
      <c r="A230" t="s">
        <v>315</v>
      </c>
      <c r="B230" t="s">
        <v>316</v>
      </c>
      <c r="C230" t="s">
        <v>59</v>
      </c>
      <c r="E230" t="str">
        <f>"GAB2025495"</f>
        <v>GAB2025495</v>
      </c>
      <c r="F230" s="1">
        <v>45756</v>
      </c>
      <c r="G230">
        <v>202601</v>
      </c>
      <c r="H230" t="s">
        <v>77</v>
      </c>
      <c r="I230" t="s">
        <v>78</v>
      </c>
      <c r="J230" t="s">
        <v>317</v>
      </c>
      <c r="K230" t="s">
        <v>62</v>
      </c>
      <c r="L230" t="s">
        <v>89</v>
      </c>
      <c r="M230" t="s">
        <v>90</v>
      </c>
      <c r="N230" t="s">
        <v>944</v>
      </c>
      <c r="O230" t="s">
        <v>98</v>
      </c>
      <c r="P230" t="str">
        <f>"INV-00116867 CT093636         "</f>
        <v xml:space="preserve">INV-00116867 CT093636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5.57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150.44999999999999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21.3</v>
      </c>
      <c r="BJ230">
        <v>75.3</v>
      </c>
      <c r="BK230">
        <v>76</v>
      </c>
      <c r="BL230" s="4">
        <v>486.68</v>
      </c>
      <c r="BM230" s="4">
        <v>73</v>
      </c>
      <c r="BN230" s="4">
        <v>559.67999999999995</v>
      </c>
      <c r="BO230" s="4">
        <v>559.67999999999995</v>
      </c>
      <c r="BQ230" t="s">
        <v>993</v>
      </c>
      <c r="BR230" t="s">
        <v>320</v>
      </c>
      <c r="BS230" s="1">
        <v>45758</v>
      </c>
      <c r="BT230" s="2">
        <v>0.44097222222222221</v>
      </c>
      <c r="BU230" t="s">
        <v>994</v>
      </c>
      <c r="BV230" t="s">
        <v>74</v>
      </c>
      <c r="BY230">
        <v>376332.66</v>
      </c>
      <c r="CA230" t="s">
        <v>987</v>
      </c>
      <c r="CC230" t="s">
        <v>90</v>
      </c>
      <c r="CD230">
        <v>4001</v>
      </c>
      <c r="CE230" t="s">
        <v>339</v>
      </c>
      <c r="CF230" s="1">
        <v>45761</v>
      </c>
      <c r="CI230">
        <v>3</v>
      </c>
      <c r="CJ230">
        <v>2</v>
      </c>
      <c r="CK230">
        <v>41</v>
      </c>
      <c r="CL230" t="s">
        <v>66</v>
      </c>
    </row>
    <row r="231" spans="1:90" x14ac:dyDescent="0.3">
      <c r="A231" t="s">
        <v>315</v>
      </c>
      <c r="B231" t="s">
        <v>316</v>
      </c>
      <c r="C231" t="s">
        <v>59</v>
      </c>
      <c r="E231" t="str">
        <f>"GAB2025496"</f>
        <v>GAB2025496</v>
      </c>
      <c r="F231" s="1">
        <v>45756</v>
      </c>
      <c r="G231">
        <v>202601</v>
      </c>
      <c r="H231" t="s">
        <v>77</v>
      </c>
      <c r="I231" t="s">
        <v>78</v>
      </c>
      <c r="J231" t="s">
        <v>317</v>
      </c>
      <c r="K231" t="s">
        <v>62</v>
      </c>
      <c r="L231" t="s">
        <v>206</v>
      </c>
      <c r="M231" t="s">
        <v>207</v>
      </c>
      <c r="N231" t="s">
        <v>995</v>
      </c>
      <c r="O231" t="s">
        <v>98</v>
      </c>
      <c r="P231" t="str">
        <f>"INV-00116902 CT093766         "</f>
        <v xml:space="preserve">INV-00116902 CT093766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5.57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42.76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1.1000000000000001</v>
      </c>
      <c r="BJ231">
        <v>1.8</v>
      </c>
      <c r="BK231">
        <v>2</v>
      </c>
      <c r="BL231" s="4">
        <v>142.31</v>
      </c>
      <c r="BM231" s="4">
        <v>21.35</v>
      </c>
      <c r="BN231" s="4">
        <v>163.66</v>
      </c>
      <c r="BO231" s="4">
        <v>163.66</v>
      </c>
      <c r="BQ231" t="s">
        <v>996</v>
      </c>
      <c r="BR231" t="s">
        <v>320</v>
      </c>
      <c r="BS231" s="1">
        <v>45758</v>
      </c>
      <c r="BT231" s="2">
        <v>0.36458333333333331</v>
      </c>
      <c r="BU231" t="s">
        <v>432</v>
      </c>
      <c r="BV231" t="s">
        <v>74</v>
      </c>
      <c r="BY231">
        <v>9038.9699999999993</v>
      </c>
      <c r="CA231" t="s">
        <v>433</v>
      </c>
      <c r="CC231" t="s">
        <v>207</v>
      </c>
      <c r="CD231" s="3" t="s">
        <v>287</v>
      </c>
      <c r="CE231" t="s">
        <v>339</v>
      </c>
      <c r="CF231" s="1">
        <v>45758</v>
      </c>
      <c r="CI231">
        <v>3</v>
      </c>
      <c r="CJ231">
        <v>2</v>
      </c>
      <c r="CK231">
        <v>41</v>
      </c>
      <c r="CL231" t="s">
        <v>66</v>
      </c>
    </row>
    <row r="232" spans="1:90" x14ac:dyDescent="0.3">
      <c r="A232" t="s">
        <v>315</v>
      </c>
      <c r="B232" t="s">
        <v>316</v>
      </c>
      <c r="C232" t="s">
        <v>59</v>
      </c>
      <c r="E232" t="str">
        <f>"GAB2025497"</f>
        <v>GAB2025497</v>
      </c>
      <c r="F232" s="1">
        <v>45756</v>
      </c>
      <c r="G232">
        <v>202601</v>
      </c>
      <c r="H232" t="s">
        <v>77</v>
      </c>
      <c r="I232" t="s">
        <v>78</v>
      </c>
      <c r="J232" t="s">
        <v>317</v>
      </c>
      <c r="K232" t="s">
        <v>62</v>
      </c>
      <c r="L232" t="s">
        <v>108</v>
      </c>
      <c r="M232" t="s">
        <v>109</v>
      </c>
      <c r="N232" t="s">
        <v>997</v>
      </c>
      <c r="O232" t="s">
        <v>98</v>
      </c>
      <c r="P232" t="str">
        <f>"INV-00116903 CT093767         "</f>
        <v xml:space="preserve">INV-00116903 CT093767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5.57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42.76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2.2999999999999998</v>
      </c>
      <c r="BJ232">
        <v>2.5</v>
      </c>
      <c r="BK232">
        <v>3</v>
      </c>
      <c r="BL232" s="4">
        <v>142.31</v>
      </c>
      <c r="BM232" s="4">
        <v>21.35</v>
      </c>
      <c r="BN232" s="4">
        <v>163.66</v>
      </c>
      <c r="BO232" s="4">
        <v>163.66</v>
      </c>
      <c r="BR232" t="s">
        <v>320</v>
      </c>
      <c r="BS232" s="1">
        <v>45758</v>
      </c>
      <c r="BT232" s="2">
        <v>0.54166666666666663</v>
      </c>
      <c r="BU232" t="s">
        <v>103</v>
      </c>
      <c r="BV232" t="s">
        <v>74</v>
      </c>
      <c r="BY232">
        <v>12351.52</v>
      </c>
      <c r="CA232" t="s">
        <v>214</v>
      </c>
      <c r="CC232" t="s">
        <v>109</v>
      </c>
      <c r="CD232">
        <v>2162</v>
      </c>
      <c r="CE232" t="s">
        <v>755</v>
      </c>
      <c r="CF232" s="1">
        <v>45759</v>
      </c>
      <c r="CI232">
        <v>2</v>
      </c>
      <c r="CJ232">
        <v>2</v>
      </c>
      <c r="CK232">
        <v>41</v>
      </c>
      <c r="CL232" t="s">
        <v>66</v>
      </c>
    </row>
    <row r="233" spans="1:90" x14ac:dyDescent="0.3">
      <c r="A233" t="s">
        <v>315</v>
      </c>
      <c r="B233" t="s">
        <v>316</v>
      </c>
      <c r="C233" t="s">
        <v>59</v>
      </c>
      <c r="E233" t="str">
        <f>"GAB2025498"</f>
        <v>GAB2025498</v>
      </c>
      <c r="F233" s="1">
        <v>45756</v>
      </c>
      <c r="G233">
        <v>202601</v>
      </c>
      <c r="H233" t="s">
        <v>77</v>
      </c>
      <c r="I233" t="s">
        <v>78</v>
      </c>
      <c r="J233" t="s">
        <v>317</v>
      </c>
      <c r="K233" t="s">
        <v>62</v>
      </c>
      <c r="L233" t="s">
        <v>89</v>
      </c>
      <c r="M233" t="s">
        <v>90</v>
      </c>
      <c r="N233" t="s">
        <v>998</v>
      </c>
      <c r="O233" t="s">
        <v>98</v>
      </c>
      <c r="P233" t="str">
        <f>"INV-00116904 CT093850         "</f>
        <v xml:space="preserve">INV-00116904 CT093850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5.57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42.76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4.4000000000000004</v>
      </c>
      <c r="BJ233">
        <v>12.6</v>
      </c>
      <c r="BK233">
        <v>13</v>
      </c>
      <c r="BL233" s="4">
        <v>142.31</v>
      </c>
      <c r="BM233" s="4">
        <v>21.35</v>
      </c>
      <c r="BN233" s="4">
        <v>163.66</v>
      </c>
      <c r="BO233" s="4">
        <v>163.66</v>
      </c>
      <c r="BQ233" t="s">
        <v>999</v>
      </c>
      <c r="BR233" t="s">
        <v>320</v>
      </c>
      <c r="BS233" s="1">
        <v>45761</v>
      </c>
      <c r="BT233" s="2">
        <v>0.48749999999999999</v>
      </c>
      <c r="BU233" t="s">
        <v>1000</v>
      </c>
      <c r="BV233" t="s">
        <v>74</v>
      </c>
      <c r="BY233">
        <v>63119.63</v>
      </c>
      <c r="CA233" t="s">
        <v>232</v>
      </c>
      <c r="CC233" t="s">
        <v>90</v>
      </c>
      <c r="CD233">
        <v>4001</v>
      </c>
      <c r="CE233" t="s">
        <v>525</v>
      </c>
      <c r="CF233" s="1">
        <v>45762</v>
      </c>
      <c r="CI233">
        <v>3</v>
      </c>
      <c r="CJ233">
        <v>3</v>
      </c>
      <c r="CK233">
        <v>41</v>
      </c>
      <c r="CL233" t="s">
        <v>66</v>
      </c>
    </row>
    <row r="234" spans="1:90" x14ac:dyDescent="0.3">
      <c r="A234" t="s">
        <v>315</v>
      </c>
      <c r="B234" t="s">
        <v>316</v>
      </c>
      <c r="C234" t="s">
        <v>59</v>
      </c>
      <c r="E234" t="str">
        <f>"GAB2025499"</f>
        <v>GAB2025499</v>
      </c>
      <c r="F234" s="1">
        <v>45756</v>
      </c>
      <c r="G234">
        <v>202601</v>
      </c>
      <c r="H234" t="s">
        <v>77</v>
      </c>
      <c r="I234" t="s">
        <v>78</v>
      </c>
      <c r="J234" t="s">
        <v>317</v>
      </c>
      <c r="K234" t="s">
        <v>62</v>
      </c>
      <c r="L234" t="s">
        <v>361</v>
      </c>
      <c r="M234" t="s">
        <v>362</v>
      </c>
      <c r="N234" t="s">
        <v>363</v>
      </c>
      <c r="O234" t="s">
        <v>98</v>
      </c>
      <c r="P234" t="str">
        <f>"INV-00116905 CT093788         "</f>
        <v xml:space="preserve">INV-00116905 CT093788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5.57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97.27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2</v>
      </c>
      <c r="BI234">
        <v>8.5</v>
      </c>
      <c r="BJ234">
        <v>26.4</v>
      </c>
      <c r="BK234">
        <v>27</v>
      </c>
      <c r="BL234" s="4">
        <v>316.63</v>
      </c>
      <c r="BM234" s="4">
        <v>47.49</v>
      </c>
      <c r="BN234" s="4">
        <v>364.12</v>
      </c>
      <c r="BO234" s="4">
        <v>364.12</v>
      </c>
      <c r="BQ234" t="s">
        <v>1001</v>
      </c>
      <c r="BR234" t="s">
        <v>320</v>
      </c>
      <c r="BS234" s="1">
        <v>45758</v>
      </c>
      <c r="BT234" s="2">
        <v>0.52430555555555558</v>
      </c>
      <c r="BU234" t="s">
        <v>1002</v>
      </c>
      <c r="BV234" t="s">
        <v>74</v>
      </c>
      <c r="BY234">
        <v>131873.54999999999</v>
      </c>
      <c r="CA234" t="s">
        <v>366</v>
      </c>
      <c r="CC234" t="s">
        <v>362</v>
      </c>
      <c r="CD234">
        <v>1380</v>
      </c>
      <c r="CE234" t="s">
        <v>525</v>
      </c>
      <c r="CF234" s="1">
        <v>45758</v>
      </c>
      <c r="CI234">
        <v>2</v>
      </c>
      <c r="CJ234">
        <v>2</v>
      </c>
      <c r="CK234">
        <v>43</v>
      </c>
      <c r="CL234" t="s">
        <v>66</v>
      </c>
    </row>
    <row r="235" spans="1:90" x14ac:dyDescent="0.3">
      <c r="A235" t="s">
        <v>315</v>
      </c>
      <c r="B235" t="s">
        <v>316</v>
      </c>
      <c r="C235" t="s">
        <v>59</v>
      </c>
      <c r="E235" t="str">
        <f>"GAB2025505"</f>
        <v>GAB2025505</v>
      </c>
      <c r="F235" s="1">
        <v>45756</v>
      </c>
      <c r="G235">
        <v>202601</v>
      </c>
      <c r="H235" t="s">
        <v>77</v>
      </c>
      <c r="I235" t="s">
        <v>78</v>
      </c>
      <c r="J235" t="s">
        <v>317</v>
      </c>
      <c r="K235" t="s">
        <v>62</v>
      </c>
      <c r="L235" t="s">
        <v>89</v>
      </c>
      <c r="M235" t="s">
        <v>90</v>
      </c>
      <c r="N235" t="s">
        <v>1003</v>
      </c>
      <c r="O235" t="s">
        <v>98</v>
      </c>
      <c r="P235" t="str">
        <f>"INV-00116910 CT093822         "</f>
        <v xml:space="preserve">INV-00116910 CT093822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5.57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42.76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0.8</v>
      </c>
      <c r="BJ235">
        <v>1.9</v>
      </c>
      <c r="BK235">
        <v>2</v>
      </c>
      <c r="BL235" s="4">
        <v>142.31</v>
      </c>
      <c r="BM235" s="4">
        <v>21.35</v>
      </c>
      <c r="BN235" s="4">
        <v>163.66</v>
      </c>
      <c r="BO235" s="4">
        <v>163.66</v>
      </c>
      <c r="BQ235" t="s">
        <v>985</v>
      </c>
      <c r="BR235" t="s">
        <v>320</v>
      </c>
      <c r="BS235" s="1">
        <v>45758</v>
      </c>
      <c r="BT235" s="2">
        <v>0.49513888888888891</v>
      </c>
      <c r="BU235" t="s">
        <v>1004</v>
      </c>
      <c r="BV235" t="s">
        <v>74</v>
      </c>
      <c r="BY235">
        <v>9535.2999999999993</v>
      </c>
      <c r="CA235" t="s">
        <v>987</v>
      </c>
      <c r="CC235" t="s">
        <v>90</v>
      </c>
      <c r="CD235">
        <v>4001</v>
      </c>
      <c r="CE235" t="s">
        <v>755</v>
      </c>
      <c r="CF235" s="1">
        <v>45761</v>
      </c>
      <c r="CI235">
        <v>3</v>
      </c>
      <c r="CJ235">
        <v>2</v>
      </c>
      <c r="CK235">
        <v>41</v>
      </c>
      <c r="CL235" t="s">
        <v>66</v>
      </c>
    </row>
    <row r="236" spans="1:90" x14ac:dyDescent="0.3">
      <c r="A236" t="s">
        <v>315</v>
      </c>
      <c r="B236" t="s">
        <v>316</v>
      </c>
      <c r="C236" t="s">
        <v>59</v>
      </c>
      <c r="E236" t="str">
        <f>"GAB2025467"</f>
        <v>GAB2025467</v>
      </c>
      <c r="F236" s="1">
        <v>45756</v>
      </c>
      <c r="G236">
        <v>202601</v>
      </c>
      <c r="H236" t="s">
        <v>77</v>
      </c>
      <c r="I236" t="s">
        <v>78</v>
      </c>
      <c r="J236" t="s">
        <v>317</v>
      </c>
      <c r="K236" t="s">
        <v>62</v>
      </c>
      <c r="L236" t="s">
        <v>95</v>
      </c>
      <c r="M236" t="s">
        <v>96</v>
      </c>
      <c r="N236" t="s">
        <v>830</v>
      </c>
      <c r="O236" t="s">
        <v>65</v>
      </c>
      <c r="P236" t="str">
        <f>"INV-00116874 CT093824         "</f>
        <v xml:space="preserve">INV-00116874 CT093824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27.64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16.739999999999998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0.3</v>
      </c>
      <c r="BJ236">
        <v>2.2999999999999998</v>
      </c>
      <c r="BK236">
        <v>2.5</v>
      </c>
      <c r="BL236" s="4">
        <v>105.12</v>
      </c>
      <c r="BM236" s="4">
        <v>15.77</v>
      </c>
      <c r="BN236" s="4">
        <v>120.89</v>
      </c>
      <c r="BO236" s="4">
        <v>120.89</v>
      </c>
      <c r="BQ236" t="s">
        <v>1005</v>
      </c>
      <c r="BR236" t="s">
        <v>320</v>
      </c>
      <c r="BS236" s="1">
        <v>45757</v>
      </c>
      <c r="BT236" s="2">
        <v>0.41666666666666669</v>
      </c>
      <c r="BU236" t="s">
        <v>304</v>
      </c>
      <c r="BV236" t="s">
        <v>74</v>
      </c>
      <c r="BY236">
        <v>11699.84</v>
      </c>
      <c r="BZ236" t="s">
        <v>26</v>
      </c>
      <c r="CC236" t="s">
        <v>96</v>
      </c>
      <c r="CD236">
        <v>1863</v>
      </c>
      <c r="CE236" t="s">
        <v>393</v>
      </c>
      <c r="CF236" s="1">
        <v>45758</v>
      </c>
      <c r="CI236">
        <v>0</v>
      </c>
      <c r="CJ236">
        <v>0</v>
      </c>
      <c r="CK236">
        <v>21</v>
      </c>
      <c r="CL236" t="s">
        <v>66</v>
      </c>
    </row>
    <row r="237" spans="1:90" x14ac:dyDescent="0.3">
      <c r="A237" t="s">
        <v>315</v>
      </c>
      <c r="B237" t="s">
        <v>316</v>
      </c>
      <c r="C237" t="s">
        <v>59</v>
      </c>
      <c r="E237" t="str">
        <f>"GAB2025468"</f>
        <v>GAB2025468</v>
      </c>
      <c r="F237" s="1">
        <v>45756</v>
      </c>
      <c r="G237">
        <v>202601</v>
      </c>
      <c r="H237" t="s">
        <v>77</v>
      </c>
      <c r="I237" t="s">
        <v>78</v>
      </c>
      <c r="J237" t="s">
        <v>317</v>
      </c>
      <c r="K237" t="s">
        <v>62</v>
      </c>
      <c r="L237" t="s">
        <v>1006</v>
      </c>
      <c r="M237" t="s">
        <v>1007</v>
      </c>
      <c r="N237" t="s">
        <v>1008</v>
      </c>
      <c r="O237" t="s">
        <v>65</v>
      </c>
      <c r="P237" t="str">
        <f>"INV-00116875 CT093827         "</f>
        <v xml:space="preserve">INV-00116875 CT093827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31.1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1.9</v>
      </c>
      <c r="BK237">
        <v>2</v>
      </c>
      <c r="BL237" s="4">
        <v>99.45</v>
      </c>
      <c r="BM237" s="4">
        <v>14.92</v>
      </c>
      <c r="BN237" s="4">
        <v>114.37</v>
      </c>
      <c r="BO237" s="4">
        <v>114.37</v>
      </c>
      <c r="BR237" t="s">
        <v>320</v>
      </c>
      <c r="BS237" s="1">
        <v>45757</v>
      </c>
      <c r="BT237" s="2">
        <v>0.46250000000000002</v>
      </c>
      <c r="BU237" t="s">
        <v>1009</v>
      </c>
      <c r="BV237" t="s">
        <v>74</v>
      </c>
      <c r="BY237">
        <v>9703.4</v>
      </c>
      <c r="CA237" t="s">
        <v>224</v>
      </c>
      <c r="CC237" t="s">
        <v>1007</v>
      </c>
      <c r="CD237">
        <v>7129</v>
      </c>
      <c r="CE237" t="s">
        <v>343</v>
      </c>
      <c r="CF237" s="1">
        <v>45758</v>
      </c>
      <c r="CI237">
        <v>1</v>
      </c>
      <c r="CJ237">
        <v>1</v>
      </c>
      <c r="CK237">
        <v>24</v>
      </c>
      <c r="CL237" t="s">
        <v>66</v>
      </c>
    </row>
    <row r="238" spans="1:90" x14ac:dyDescent="0.3">
      <c r="A238" t="s">
        <v>315</v>
      </c>
      <c r="B238" t="s">
        <v>316</v>
      </c>
      <c r="C238" t="s">
        <v>59</v>
      </c>
      <c r="E238" t="str">
        <f>"GAB2025469"</f>
        <v>GAB2025469</v>
      </c>
      <c r="F238" s="1">
        <v>45756</v>
      </c>
      <c r="G238">
        <v>202601</v>
      </c>
      <c r="H238" t="s">
        <v>77</v>
      </c>
      <c r="I238" t="s">
        <v>78</v>
      </c>
      <c r="J238" t="s">
        <v>317</v>
      </c>
      <c r="K238" t="s">
        <v>62</v>
      </c>
      <c r="L238" t="s">
        <v>171</v>
      </c>
      <c r="M238" t="s">
        <v>172</v>
      </c>
      <c r="N238" t="s">
        <v>847</v>
      </c>
      <c r="O238" t="s">
        <v>65</v>
      </c>
      <c r="P238" t="str">
        <f>"INV-00116876 CT093826         "</f>
        <v xml:space="preserve">INV-00116876 CT093826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62.19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16.739999999999998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0.1</v>
      </c>
      <c r="BJ238">
        <v>2.7</v>
      </c>
      <c r="BK238">
        <v>3</v>
      </c>
      <c r="BL238" s="4">
        <v>215.61</v>
      </c>
      <c r="BM238" s="4">
        <v>32.340000000000003</v>
      </c>
      <c r="BN238" s="4">
        <v>247.95</v>
      </c>
      <c r="BO238" s="4">
        <v>247.95</v>
      </c>
      <c r="BQ238" t="s">
        <v>848</v>
      </c>
      <c r="BR238" t="s">
        <v>320</v>
      </c>
      <c r="BS238" s="1">
        <v>45757</v>
      </c>
      <c r="BT238" s="2">
        <v>0.36319444444444443</v>
      </c>
      <c r="BU238" t="s">
        <v>1010</v>
      </c>
      <c r="BV238" t="s">
        <v>74</v>
      </c>
      <c r="BY238">
        <v>13608.83</v>
      </c>
      <c r="BZ238" t="s">
        <v>26</v>
      </c>
      <c r="CA238" t="s">
        <v>1011</v>
      </c>
      <c r="CC238" t="s">
        <v>172</v>
      </c>
      <c r="CD238">
        <v>1982</v>
      </c>
      <c r="CE238" t="s">
        <v>393</v>
      </c>
      <c r="CF238" s="1">
        <v>45758</v>
      </c>
      <c r="CI238">
        <v>1</v>
      </c>
      <c r="CJ238">
        <v>1</v>
      </c>
      <c r="CK238">
        <v>23</v>
      </c>
      <c r="CL238" t="s">
        <v>66</v>
      </c>
    </row>
    <row r="239" spans="1:90" x14ac:dyDescent="0.3">
      <c r="A239" t="s">
        <v>315</v>
      </c>
      <c r="B239" t="s">
        <v>316</v>
      </c>
      <c r="C239" t="s">
        <v>59</v>
      </c>
      <c r="E239" t="str">
        <f>"GAB2025471"</f>
        <v>GAB2025471</v>
      </c>
      <c r="F239" s="1">
        <v>45756</v>
      </c>
      <c r="G239">
        <v>202601</v>
      </c>
      <c r="H239" t="s">
        <v>77</v>
      </c>
      <c r="I239" t="s">
        <v>78</v>
      </c>
      <c r="J239" t="s">
        <v>317</v>
      </c>
      <c r="K239" t="s">
        <v>62</v>
      </c>
      <c r="L239" t="s">
        <v>129</v>
      </c>
      <c r="M239" t="s">
        <v>130</v>
      </c>
      <c r="N239" t="s">
        <v>1012</v>
      </c>
      <c r="O239" t="s">
        <v>65</v>
      </c>
      <c r="P239" t="str">
        <f>"INV-00116879 CT093821         "</f>
        <v xml:space="preserve">INV-00116879 CT093821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42.84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0.5</v>
      </c>
      <c r="BJ239">
        <v>1.7</v>
      </c>
      <c r="BK239">
        <v>2</v>
      </c>
      <c r="BL239" s="4">
        <v>137</v>
      </c>
      <c r="BM239" s="4">
        <v>20.55</v>
      </c>
      <c r="BN239" s="4">
        <v>157.55000000000001</v>
      </c>
      <c r="BO239" s="4">
        <v>157.55000000000001</v>
      </c>
      <c r="BR239" t="s">
        <v>320</v>
      </c>
      <c r="BS239" s="1">
        <v>45758</v>
      </c>
      <c r="BT239" s="2">
        <v>0.44236111111111109</v>
      </c>
      <c r="BU239" t="s">
        <v>1013</v>
      </c>
      <c r="BV239" t="s">
        <v>74</v>
      </c>
      <c r="BY239">
        <v>8577.2000000000007</v>
      </c>
      <c r="CA239" t="s">
        <v>216</v>
      </c>
      <c r="CC239" t="s">
        <v>130</v>
      </c>
      <c r="CD239">
        <v>4450</v>
      </c>
      <c r="CE239" t="s">
        <v>586</v>
      </c>
      <c r="CF239" s="1">
        <v>45761</v>
      </c>
      <c r="CI239">
        <v>2</v>
      </c>
      <c r="CJ239">
        <v>2</v>
      </c>
      <c r="CK239">
        <v>23</v>
      </c>
      <c r="CL239" t="s">
        <v>66</v>
      </c>
    </row>
    <row r="240" spans="1:90" x14ac:dyDescent="0.3">
      <c r="A240" t="s">
        <v>315</v>
      </c>
      <c r="B240" t="s">
        <v>316</v>
      </c>
      <c r="C240" t="s">
        <v>59</v>
      </c>
      <c r="E240" t="str">
        <f>"GAB2025472"</f>
        <v>GAB2025472</v>
      </c>
      <c r="F240" s="1">
        <v>45756</v>
      </c>
      <c r="G240">
        <v>202601</v>
      </c>
      <c r="H240" t="s">
        <v>77</v>
      </c>
      <c r="I240" t="s">
        <v>78</v>
      </c>
      <c r="J240" t="s">
        <v>317</v>
      </c>
      <c r="K240" t="s">
        <v>62</v>
      </c>
      <c r="L240" t="s">
        <v>91</v>
      </c>
      <c r="M240" t="s">
        <v>92</v>
      </c>
      <c r="N240" t="s">
        <v>1014</v>
      </c>
      <c r="O240" t="s">
        <v>65</v>
      </c>
      <c r="P240" t="str">
        <f>"INV-00034522 031838           "</f>
        <v xml:space="preserve">INV-00034522 031838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27.64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2.2999999999999998</v>
      </c>
      <c r="BK240">
        <v>2.5</v>
      </c>
      <c r="BL240" s="4">
        <v>88.38</v>
      </c>
      <c r="BM240" s="4">
        <v>13.26</v>
      </c>
      <c r="BN240" s="4">
        <v>101.64</v>
      </c>
      <c r="BO240" s="4">
        <v>101.64</v>
      </c>
      <c r="BR240" t="s">
        <v>320</v>
      </c>
      <c r="BS240" s="1">
        <v>45757</v>
      </c>
      <c r="BT240" s="2">
        <v>0.3298611111111111</v>
      </c>
      <c r="BU240" t="s">
        <v>1015</v>
      </c>
      <c r="BV240" t="s">
        <v>74</v>
      </c>
      <c r="BY240">
        <v>11382.5</v>
      </c>
      <c r="CA240" t="s">
        <v>1016</v>
      </c>
      <c r="CC240" t="s">
        <v>92</v>
      </c>
      <c r="CD240" s="3" t="s">
        <v>235</v>
      </c>
      <c r="CE240" t="s">
        <v>343</v>
      </c>
      <c r="CF240" s="1">
        <v>45757</v>
      </c>
      <c r="CI240">
        <v>1</v>
      </c>
      <c r="CJ240">
        <v>1</v>
      </c>
      <c r="CK240">
        <v>21</v>
      </c>
      <c r="CL240" t="s">
        <v>66</v>
      </c>
    </row>
    <row r="241" spans="1:90" x14ac:dyDescent="0.3">
      <c r="A241" t="s">
        <v>315</v>
      </c>
      <c r="B241" t="s">
        <v>316</v>
      </c>
      <c r="C241" t="s">
        <v>59</v>
      </c>
      <c r="E241" t="str">
        <f>"GAB2025474"</f>
        <v>GAB2025474</v>
      </c>
      <c r="F241" s="1">
        <v>45756</v>
      </c>
      <c r="G241">
        <v>202601</v>
      </c>
      <c r="H241" t="s">
        <v>77</v>
      </c>
      <c r="I241" t="s">
        <v>78</v>
      </c>
      <c r="J241" t="s">
        <v>317</v>
      </c>
      <c r="K241" t="s">
        <v>62</v>
      </c>
      <c r="L241" t="s">
        <v>228</v>
      </c>
      <c r="M241" t="s">
        <v>229</v>
      </c>
      <c r="N241" t="s">
        <v>1017</v>
      </c>
      <c r="O241" t="s">
        <v>65</v>
      </c>
      <c r="P241" t="str">
        <f>"INV-00034521 031839           "</f>
        <v xml:space="preserve">INV-00034521 031839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42.84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0.1</v>
      </c>
      <c r="BJ241">
        <v>2</v>
      </c>
      <c r="BK241">
        <v>2</v>
      </c>
      <c r="BL241" s="4">
        <v>137</v>
      </c>
      <c r="BM241" s="4">
        <v>20.55</v>
      </c>
      <c r="BN241" s="4">
        <v>157.55000000000001</v>
      </c>
      <c r="BO241" s="4">
        <v>157.55000000000001</v>
      </c>
      <c r="BQ241" t="s">
        <v>1018</v>
      </c>
      <c r="BR241" t="s">
        <v>320</v>
      </c>
      <c r="BS241" s="1">
        <v>45757</v>
      </c>
      <c r="BT241" s="2">
        <v>0.54166666666666663</v>
      </c>
      <c r="BU241" t="s">
        <v>1019</v>
      </c>
      <c r="BV241" t="s">
        <v>74</v>
      </c>
      <c r="BY241">
        <v>9762.68</v>
      </c>
      <c r="CA241" t="s">
        <v>151</v>
      </c>
      <c r="CC241" t="s">
        <v>229</v>
      </c>
      <c r="CD241">
        <v>6500</v>
      </c>
      <c r="CE241" t="s">
        <v>393</v>
      </c>
      <c r="CF241" s="1">
        <v>45758</v>
      </c>
      <c r="CI241">
        <v>1</v>
      </c>
      <c r="CJ241">
        <v>1</v>
      </c>
      <c r="CK241">
        <v>23</v>
      </c>
      <c r="CL241" t="s">
        <v>66</v>
      </c>
    </row>
    <row r="242" spans="1:90" x14ac:dyDescent="0.3">
      <c r="A242" t="s">
        <v>315</v>
      </c>
      <c r="B242" t="s">
        <v>316</v>
      </c>
      <c r="C242" t="s">
        <v>59</v>
      </c>
      <c r="E242" t="str">
        <f>"GAB2025475"</f>
        <v>GAB2025475</v>
      </c>
      <c r="F242" s="1">
        <v>45756</v>
      </c>
      <c r="G242">
        <v>202601</v>
      </c>
      <c r="H242" t="s">
        <v>77</v>
      </c>
      <c r="I242" t="s">
        <v>78</v>
      </c>
      <c r="J242" t="s">
        <v>317</v>
      </c>
      <c r="K242" t="s">
        <v>62</v>
      </c>
      <c r="L242" t="s">
        <v>546</v>
      </c>
      <c r="M242" t="s">
        <v>547</v>
      </c>
      <c r="N242" t="s">
        <v>1020</v>
      </c>
      <c r="O242" t="s">
        <v>65</v>
      </c>
      <c r="P242" t="str">
        <f>"INV-00116868 CT093810         "</f>
        <v xml:space="preserve">INV-00116868 CT093810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27.64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0.5</v>
      </c>
      <c r="BJ242">
        <v>2.4</v>
      </c>
      <c r="BK242">
        <v>2.5</v>
      </c>
      <c r="BL242" s="4">
        <v>88.38</v>
      </c>
      <c r="BM242" s="4">
        <v>13.26</v>
      </c>
      <c r="BN242" s="4">
        <v>101.64</v>
      </c>
      <c r="BO242" s="4">
        <v>101.64</v>
      </c>
      <c r="BQ242" t="s">
        <v>1021</v>
      </c>
      <c r="BR242" t="s">
        <v>320</v>
      </c>
      <c r="BS242" s="1">
        <v>45762</v>
      </c>
      <c r="BT242" s="2">
        <v>0.46875</v>
      </c>
      <c r="BU242" t="s">
        <v>1022</v>
      </c>
      <c r="BV242" t="s">
        <v>66</v>
      </c>
      <c r="BW242" t="s">
        <v>292</v>
      </c>
      <c r="BX242" t="s">
        <v>531</v>
      </c>
      <c r="BY242">
        <v>11787.66</v>
      </c>
      <c r="CC242" t="s">
        <v>547</v>
      </c>
      <c r="CD242">
        <v>9301</v>
      </c>
      <c r="CE242" t="s">
        <v>412</v>
      </c>
      <c r="CF242" s="1">
        <v>45762</v>
      </c>
      <c r="CI242">
        <v>2</v>
      </c>
      <c r="CJ242">
        <v>4</v>
      </c>
      <c r="CK242">
        <v>21</v>
      </c>
      <c r="CL242" t="s">
        <v>66</v>
      </c>
    </row>
    <row r="243" spans="1:90" x14ac:dyDescent="0.3">
      <c r="A243" t="s">
        <v>315</v>
      </c>
      <c r="B243" t="s">
        <v>316</v>
      </c>
      <c r="C243" t="s">
        <v>59</v>
      </c>
      <c r="E243" t="str">
        <f>"GAB2025476"</f>
        <v>GAB2025476</v>
      </c>
      <c r="F243" s="1">
        <v>45756</v>
      </c>
      <c r="G243">
        <v>202601</v>
      </c>
      <c r="H243" t="s">
        <v>77</v>
      </c>
      <c r="I243" t="s">
        <v>78</v>
      </c>
      <c r="J243" t="s">
        <v>317</v>
      </c>
      <c r="K243" t="s">
        <v>62</v>
      </c>
      <c r="L243" t="s">
        <v>95</v>
      </c>
      <c r="M243" t="s">
        <v>96</v>
      </c>
      <c r="N243" t="s">
        <v>1023</v>
      </c>
      <c r="O243" t="s">
        <v>65</v>
      </c>
      <c r="P243" t="str">
        <f>"INV-00116869 CT093816         "</f>
        <v xml:space="preserve">INV-00116869 CT093816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22.11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0.1</v>
      </c>
      <c r="BJ243">
        <v>2</v>
      </c>
      <c r="BK243">
        <v>2</v>
      </c>
      <c r="BL243" s="4">
        <v>70.709999999999994</v>
      </c>
      <c r="BM243" s="4">
        <v>10.61</v>
      </c>
      <c r="BN243" s="4">
        <v>81.319999999999993</v>
      </c>
      <c r="BO243" s="4">
        <v>81.319999999999993</v>
      </c>
      <c r="BQ243" t="s">
        <v>1024</v>
      </c>
      <c r="BR243" t="s">
        <v>320</v>
      </c>
      <c r="BS243" s="1">
        <v>45757</v>
      </c>
      <c r="BT243" s="2">
        <v>0.41666666666666669</v>
      </c>
      <c r="BU243" t="s">
        <v>1025</v>
      </c>
      <c r="BV243" t="s">
        <v>74</v>
      </c>
      <c r="BY243">
        <v>9827.6</v>
      </c>
      <c r="CA243" t="s">
        <v>1026</v>
      </c>
      <c r="CC243" t="s">
        <v>96</v>
      </c>
      <c r="CD243">
        <v>2196</v>
      </c>
      <c r="CE243" t="s">
        <v>393</v>
      </c>
      <c r="CF243" s="1">
        <v>45757</v>
      </c>
      <c r="CI243">
        <v>1</v>
      </c>
      <c r="CJ243">
        <v>1</v>
      </c>
      <c r="CK243">
        <v>21</v>
      </c>
      <c r="CL243" t="s">
        <v>66</v>
      </c>
    </row>
    <row r="244" spans="1:90" x14ac:dyDescent="0.3">
      <c r="A244" t="s">
        <v>315</v>
      </c>
      <c r="B244" t="s">
        <v>316</v>
      </c>
      <c r="C244" t="s">
        <v>59</v>
      </c>
      <c r="E244" t="str">
        <f>"GAB2025477"</f>
        <v>GAB2025477</v>
      </c>
      <c r="F244" s="1">
        <v>45756</v>
      </c>
      <c r="G244">
        <v>202601</v>
      </c>
      <c r="H244" t="s">
        <v>77</v>
      </c>
      <c r="I244" t="s">
        <v>78</v>
      </c>
      <c r="J244" t="s">
        <v>317</v>
      </c>
      <c r="K244" t="s">
        <v>62</v>
      </c>
      <c r="L244" t="s">
        <v>63</v>
      </c>
      <c r="M244" t="s">
        <v>64</v>
      </c>
      <c r="N244" t="s">
        <v>336</v>
      </c>
      <c r="O244" t="s">
        <v>65</v>
      </c>
      <c r="P244" t="str">
        <f>"INV-00116870 CT093819         "</f>
        <v xml:space="preserve">INV-00116870 CT093819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27.64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2.1</v>
      </c>
      <c r="BK244">
        <v>2.5</v>
      </c>
      <c r="BL244" s="4">
        <v>88.38</v>
      </c>
      <c r="BM244" s="4">
        <v>13.26</v>
      </c>
      <c r="BN244" s="4">
        <v>101.64</v>
      </c>
      <c r="BO244" s="4">
        <v>101.64</v>
      </c>
      <c r="BR244" t="s">
        <v>320</v>
      </c>
      <c r="BS244" s="1">
        <v>45757</v>
      </c>
      <c r="BT244" s="2">
        <v>0.44444444444444442</v>
      </c>
      <c r="BU244" t="s">
        <v>557</v>
      </c>
      <c r="BV244" t="s">
        <v>66</v>
      </c>
      <c r="BY244">
        <v>10416.15</v>
      </c>
      <c r="CA244" t="s">
        <v>299</v>
      </c>
      <c r="CC244" t="s">
        <v>64</v>
      </c>
      <c r="CD244">
        <v>5200</v>
      </c>
      <c r="CE244" t="s">
        <v>1027</v>
      </c>
      <c r="CF244" s="1">
        <v>45757</v>
      </c>
      <c r="CI244">
        <v>1</v>
      </c>
      <c r="CJ244">
        <v>1</v>
      </c>
      <c r="CK244">
        <v>21</v>
      </c>
      <c r="CL244" t="s">
        <v>66</v>
      </c>
    </row>
    <row r="245" spans="1:90" x14ac:dyDescent="0.3">
      <c r="A245" t="s">
        <v>315</v>
      </c>
      <c r="B245" t="s">
        <v>316</v>
      </c>
      <c r="C245" t="s">
        <v>59</v>
      </c>
      <c r="E245" t="str">
        <f>"GAB2025480"</f>
        <v>GAB2025480</v>
      </c>
      <c r="F245" s="1">
        <v>45756</v>
      </c>
      <c r="G245">
        <v>202601</v>
      </c>
      <c r="H245" t="s">
        <v>77</v>
      </c>
      <c r="I245" t="s">
        <v>78</v>
      </c>
      <c r="J245" t="s">
        <v>317</v>
      </c>
      <c r="K245" t="s">
        <v>62</v>
      </c>
      <c r="L245" t="s">
        <v>254</v>
      </c>
      <c r="M245" t="s">
        <v>255</v>
      </c>
      <c r="N245" t="s">
        <v>1028</v>
      </c>
      <c r="O245" t="s">
        <v>65</v>
      </c>
      <c r="P245" t="str">
        <f>"INV-00116896 CT093846         "</f>
        <v xml:space="preserve">INV-00116896 CT093846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42.84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2</v>
      </c>
      <c r="BK245">
        <v>2</v>
      </c>
      <c r="BL245" s="4">
        <v>137</v>
      </c>
      <c r="BM245" s="4">
        <v>20.55</v>
      </c>
      <c r="BN245" s="4">
        <v>157.55000000000001</v>
      </c>
      <c r="BO245" s="4">
        <v>157.55000000000001</v>
      </c>
      <c r="BQ245" t="s">
        <v>1029</v>
      </c>
      <c r="BR245" t="s">
        <v>320</v>
      </c>
      <c r="BS245" s="1">
        <v>45761</v>
      </c>
      <c r="BT245" s="2">
        <v>0.66736111111111107</v>
      </c>
      <c r="BU245" t="s">
        <v>1030</v>
      </c>
      <c r="BV245" t="s">
        <v>66</v>
      </c>
      <c r="BW245" t="s">
        <v>112</v>
      </c>
      <c r="BX245" t="s">
        <v>240</v>
      </c>
      <c r="BY245">
        <v>9854.67</v>
      </c>
      <c r="CA245" t="s">
        <v>298</v>
      </c>
      <c r="CC245" t="s">
        <v>255</v>
      </c>
      <c r="CD245">
        <v>4420</v>
      </c>
      <c r="CE245" t="s">
        <v>393</v>
      </c>
      <c r="CF245" s="1">
        <v>45762</v>
      </c>
      <c r="CI245">
        <v>2</v>
      </c>
      <c r="CJ245">
        <v>3</v>
      </c>
      <c r="CK245">
        <v>23</v>
      </c>
      <c r="CL245" t="s">
        <v>66</v>
      </c>
    </row>
    <row r="246" spans="1:90" x14ac:dyDescent="0.3">
      <c r="A246" t="s">
        <v>315</v>
      </c>
      <c r="B246" t="s">
        <v>316</v>
      </c>
      <c r="C246" t="s">
        <v>59</v>
      </c>
      <c r="E246" t="str">
        <f>"GAB2025481"</f>
        <v>GAB2025481</v>
      </c>
      <c r="F246" s="1">
        <v>45756</v>
      </c>
      <c r="G246">
        <v>202601</v>
      </c>
      <c r="H246" t="s">
        <v>77</v>
      </c>
      <c r="I246" t="s">
        <v>78</v>
      </c>
      <c r="J246" t="s">
        <v>317</v>
      </c>
      <c r="K246" t="s">
        <v>62</v>
      </c>
      <c r="L246" t="s">
        <v>95</v>
      </c>
      <c r="M246" t="s">
        <v>96</v>
      </c>
      <c r="N246" t="s">
        <v>1031</v>
      </c>
      <c r="O246" t="s">
        <v>65</v>
      </c>
      <c r="P246" t="str">
        <f>"INV-00116897 CT093845         "</f>
        <v xml:space="preserve">INV-00116897 CT093845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22.11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16.739999999999998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0.4</v>
      </c>
      <c r="BJ246">
        <v>2</v>
      </c>
      <c r="BK246">
        <v>2</v>
      </c>
      <c r="BL246" s="4">
        <v>87.45</v>
      </c>
      <c r="BM246" s="4">
        <v>13.12</v>
      </c>
      <c r="BN246" s="4">
        <v>100.57</v>
      </c>
      <c r="BO246" s="4">
        <v>100.57</v>
      </c>
      <c r="BQ246" t="s">
        <v>244</v>
      </c>
      <c r="BR246" t="s">
        <v>320</v>
      </c>
      <c r="BS246" s="1">
        <v>45757</v>
      </c>
      <c r="BT246" s="2">
        <v>0.49305555555555558</v>
      </c>
      <c r="BU246" t="s">
        <v>1032</v>
      </c>
      <c r="BV246" t="s">
        <v>74</v>
      </c>
      <c r="BY246">
        <v>9762.76</v>
      </c>
      <c r="BZ246" t="s">
        <v>26</v>
      </c>
      <c r="CA246" t="s">
        <v>1033</v>
      </c>
      <c r="CC246" t="s">
        <v>96</v>
      </c>
      <c r="CD246">
        <v>1862</v>
      </c>
      <c r="CE246" t="s">
        <v>412</v>
      </c>
      <c r="CF246" s="1">
        <v>45758</v>
      </c>
      <c r="CI246">
        <v>0</v>
      </c>
      <c r="CJ246">
        <v>0</v>
      </c>
      <c r="CK246">
        <v>21</v>
      </c>
      <c r="CL246" t="s">
        <v>66</v>
      </c>
    </row>
    <row r="247" spans="1:90" x14ac:dyDescent="0.3">
      <c r="A247" t="s">
        <v>315</v>
      </c>
      <c r="B247" t="s">
        <v>316</v>
      </c>
      <c r="C247" t="s">
        <v>59</v>
      </c>
      <c r="E247" t="str">
        <f>"GAB2025482"</f>
        <v>GAB2025482</v>
      </c>
      <c r="F247" s="1">
        <v>45756</v>
      </c>
      <c r="G247">
        <v>202601</v>
      </c>
      <c r="H247" t="s">
        <v>77</v>
      </c>
      <c r="I247" t="s">
        <v>78</v>
      </c>
      <c r="J247" t="s">
        <v>317</v>
      </c>
      <c r="K247" t="s">
        <v>62</v>
      </c>
      <c r="L247" t="s">
        <v>312</v>
      </c>
      <c r="M247" t="s">
        <v>1034</v>
      </c>
      <c r="N247" t="s">
        <v>1035</v>
      </c>
      <c r="O247" t="s">
        <v>65</v>
      </c>
      <c r="P247" t="str">
        <f>"INV-00116898 CT093843         "</f>
        <v xml:space="preserve">INV-00116898 CT093843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42.84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0.1</v>
      </c>
      <c r="BJ247">
        <v>2</v>
      </c>
      <c r="BK247">
        <v>2</v>
      </c>
      <c r="BL247" s="4">
        <v>137</v>
      </c>
      <c r="BM247" s="4">
        <v>20.55</v>
      </c>
      <c r="BN247" s="4">
        <v>157.55000000000001</v>
      </c>
      <c r="BO247" s="4">
        <v>157.55000000000001</v>
      </c>
      <c r="BQ247" t="s">
        <v>1036</v>
      </c>
      <c r="BR247" t="s">
        <v>320</v>
      </c>
      <c r="BS247" s="1">
        <v>45757</v>
      </c>
      <c r="BT247" s="2">
        <v>0.625</v>
      </c>
      <c r="BU247" t="s">
        <v>1037</v>
      </c>
      <c r="BV247" t="s">
        <v>74</v>
      </c>
      <c r="BY247">
        <v>10018.1</v>
      </c>
      <c r="CA247" t="s">
        <v>1038</v>
      </c>
      <c r="CC247" t="s">
        <v>1034</v>
      </c>
      <c r="CD247">
        <v>2430</v>
      </c>
      <c r="CE247" t="s">
        <v>393</v>
      </c>
      <c r="CF247" s="1">
        <v>45758</v>
      </c>
      <c r="CI247">
        <v>1</v>
      </c>
      <c r="CJ247">
        <v>1</v>
      </c>
      <c r="CK247">
        <v>23</v>
      </c>
      <c r="CL247" t="s">
        <v>66</v>
      </c>
    </row>
    <row r="248" spans="1:90" x14ac:dyDescent="0.3">
      <c r="A248" t="s">
        <v>315</v>
      </c>
      <c r="B248" t="s">
        <v>316</v>
      </c>
      <c r="C248" t="s">
        <v>59</v>
      </c>
      <c r="E248" t="str">
        <f>"GAB2025485"</f>
        <v>GAB2025485</v>
      </c>
      <c r="F248" s="1">
        <v>45756</v>
      </c>
      <c r="G248">
        <v>202601</v>
      </c>
      <c r="H248" t="s">
        <v>77</v>
      </c>
      <c r="I248" t="s">
        <v>78</v>
      </c>
      <c r="J248" t="s">
        <v>317</v>
      </c>
      <c r="K248" t="s">
        <v>62</v>
      </c>
      <c r="L248" t="s">
        <v>63</v>
      </c>
      <c r="M248" t="s">
        <v>64</v>
      </c>
      <c r="N248" t="s">
        <v>908</v>
      </c>
      <c r="O248" t="s">
        <v>65</v>
      </c>
      <c r="P248" t="str">
        <f>"INV-00034524 031805           "</f>
        <v xml:space="preserve">INV-00034524 031805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22.11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1</v>
      </c>
      <c r="BI248">
        <v>0.1</v>
      </c>
      <c r="BJ248">
        <v>1.8</v>
      </c>
      <c r="BK248">
        <v>2</v>
      </c>
      <c r="BL248" s="4">
        <v>70.709999999999994</v>
      </c>
      <c r="BM248" s="4">
        <v>10.61</v>
      </c>
      <c r="BN248" s="4">
        <v>81.319999999999993</v>
      </c>
      <c r="BO248" s="4">
        <v>81.319999999999993</v>
      </c>
      <c r="BQ248" t="s">
        <v>909</v>
      </c>
      <c r="BR248" t="s">
        <v>320</v>
      </c>
      <c r="BS248" s="1">
        <v>45757</v>
      </c>
      <c r="BT248" s="2">
        <v>0.43263888888888891</v>
      </c>
      <c r="BU248" t="s">
        <v>233</v>
      </c>
      <c r="BV248" t="s">
        <v>74</v>
      </c>
      <c r="BY248">
        <v>8949.99</v>
      </c>
      <c r="CA248" t="s">
        <v>904</v>
      </c>
      <c r="CC248" t="s">
        <v>64</v>
      </c>
      <c r="CD248">
        <v>5200</v>
      </c>
      <c r="CE248" t="s">
        <v>393</v>
      </c>
      <c r="CF248" s="1">
        <v>45757</v>
      </c>
      <c r="CI248">
        <v>1</v>
      </c>
      <c r="CJ248">
        <v>1</v>
      </c>
      <c r="CK248">
        <v>21</v>
      </c>
      <c r="CL248" t="s">
        <v>66</v>
      </c>
    </row>
    <row r="249" spans="1:90" x14ac:dyDescent="0.3">
      <c r="A249" t="s">
        <v>315</v>
      </c>
      <c r="B249" t="s">
        <v>316</v>
      </c>
      <c r="C249" t="s">
        <v>59</v>
      </c>
      <c r="E249" t="str">
        <f>"GAB2025486"</f>
        <v>GAB2025486</v>
      </c>
      <c r="F249" s="1">
        <v>45756</v>
      </c>
      <c r="G249">
        <v>202601</v>
      </c>
      <c r="H249" t="s">
        <v>77</v>
      </c>
      <c r="I249" t="s">
        <v>78</v>
      </c>
      <c r="J249" t="s">
        <v>317</v>
      </c>
      <c r="K249" t="s">
        <v>62</v>
      </c>
      <c r="L249" t="s">
        <v>1039</v>
      </c>
      <c r="M249" t="s">
        <v>1040</v>
      </c>
      <c r="N249" t="s">
        <v>1041</v>
      </c>
      <c r="O249" t="s">
        <v>65</v>
      </c>
      <c r="P249" t="str">
        <f>"INV-00034525 031811           "</f>
        <v xml:space="preserve">INV-00034525 031811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62.19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0.1</v>
      </c>
      <c r="BJ249">
        <v>2.7</v>
      </c>
      <c r="BK249">
        <v>3</v>
      </c>
      <c r="BL249" s="4">
        <v>198.87</v>
      </c>
      <c r="BM249" s="4">
        <v>29.83</v>
      </c>
      <c r="BN249" s="4">
        <v>228.7</v>
      </c>
      <c r="BO249" s="4">
        <v>228.7</v>
      </c>
      <c r="BQ249" t="s">
        <v>615</v>
      </c>
      <c r="BR249" t="s">
        <v>320</v>
      </c>
      <c r="BS249" s="1">
        <v>45757</v>
      </c>
      <c r="BT249" s="2">
        <v>0.47847222222222224</v>
      </c>
      <c r="BU249" t="s">
        <v>196</v>
      </c>
      <c r="BV249" t="s">
        <v>74</v>
      </c>
      <c r="BY249">
        <v>13563.86</v>
      </c>
      <c r="CC249" t="s">
        <v>1040</v>
      </c>
      <c r="CD249">
        <v>9499</v>
      </c>
      <c r="CE249" t="s">
        <v>393</v>
      </c>
      <c r="CF249" s="1">
        <v>45758</v>
      </c>
      <c r="CI249">
        <v>2</v>
      </c>
      <c r="CJ249">
        <v>1</v>
      </c>
      <c r="CK249">
        <v>23</v>
      </c>
      <c r="CL249" t="s">
        <v>66</v>
      </c>
    </row>
    <row r="250" spans="1:90" x14ac:dyDescent="0.3">
      <c r="A250" t="s">
        <v>315</v>
      </c>
      <c r="B250" t="s">
        <v>316</v>
      </c>
      <c r="C250" t="s">
        <v>59</v>
      </c>
      <c r="E250" t="str">
        <f>"GAB2025488"</f>
        <v>GAB2025488</v>
      </c>
      <c r="F250" s="1">
        <v>45756</v>
      </c>
      <c r="G250">
        <v>202601</v>
      </c>
      <c r="H250" t="s">
        <v>77</v>
      </c>
      <c r="I250" t="s">
        <v>78</v>
      </c>
      <c r="J250" t="s">
        <v>317</v>
      </c>
      <c r="K250" t="s">
        <v>62</v>
      </c>
      <c r="L250" t="s">
        <v>89</v>
      </c>
      <c r="M250" t="s">
        <v>90</v>
      </c>
      <c r="N250" t="s">
        <v>998</v>
      </c>
      <c r="O250" t="s">
        <v>65</v>
      </c>
      <c r="P250" t="str">
        <f>"INV-00116890 CT093836         "</f>
        <v xml:space="preserve">INV-00116890 CT093836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22.11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0.1</v>
      </c>
      <c r="BJ250">
        <v>1.7</v>
      </c>
      <c r="BK250">
        <v>2</v>
      </c>
      <c r="BL250" s="4">
        <v>70.709999999999994</v>
      </c>
      <c r="BM250" s="4">
        <v>10.61</v>
      </c>
      <c r="BN250" s="4">
        <v>81.319999999999993</v>
      </c>
      <c r="BO250" s="4">
        <v>81.319999999999993</v>
      </c>
      <c r="BQ250" t="s">
        <v>999</v>
      </c>
      <c r="BR250" t="s">
        <v>320</v>
      </c>
      <c r="BS250" s="1">
        <v>45758</v>
      </c>
      <c r="BT250" s="2">
        <v>0.53194444444444444</v>
      </c>
      <c r="BU250" t="s">
        <v>1000</v>
      </c>
      <c r="BV250" t="s">
        <v>66</v>
      </c>
      <c r="BW250" t="s">
        <v>234</v>
      </c>
      <c r="BX250" t="s">
        <v>164</v>
      </c>
      <c r="BY250">
        <v>8505.27</v>
      </c>
      <c r="CA250" t="s">
        <v>232</v>
      </c>
      <c r="CC250" t="s">
        <v>90</v>
      </c>
      <c r="CD250">
        <v>4001</v>
      </c>
      <c r="CE250" t="s">
        <v>393</v>
      </c>
      <c r="CF250" s="1">
        <v>45761</v>
      </c>
      <c r="CI250">
        <v>2</v>
      </c>
      <c r="CJ250">
        <v>2</v>
      </c>
      <c r="CK250">
        <v>21</v>
      </c>
      <c r="CL250" t="s">
        <v>66</v>
      </c>
    </row>
    <row r="251" spans="1:90" x14ac:dyDescent="0.3">
      <c r="A251" t="s">
        <v>315</v>
      </c>
      <c r="B251" t="s">
        <v>316</v>
      </c>
      <c r="C251" t="s">
        <v>59</v>
      </c>
      <c r="E251" t="str">
        <f>"GAB2025489"</f>
        <v>GAB2025489</v>
      </c>
      <c r="F251" s="1">
        <v>45756</v>
      </c>
      <c r="G251">
        <v>202601</v>
      </c>
      <c r="H251" t="s">
        <v>77</v>
      </c>
      <c r="I251" t="s">
        <v>78</v>
      </c>
      <c r="J251" t="s">
        <v>317</v>
      </c>
      <c r="K251" t="s">
        <v>62</v>
      </c>
      <c r="L251" t="s">
        <v>160</v>
      </c>
      <c r="M251" t="s">
        <v>161</v>
      </c>
      <c r="N251" t="s">
        <v>566</v>
      </c>
      <c r="O251" t="s">
        <v>65</v>
      </c>
      <c r="P251" t="str">
        <f>"INV-00116891 CT093837         "</f>
        <v xml:space="preserve">INV-00116891 CT093837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52.52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0.1</v>
      </c>
      <c r="BJ251">
        <v>2.2000000000000002</v>
      </c>
      <c r="BK251">
        <v>2.5</v>
      </c>
      <c r="BL251" s="4">
        <v>167.94</v>
      </c>
      <c r="BM251" s="4">
        <v>25.19</v>
      </c>
      <c r="BN251" s="4">
        <v>193.13</v>
      </c>
      <c r="BO251" s="4">
        <v>193.13</v>
      </c>
      <c r="BQ251" t="s">
        <v>567</v>
      </c>
      <c r="BR251" t="s">
        <v>320</v>
      </c>
      <c r="BS251" s="1">
        <v>45757</v>
      </c>
      <c r="BT251" s="2">
        <v>0.3888888888888889</v>
      </c>
      <c r="BU251" t="s">
        <v>568</v>
      </c>
      <c r="BV251" t="s">
        <v>74</v>
      </c>
      <c r="BY251">
        <v>11192.72</v>
      </c>
      <c r="CA251" t="s">
        <v>569</v>
      </c>
      <c r="CC251" t="s">
        <v>161</v>
      </c>
      <c r="CD251">
        <v>1900</v>
      </c>
      <c r="CE251" t="s">
        <v>393</v>
      </c>
      <c r="CF251" s="1">
        <v>45757</v>
      </c>
      <c r="CI251">
        <v>1</v>
      </c>
      <c r="CJ251">
        <v>1</v>
      </c>
      <c r="CK251">
        <v>23</v>
      </c>
      <c r="CL251" t="s">
        <v>66</v>
      </c>
    </row>
    <row r="252" spans="1:90" x14ac:dyDescent="0.3">
      <c r="A252" t="s">
        <v>315</v>
      </c>
      <c r="B252" t="s">
        <v>316</v>
      </c>
      <c r="C252" t="s">
        <v>59</v>
      </c>
      <c r="E252" t="str">
        <f>"GAB2025490"</f>
        <v>GAB2025490</v>
      </c>
      <c r="F252" s="1">
        <v>45756</v>
      </c>
      <c r="G252">
        <v>202601</v>
      </c>
      <c r="H252" t="s">
        <v>77</v>
      </c>
      <c r="I252" t="s">
        <v>78</v>
      </c>
      <c r="J252" t="s">
        <v>317</v>
      </c>
      <c r="K252" t="s">
        <v>62</v>
      </c>
      <c r="L252" t="s">
        <v>206</v>
      </c>
      <c r="M252" t="s">
        <v>207</v>
      </c>
      <c r="N252" t="s">
        <v>430</v>
      </c>
      <c r="O252" t="s">
        <v>65</v>
      </c>
      <c r="P252" t="str">
        <f>"INV-00116893 CT093841         "</f>
        <v xml:space="preserve">INV-00116893 CT093841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27.64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0.5</v>
      </c>
      <c r="BJ252">
        <v>2.2000000000000002</v>
      </c>
      <c r="BK252">
        <v>2.5</v>
      </c>
      <c r="BL252" s="4">
        <v>88.38</v>
      </c>
      <c r="BM252" s="4">
        <v>13.26</v>
      </c>
      <c r="BN252" s="4">
        <v>101.64</v>
      </c>
      <c r="BO252" s="4">
        <v>101.64</v>
      </c>
      <c r="BQ252" t="s">
        <v>577</v>
      </c>
      <c r="BR252" t="s">
        <v>320</v>
      </c>
      <c r="BS252" s="1">
        <v>45757</v>
      </c>
      <c r="BT252" s="2">
        <v>0.69930555555555551</v>
      </c>
      <c r="BU252" t="s">
        <v>167</v>
      </c>
      <c r="BV252" t="s">
        <v>74</v>
      </c>
      <c r="BY252">
        <v>11070</v>
      </c>
      <c r="CA252" t="s">
        <v>433</v>
      </c>
      <c r="CC252" t="s">
        <v>207</v>
      </c>
      <c r="CD252" s="3" t="s">
        <v>287</v>
      </c>
      <c r="CE252" t="s">
        <v>412</v>
      </c>
      <c r="CF252" s="1">
        <v>45758</v>
      </c>
      <c r="CI252">
        <v>2</v>
      </c>
      <c r="CJ252">
        <v>1</v>
      </c>
      <c r="CK252">
        <v>21</v>
      </c>
      <c r="CL252" t="s">
        <v>66</v>
      </c>
    </row>
    <row r="253" spans="1:90" x14ac:dyDescent="0.3">
      <c r="A253" t="s">
        <v>315</v>
      </c>
      <c r="B253" t="s">
        <v>316</v>
      </c>
      <c r="C253" t="s">
        <v>59</v>
      </c>
      <c r="E253" t="str">
        <f>"GAB2025491"</f>
        <v>GAB2025491</v>
      </c>
      <c r="F253" s="1">
        <v>45756</v>
      </c>
      <c r="G253">
        <v>202601</v>
      </c>
      <c r="H253" t="s">
        <v>77</v>
      </c>
      <c r="I253" t="s">
        <v>78</v>
      </c>
      <c r="J253" t="s">
        <v>317</v>
      </c>
      <c r="K253" t="s">
        <v>62</v>
      </c>
      <c r="L253" t="s">
        <v>254</v>
      </c>
      <c r="M253" t="s">
        <v>255</v>
      </c>
      <c r="N253" t="s">
        <v>435</v>
      </c>
      <c r="O253" t="s">
        <v>65</v>
      </c>
      <c r="P253" t="str">
        <f>"INV-00116892 CT093840         "</f>
        <v xml:space="preserve">INV-00116892 CT093840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42.84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0.6</v>
      </c>
      <c r="BJ253">
        <v>1.9</v>
      </c>
      <c r="BK253">
        <v>2</v>
      </c>
      <c r="BL253" s="4">
        <v>137</v>
      </c>
      <c r="BM253" s="4">
        <v>20.55</v>
      </c>
      <c r="BN253" s="4">
        <v>157.55000000000001</v>
      </c>
      <c r="BO253" s="4">
        <v>157.55000000000001</v>
      </c>
      <c r="BQ253" t="s">
        <v>1042</v>
      </c>
      <c r="BR253" t="s">
        <v>320</v>
      </c>
      <c r="BS253" s="1">
        <v>45758</v>
      </c>
      <c r="BT253" s="2">
        <v>0.72986111111111107</v>
      </c>
      <c r="BU253" t="s">
        <v>1043</v>
      </c>
      <c r="BV253" t="s">
        <v>66</v>
      </c>
      <c r="BW253" t="s">
        <v>112</v>
      </c>
      <c r="BX253" t="s">
        <v>164</v>
      </c>
      <c r="BY253">
        <v>9305.01</v>
      </c>
      <c r="CA253" t="s">
        <v>1044</v>
      </c>
      <c r="CC253" t="s">
        <v>255</v>
      </c>
      <c r="CD253">
        <v>4400</v>
      </c>
      <c r="CE253" t="s">
        <v>586</v>
      </c>
      <c r="CF253" s="1">
        <v>45761</v>
      </c>
      <c r="CI253">
        <v>2</v>
      </c>
      <c r="CJ253">
        <v>2</v>
      </c>
      <c r="CK253">
        <v>23</v>
      </c>
      <c r="CL253" t="s">
        <v>66</v>
      </c>
    </row>
    <row r="254" spans="1:90" x14ac:dyDescent="0.3">
      <c r="A254" t="s">
        <v>315</v>
      </c>
      <c r="B254" t="s">
        <v>316</v>
      </c>
      <c r="C254" t="s">
        <v>59</v>
      </c>
      <c r="E254" t="str">
        <f>"GAB2025492"</f>
        <v>GAB2025492</v>
      </c>
      <c r="F254" s="1">
        <v>45756</v>
      </c>
      <c r="G254">
        <v>202601</v>
      </c>
      <c r="H254" t="s">
        <v>77</v>
      </c>
      <c r="I254" t="s">
        <v>78</v>
      </c>
      <c r="J254" t="s">
        <v>317</v>
      </c>
      <c r="K254" t="s">
        <v>62</v>
      </c>
      <c r="L254" t="s">
        <v>91</v>
      </c>
      <c r="M254" t="s">
        <v>92</v>
      </c>
      <c r="N254" t="s">
        <v>850</v>
      </c>
      <c r="O254" t="s">
        <v>65</v>
      </c>
      <c r="P254" t="str">
        <f>"INV-00034523 031815           "</f>
        <v xml:space="preserve">INV-00034523 031815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22.11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0.3</v>
      </c>
      <c r="BJ254">
        <v>1.8</v>
      </c>
      <c r="BK254">
        <v>2</v>
      </c>
      <c r="BL254" s="4">
        <v>70.709999999999994</v>
      </c>
      <c r="BM254" s="4">
        <v>10.61</v>
      </c>
      <c r="BN254" s="4">
        <v>81.319999999999993</v>
      </c>
      <c r="BO254" s="4">
        <v>81.319999999999993</v>
      </c>
      <c r="BQ254" t="s">
        <v>310</v>
      </c>
      <c r="BR254" t="s">
        <v>320</v>
      </c>
      <c r="BS254" s="1">
        <v>45757</v>
      </c>
      <c r="BT254" s="2">
        <v>0.30555555555555558</v>
      </c>
      <c r="BU254" t="s">
        <v>1045</v>
      </c>
      <c r="BV254" t="s">
        <v>74</v>
      </c>
      <c r="BY254">
        <v>8786.2800000000007</v>
      </c>
      <c r="CA254" t="s">
        <v>147</v>
      </c>
      <c r="CC254" t="s">
        <v>92</v>
      </c>
      <c r="CD254" s="3" t="s">
        <v>94</v>
      </c>
      <c r="CE254" t="s">
        <v>1046</v>
      </c>
      <c r="CF254" s="1">
        <v>45757</v>
      </c>
      <c r="CI254">
        <v>1</v>
      </c>
      <c r="CJ254">
        <v>1</v>
      </c>
      <c r="CK254">
        <v>21</v>
      </c>
      <c r="CL254" t="s">
        <v>66</v>
      </c>
    </row>
    <row r="255" spans="1:90" x14ac:dyDescent="0.3">
      <c r="A255" t="s">
        <v>315</v>
      </c>
      <c r="B255" t="s">
        <v>316</v>
      </c>
      <c r="C255" t="s">
        <v>59</v>
      </c>
      <c r="E255" t="str">
        <f>"GAB2025493"</f>
        <v>GAB2025493</v>
      </c>
      <c r="F255" s="1">
        <v>45756</v>
      </c>
      <c r="G255">
        <v>202601</v>
      </c>
      <c r="H255" t="s">
        <v>77</v>
      </c>
      <c r="I255" t="s">
        <v>78</v>
      </c>
      <c r="J255" t="s">
        <v>317</v>
      </c>
      <c r="K255" t="s">
        <v>62</v>
      </c>
      <c r="L255" t="s">
        <v>95</v>
      </c>
      <c r="M255" t="s">
        <v>96</v>
      </c>
      <c r="N255" t="s">
        <v>723</v>
      </c>
      <c r="O255" t="s">
        <v>65</v>
      </c>
      <c r="P255" t="str">
        <f>"INV-00034520 00034530 031835 0"</f>
        <v>INV-00034520 00034530 031835 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27.64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0.3</v>
      </c>
      <c r="BJ255">
        <v>2.4</v>
      </c>
      <c r="BK255">
        <v>2.5</v>
      </c>
      <c r="BL255" s="4">
        <v>88.38</v>
      </c>
      <c r="BM255" s="4">
        <v>13.26</v>
      </c>
      <c r="BN255" s="4">
        <v>101.64</v>
      </c>
      <c r="BO255" s="4">
        <v>101.64</v>
      </c>
      <c r="BQ255" t="s">
        <v>785</v>
      </c>
      <c r="BR255" t="s">
        <v>320</v>
      </c>
      <c r="BS255" s="1">
        <v>45757</v>
      </c>
      <c r="BT255" s="2">
        <v>0.33333333333333331</v>
      </c>
      <c r="BU255" t="s">
        <v>1047</v>
      </c>
      <c r="BV255" t="s">
        <v>74</v>
      </c>
      <c r="BY255">
        <v>12108.6</v>
      </c>
      <c r="CA255" t="s">
        <v>725</v>
      </c>
      <c r="CC255" t="s">
        <v>96</v>
      </c>
      <c r="CD255">
        <v>2191</v>
      </c>
      <c r="CE255" t="s">
        <v>382</v>
      </c>
      <c r="CF255" s="1">
        <v>45758</v>
      </c>
      <c r="CI255">
        <v>1</v>
      </c>
      <c r="CJ255">
        <v>1</v>
      </c>
      <c r="CK255">
        <v>21</v>
      </c>
      <c r="CL255" t="s">
        <v>66</v>
      </c>
    </row>
    <row r="256" spans="1:90" x14ac:dyDescent="0.3">
      <c r="A256" t="s">
        <v>315</v>
      </c>
      <c r="B256" t="s">
        <v>316</v>
      </c>
      <c r="C256" t="s">
        <v>59</v>
      </c>
      <c r="E256" t="str">
        <f>"GAB2025501"</f>
        <v>GAB2025501</v>
      </c>
      <c r="F256" s="1">
        <v>45756</v>
      </c>
      <c r="G256">
        <v>202601</v>
      </c>
      <c r="H256" t="s">
        <v>77</v>
      </c>
      <c r="I256" t="s">
        <v>78</v>
      </c>
      <c r="J256" t="s">
        <v>317</v>
      </c>
      <c r="K256" t="s">
        <v>62</v>
      </c>
      <c r="L256" t="s">
        <v>295</v>
      </c>
      <c r="M256" t="s">
        <v>296</v>
      </c>
      <c r="N256" t="s">
        <v>935</v>
      </c>
      <c r="O256" t="s">
        <v>65</v>
      </c>
      <c r="P256" t="str">
        <f>"INV-00116908 CT093844         "</f>
        <v xml:space="preserve">INV-00116908 CT093844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62.19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0.4</v>
      </c>
      <c r="BJ256">
        <v>2.7</v>
      </c>
      <c r="BK256">
        <v>3</v>
      </c>
      <c r="BL256" s="4">
        <v>198.87</v>
      </c>
      <c r="BM256" s="4">
        <v>29.83</v>
      </c>
      <c r="BN256" s="4">
        <v>228.7</v>
      </c>
      <c r="BO256" s="4">
        <v>228.7</v>
      </c>
      <c r="BQ256" t="s">
        <v>936</v>
      </c>
      <c r="BR256" t="s">
        <v>320</v>
      </c>
      <c r="BS256" s="1">
        <v>45757</v>
      </c>
      <c r="BT256" s="2">
        <v>0.3527777777777778</v>
      </c>
      <c r="BU256" t="s">
        <v>1048</v>
      </c>
      <c r="BV256" t="s">
        <v>74</v>
      </c>
      <c r="BY256">
        <v>13386.24</v>
      </c>
      <c r="CA256" t="s">
        <v>297</v>
      </c>
      <c r="CC256" t="s">
        <v>296</v>
      </c>
      <c r="CD256">
        <v>1039</v>
      </c>
      <c r="CE256" t="s">
        <v>412</v>
      </c>
      <c r="CF256" s="1">
        <v>45757</v>
      </c>
      <c r="CI256">
        <v>1</v>
      </c>
      <c r="CJ256">
        <v>1</v>
      </c>
      <c r="CK256">
        <v>23</v>
      </c>
      <c r="CL256" t="s">
        <v>66</v>
      </c>
    </row>
    <row r="257" spans="1:90" x14ac:dyDescent="0.3">
      <c r="A257" t="s">
        <v>315</v>
      </c>
      <c r="B257" t="s">
        <v>316</v>
      </c>
      <c r="C257" t="s">
        <v>59</v>
      </c>
      <c r="E257" t="str">
        <f>"GAB2025502"</f>
        <v>GAB2025502</v>
      </c>
      <c r="F257" s="1">
        <v>45756</v>
      </c>
      <c r="G257">
        <v>202601</v>
      </c>
      <c r="H257" t="s">
        <v>77</v>
      </c>
      <c r="I257" t="s">
        <v>78</v>
      </c>
      <c r="J257" t="s">
        <v>317</v>
      </c>
      <c r="K257" t="s">
        <v>62</v>
      </c>
      <c r="L257" t="s">
        <v>245</v>
      </c>
      <c r="M257" t="s">
        <v>246</v>
      </c>
      <c r="N257" t="s">
        <v>583</v>
      </c>
      <c r="O257" t="s">
        <v>65</v>
      </c>
      <c r="P257" t="str">
        <f>"INV-00116909 CT093848         "</f>
        <v xml:space="preserve">INV-00116909 CT093848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52.52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1</v>
      </c>
      <c r="BJ257">
        <v>2.5</v>
      </c>
      <c r="BK257">
        <v>2.5</v>
      </c>
      <c r="BL257" s="4">
        <v>167.94</v>
      </c>
      <c r="BM257" s="4">
        <v>25.19</v>
      </c>
      <c r="BN257" s="4">
        <v>193.13</v>
      </c>
      <c r="BO257" s="4">
        <v>193.13</v>
      </c>
      <c r="BQ257" t="s">
        <v>584</v>
      </c>
      <c r="BR257" t="s">
        <v>320</v>
      </c>
      <c r="BS257" s="1">
        <v>45757</v>
      </c>
      <c r="BT257" s="2">
        <v>0.42083333333333334</v>
      </c>
      <c r="BU257" t="s">
        <v>1049</v>
      </c>
      <c r="BV257" t="s">
        <v>74</v>
      </c>
      <c r="BY257">
        <v>12270.88</v>
      </c>
      <c r="CA257" t="s">
        <v>1050</v>
      </c>
      <c r="CC257" t="s">
        <v>246</v>
      </c>
      <c r="CD257">
        <v>9700</v>
      </c>
      <c r="CE257" t="s">
        <v>556</v>
      </c>
      <c r="CF257" s="1">
        <v>45757</v>
      </c>
      <c r="CI257">
        <v>2</v>
      </c>
      <c r="CJ257">
        <v>1</v>
      </c>
      <c r="CK257">
        <v>23</v>
      </c>
      <c r="CL257" t="s">
        <v>66</v>
      </c>
    </row>
    <row r="258" spans="1:90" x14ac:dyDescent="0.3">
      <c r="A258" t="s">
        <v>315</v>
      </c>
      <c r="B258" t="s">
        <v>316</v>
      </c>
      <c r="C258" t="s">
        <v>59</v>
      </c>
      <c r="E258" t="str">
        <f>"GAB2025503"</f>
        <v>GAB2025503</v>
      </c>
      <c r="F258" s="1">
        <v>45756</v>
      </c>
      <c r="G258">
        <v>202601</v>
      </c>
      <c r="H258" t="s">
        <v>77</v>
      </c>
      <c r="I258" t="s">
        <v>78</v>
      </c>
      <c r="J258" t="s">
        <v>317</v>
      </c>
      <c r="K258" t="s">
        <v>62</v>
      </c>
      <c r="L258" t="s">
        <v>142</v>
      </c>
      <c r="M258" t="s">
        <v>143</v>
      </c>
      <c r="N258" t="s">
        <v>349</v>
      </c>
      <c r="O258" t="s">
        <v>65</v>
      </c>
      <c r="P258" t="str">
        <f>"INV-00116906 CT093851         "</f>
        <v xml:space="preserve">INV-00116906 CT093851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38.68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0.3</v>
      </c>
      <c r="BJ258">
        <v>3.1</v>
      </c>
      <c r="BK258">
        <v>3.5</v>
      </c>
      <c r="BL258" s="4">
        <v>123.7</v>
      </c>
      <c r="BM258" s="4">
        <v>18.559999999999999</v>
      </c>
      <c r="BN258" s="4">
        <v>142.26</v>
      </c>
      <c r="BO258" s="4">
        <v>142.26</v>
      </c>
      <c r="BQ258" t="s">
        <v>350</v>
      </c>
      <c r="BR258" t="s">
        <v>320</v>
      </c>
      <c r="BS258" s="1">
        <v>45757</v>
      </c>
      <c r="BT258" s="2">
        <v>0.3659722222222222</v>
      </c>
      <c r="BU258" t="s">
        <v>290</v>
      </c>
      <c r="BV258" t="s">
        <v>74</v>
      </c>
      <c r="BY258">
        <v>15435</v>
      </c>
      <c r="CA258" t="s">
        <v>545</v>
      </c>
      <c r="CC258" t="s">
        <v>143</v>
      </c>
      <c r="CD258" s="3" t="s">
        <v>144</v>
      </c>
      <c r="CE258" t="s">
        <v>382</v>
      </c>
      <c r="CF258" s="1">
        <v>45757</v>
      </c>
      <c r="CI258">
        <v>1</v>
      </c>
      <c r="CJ258">
        <v>1</v>
      </c>
      <c r="CK258">
        <v>21</v>
      </c>
      <c r="CL258" t="s">
        <v>66</v>
      </c>
    </row>
    <row r="259" spans="1:90" x14ac:dyDescent="0.3">
      <c r="A259" t="s">
        <v>315</v>
      </c>
      <c r="B259" t="s">
        <v>316</v>
      </c>
      <c r="C259" t="s">
        <v>59</v>
      </c>
      <c r="E259" t="str">
        <f>"GAB2025504"</f>
        <v>GAB2025504</v>
      </c>
      <c r="F259" s="1">
        <v>45756</v>
      </c>
      <c r="G259">
        <v>202601</v>
      </c>
      <c r="H259" t="s">
        <v>77</v>
      </c>
      <c r="I259" t="s">
        <v>78</v>
      </c>
      <c r="J259" t="s">
        <v>317</v>
      </c>
      <c r="K259" t="s">
        <v>62</v>
      </c>
      <c r="L259" t="s">
        <v>91</v>
      </c>
      <c r="M259" t="s">
        <v>92</v>
      </c>
      <c r="N259" t="s">
        <v>1051</v>
      </c>
      <c r="O259" t="s">
        <v>65</v>
      </c>
      <c r="P259" t="str">
        <f>"ATT:BIANCA GERARD DELIVER MON "</f>
        <v xml:space="preserve">ATT:BIANCA GERARD DELIVER MON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22.11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0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0.1</v>
      </c>
      <c r="BJ259">
        <v>0.2</v>
      </c>
      <c r="BK259">
        <v>0.5</v>
      </c>
      <c r="BL259" s="4">
        <v>70.709999999999994</v>
      </c>
      <c r="BM259" s="4">
        <v>10.61</v>
      </c>
      <c r="BN259" s="4">
        <v>81.319999999999993</v>
      </c>
      <c r="BO259" s="4">
        <v>81.319999999999993</v>
      </c>
      <c r="BQ259" t="s">
        <v>1052</v>
      </c>
      <c r="BR259" t="s">
        <v>320</v>
      </c>
      <c r="BS259" s="1">
        <v>45757</v>
      </c>
      <c r="BT259" s="2">
        <v>0.38680555555555557</v>
      </c>
      <c r="BU259" t="s">
        <v>1053</v>
      </c>
      <c r="BV259" t="s">
        <v>74</v>
      </c>
      <c r="BY259">
        <v>1112.1600000000001</v>
      </c>
      <c r="CA259" t="s">
        <v>191</v>
      </c>
      <c r="CC259" t="s">
        <v>92</v>
      </c>
      <c r="CD259" s="3" t="s">
        <v>174</v>
      </c>
      <c r="CE259" t="s">
        <v>1054</v>
      </c>
      <c r="CF259" s="1">
        <v>45757</v>
      </c>
      <c r="CI259">
        <v>1</v>
      </c>
      <c r="CJ259">
        <v>1</v>
      </c>
      <c r="CK259">
        <v>21</v>
      </c>
      <c r="CL259" t="s">
        <v>66</v>
      </c>
    </row>
    <row r="260" spans="1:90" x14ac:dyDescent="0.3">
      <c r="A260" t="s">
        <v>315</v>
      </c>
      <c r="B260" t="s">
        <v>316</v>
      </c>
      <c r="C260" t="s">
        <v>59</v>
      </c>
      <c r="E260" t="str">
        <f>"GAB2025506"</f>
        <v>GAB2025506</v>
      </c>
      <c r="F260" s="1">
        <v>45756</v>
      </c>
      <c r="G260">
        <v>202601</v>
      </c>
      <c r="H260" t="s">
        <v>77</v>
      </c>
      <c r="I260" t="s">
        <v>78</v>
      </c>
      <c r="J260" t="s">
        <v>317</v>
      </c>
      <c r="K260" t="s">
        <v>62</v>
      </c>
      <c r="L260" t="s">
        <v>91</v>
      </c>
      <c r="M260" t="s">
        <v>92</v>
      </c>
      <c r="N260" t="s">
        <v>1055</v>
      </c>
      <c r="O260" t="s">
        <v>65</v>
      </c>
      <c r="P260" t="str">
        <f>"INV-00034562 031873           "</f>
        <v xml:space="preserve">INV-00034562 031873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27.64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0.1</v>
      </c>
      <c r="BJ260">
        <v>2.5</v>
      </c>
      <c r="BK260">
        <v>2.5</v>
      </c>
      <c r="BL260" s="4">
        <v>88.38</v>
      </c>
      <c r="BM260" s="4">
        <v>13.26</v>
      </c>
      <c r="BN260" s="4">
        <v>101.64</v>
      </c>
      <c r="BO260" s="4">
        <v>101.64</v>
      </c>
      <c r="BQ260" t="s">
        <v>590</v>
      </c>
      <c r="BR260" t="s">
        <v>320</v>
      </c>
      <c r="BS260" s="1">
        <v>45757</v>
      </c>
      <c r="BT260" s="2">
        <v>0.34583333333333333</v>
      </c>
      <c r="BU260" t="s">
        <v>1056</v>
      </c>
      <c r="BV260" t="s">
        <v>74</v>
      </c>
      <c r="BY260">
        <v>12451.32</v>
      </c>
      <c r="CA260" t="s">
        <v>1057</v>
      </c>
      <c r="CC260" t="s">
        <v>92</v>
      </c>
      <c r="CD260" s="3" t="s">
        <v>235</v>
      </c>
      <c r="CE260" t="s">
        <v>393</v>
      </c>
      <c r="CF260" s="1">
        <v>45757</v>
      </c>
      <c r="CI260">
        <v>1</v>
      </c>
      <c r="CJ260">
        <v>1</v>
      </c>
      <c r="CK260">
        <v>21</v>
      </c>
      <c r="CL260" t="s">
        <v>66</v>
      </c>
    </row>
    <row r="261" spans="1:90" x14ac:dyDescent="0.3">
      <c r="A261" t="s">
        <v>315</v>
      </c>
      <c r="B261" t="s">
        <v>316</v>
      </c>
      <c r="C261" t="s">
        <v>59</v>
      </c>
      <c r="E261" t="str">
        <f>"GAB2025507"</f>
        <v>GAB2025507</v>
      </c>
      <c r="F261" s="1">
        <v>45756</v>
      </c>
      <c r="G261">
        <v>202601</v>
      </c>
      <c r="H261" t="s">
        <v>77</v>
      </c>
      <c r="I261" t="s">
        <v>78</v>
      </c>
      <c r="J261" t="s">
        <v>317</v>
      </c>
      <c r="K261" t="s">
        <v>62</v>
      </c>
      <c r="L261" t="s">
        <v>77</v>
      </c>
      <c r="M261" t="s">
        <v>78</v>
      </c>
      <c r="N261" t="s">
        <v>707</v>
      </c>
      <c r="O261" t="s">
        <v>65</v>
      </c>
      <c r="P261" t="str">
        <f>"INV-00116911 CT093852         "</f>
        <v xml:space="preserve">INV-00116911 CT093852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17.27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0.1</v>
      </c>
      <c r="BJ261">
        <v>1.8</v>
      </c>
      <c r="BK261">
        <v>2</v>
      </c>
      <c r="BL261" s="4">
        <v>55.23</v>
      </c>
      <c r="BM261" s="4">
        <v>8.2799999999999994</v>
      </c>
      <c r="BN261" s="4">
        <v>63.51</v>
      </c>
      <c r="BO261" s="4">
        <v>63.51</v>
      </c>
      <c r="BQ261" t="s">
        <v>708</v>
      </c>
      <c r="BR261" t="s">
        <v>320</v>
      </c>
      <c r="BS261" s="1">
        <v>45757</v>
      </c>
      <c r="BT261" s="2">
        <v>0.42986111111111114</v>
      </c>
      <c r="BU261" t="s">
        <v>223</v>
      </c>
      <c r="BV261" t="s">
        <v>74</v>
      </c>
      <c r="BY261">
        <v>8854.7999999999993</v>
      </c>
      <c r="CA261" t="s">
        <v>709</v>
      </c>
      <c r="CC261" t="s">
        <v>78</v>
      </c>
      <c r="CD261">
        <v>7800</v>
      </c>
      <c r="CE261" t="s">
        <v>393</v>
      </c>
      <c r="CF261" s="1">
        <v>45758</v>
      </c>
      <c r="CI261">
        <v>1</v>
      </c>
      <c r="CJ261">
        <v>1</v>
      </c>
      <c r="CK261">
        <v>22</v>
      </c>
      <c r="CL261" t="s">
        <v>66</v>
      </c>
    </row>
    <row r="262" spans="1:90" x14ac:dyDescent="0.3">
      <c r="A262" t="s">
        <v>315</v>
      </c>
      <c r="B262" t="s">
        <v>316</v>
      </c>
      <c r="C262" t="s">
        <v>59</v>
      </c>
      <c r="E262" t="str">
        <f>"009945075915"</f>
        <v>009945075915</v>
      </c>
      <c r="F262" s="1">
        <v>45756</v>
      </c>
      <c r="G262">
        <v>202601</v>
      </c>
      <c r="H262" t="s">
        <v>91</v>
      </c>
      <c r="I262" t="s">
        <v>92</v>
      </c>
      <c r="J262" t="s">
        <v>490</v>
      </c>
      <c r="K262" t="s">
        <v>62</v>
      </c>
      <c r="L262" t="s">
        <v>77</v>
      </c>
      <c r="M262" t="s">
        <v>78</v>
      </c>
      <c r="N262" t="s">
        <v>491</v>
      </c>
      <c r="O262" t="s">
        <v>65</v>
      </c>
      <c r="P262" t="str">
        <f>"NA                            "</f>
        <v xml:space="preserve">NA    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22.11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0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1</v>
      </c>
      <c r="BJ262">
        <v>0.2</v>
      </c>
      <c r="BK262">
        <v>1</v>
      </c>
      <c r="BL262" s="4">
        <v>70.709999999999994</v>
      </c>
      <c r="BM262" s="4">
        <v>10.61</v>
      </c>
      <c r="BN262" s="4">
        <v>81.319999999999993</v>
      </c>
      <c r="BO262" s="4">
        <v>81.319999999999993</v>
      </c>
      <c r="BQ262" t="s">
        <v>1058</v>
      </c>
      <c r="BR262" t="s">
        <v>1059</v>
      </c>
      <c r="BS262" s="1">
        <v>45757</v>
      </c>
      <c r="BT262" s="2">
        <v>0.43125000000000002</v>
      </c>
      <c r="BU262" t="s">
        <v>263</v>
      </c>
      <c r="BV262" t="s">
        <v>74</v>
      </c>
      <c r="BY262">
        <v>1200</v>
      </c>
      <c r="BZ262" t="s">
        <v>79</v>
      </c>
      <c r="CC262" t="s">
        <v>78</v>
      </c>
      <c r="CD262">
        <v>7460</v>
      </c>
      <c r="CE262" t="s">
        <v>236</v>
      </c>
      <c r="CF262" s="1">
        <v>45758</v>
      </c>
      <c r="CI262">
        <v>1</v>
      </c>
      <c r="CJ262">
        <v>1</v>
      </c>
      <c r="CK262">
        <v>21</v>
      </c>
      <c r="CL262" t="s">
        <v>66</v>
      </c>
    </row>
    <row r="263" spans="1:90" x14ac:dyDescent="0.3">
      <c r="A263" t="s">
        <v>315</v>
      </c>
      <c r="B263" t="s">
        <v>316</v>
      </c>
      <c r="C263" t="s">
        <v>59</v>
      </c>
      <c r="E263" t="str">
        <f>"GAB2025512"</f>
        <v>GAB2025512</v>
      </c>
      <c r="F263" s="1">
        <v>45757</v>
      </c>
      <c r="G263">
        <v>202601</v>
      </c>
      <c r="H263" t="s">
        <v>77</v>
      </c>
      <c r="I263" t="s">
        <v>78</v>
      </c>
      <c r="J263" t="s">
        <v>317</v>
      </c>
      <c r="K263" t="s">
        <v>62</v>
      </c>
      <c r="L263" t="s">
        <v>63</v>
      </c>
      <c r="M263" t="s">
        <v>64</v>
      </c>
      <c r="N263" t="s">
        <v>719</v>
      </c>
      <c r="O263" t="s">
        <v>65</v>
      </c>
      <c r="P263" t="str">
        <f>"INV-00034605 031864           "</f>
        <v xml:space="preserve">INV-00034605 031864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27.64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0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2.4</v>
      </c>
      <c r="BK263">
        <v>2.5</v>
      </c>
      <c r="BL263" s="4">
        <v>88.38</v>
      </c>
      <c r="BM263" s="4">
        <v>13.26</v>
      </c>
      <c r="BN263" s="4">
        <v>101.64</v>
      </c>
      <c r="BO263" s="4">
        <v>101.64</v>
      </c>
      <c r="BQ263" t="s">
        <v>720</v>
      </c>
      <c r="BR263" t="s">
        <v>320</v>
      </c>
      <c r="BS263" s="1">
        <v>45758</v>
      </c>
      <c r="BT263" s="2">
        <v>0.4375</v>
      </c>
      <c r="BU263" t="s">
        <v>1060</v>
      </c>
      <c r="BV263" t="s">
        <v>74</v>
      </c>
      <c r="BY263">
        <v>12000</v>
      </c>
      <c r="CA263" t="s">
        <v>67</v>
      </c>
      <c r="CC263" t="s">
        <v>64</v>
      </c>
      <c r="CD263">
        <v>5213</v>
      </c>
      <c r="CE263" t="s">
        <v>393</v>
      </c>
      <c r="CF263" s="1">
        <v>45758</v>
      </c>
      <c r="CI263">
        <v>1</v>
      </c>
      <c r="CJ263">
        <v>1</v>
      </c>
      <c r="CK263">
        <v>21</v>
      </c>
      <c r="CL263" t="s">
        <v>66</v>
      </c>
    </row>
    <row r="264" spans="1:90" x14ac:dyDescent="0.3">
      <c r="A264" t="s">
        <v>315</v>
      </c>
      <c r="B264" t="s">
        <v>316</v>
      </c>
      <c r="C264" t="s">
        <v>59</v>
      </c>
      <c r="E264" t="str">
        <f>"GAB2025514"</f>
        <v>GAB2025514</v>
      </c>
      <c r="F264" s="1">
        <v>45757</v>
      </c>
      <c r="G264">
        <v>202601</v>
      </c>
      <c r="H264" t="s">
        <v>77</v>
      </c>
      <c r="I264" t="s">
        <v>78</v>
      </c>
      <c r="J264" t="s">
        <v>317</v>
      </c>
      <c r="K264" t="s">
        <v>62</v>
      </c>
      <c r="L264" t="s">
        <v>63</v>
      </c>
      <c r="M264" t="s">
        <v>64</v>
      </c>
      <c r="N264" t="s">
        <v>908</v>
      </c>
      <c r="O264" t="s">
        <v>65</v>
      </c>
      <c r="P264" t="str">
        <f>"INV-00034607 031845           "</f>
        <v xml:space="preserve">INV-00034607 031845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27.64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1</v>
      </c>
      <c r="BJ264">
        <v>2.4</v>
      </c>
      <c r="BK264">
        <v>2.5</v>
      </c>
      <c r="BL264" s="4">
        <v>88.38</v>
      </c>
      <c r="BM264" s="4">
        <v>13.26</v>
      </c>
      <c r="BN264" s="4">
        <v>101.64</v>
      </c>
      <c r="BO264" s="4">
        <v>101.64</v>
      </c>
      <c r="BQ264" t="s">
        <v>909</v>
      </c>
      <c r="BR264" t="s">
        <v>320</v>
      </c>
      <c r="BS264" s="1">
        <v>45758</v>
      </c>
      <c r="BT264" s="2">
        <v>0.52916666666666667</v>
      </c>
      <c r="BU264" t="s">
        <v>270</v>
      </c>
      <c r="BV264" t="s">
        <v>66</v>
      </c>
      <c r="BY264">
        <v>12000</v>
      </c>
      <c r="CA264" t="s">
        <v>1061</v>
      </c>
      <c r="CC264" t="s">
        <v>64</v>
      </c>
      <c r="CD264">
        <v>5200</v>
      </c>
      <c r="CE264" t="s">
        <v>393</v>
      </c>
      <c r="CF264" s="1">
        <v>45758</v>
      </c>
      <c r="CI264">
        <v>1</v>
      </c>
      <c r="CJ264">
        <v>1</v>
      </c>
      <c r="CK264">
        <v>21</v>
      </c>
      <c r="CL264" t="s">
        <v>66</v>
      </c>
    </row>
    <row r="265" spans="1:90" x14ac:dyDescent="0.3">
      <c r="A265" t="s">
        <v>315</v>
      </c>
      <c r="B265" t="s">
        <v>316</v>
      </c>
      <c r="C265" t="s">
        <v>59</v>
      </c>
      <c r="E265" t="str">
        <f>"GAB2025528"</f>
        <v>GAB2025528</v>
      </c>
      <c r="F265" s="1">
        <v>45757</v>
      </c>
      <c r="G265">
        <v>202601</v>
      </c>
      <c r="H265" t="s">
        <v>77</v>
      </c>
      <c r="I265" t="s">
        <v>78</v>
      </c>
      <c r="J265" t="s">
        <v>317</v>
      </c>
      <c r="K265" t="s">
        <v>62</v>
      </c>
      <c r="L265" t="s">
        <v>72</v>
      </c>
      <c r="M265" t="s">
        <v>73</v>
      </c>
      <c r="N265" t="s">
        <v>687</v>
      </c>
      <c r="O265" t="s">
        <v>65</v>
      </c>
      <c r="P265" t="str">
        <f>"ATT:PREETHUM                  "</f>
        <v xml:space="preserve">ATT:PREETHUM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27.64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0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</v>
      </c>
      <c r="BJ265">
        <v>2.4</v>
      </c>
      <c r="BK265">
        <v>2.5</v>
      </c>
      <c r="BL265" s="4">
        <v>88.38</v>
      </c>
      <c r="BM265" s="4">
        <v>13.26</v>
      </c>
      <c r="BN265" s="4">
        <v>101.64</v>
      </c>
      <c r="BO265" s="4">
        <v>101.64</v>
      </c>
      <c r="BQ265" t="s">
        <v>492</v>
      </c>
      <c r="BR265" t="s">
        <v>320</v>
      </c>
      <c r="BS265" s="1">
        <v>45761</v>
      </c>
      <c r="BT265" s="2">
        <v>0.39930555555555558</v>
      </c>
      <c r="BU265" t="s">
        <v>1062</v>
      </c>
      <c r="BV265" t="s">
        <v>74</v>
      </c>
      <c r="BY265">
        <v>12000</v>
      </c>
      <c r="CC265" t="s">
        <v>73</v>
      </c>
      <c r="CD265">
        <v>3610</v>
      </c>
      <c r="CE265" t="s">
        <v>1063</v>
      </c>
      <c r="CF265" s="1">
        <v>45762</v>
      </c>
      <c r="CI265">
        <v>2</v>
      </c>
      <c r="CJ265">
        <v>2</v>
      </c>
      <c r="CK265">
        <v>21</v>
      </c>
      <c r="CL265" t="s">
        <v>66</v>
      </c>
    </row>
    <row r="266" spans="1:90" x14ac:dyDescent="0.3">
      <c r="A266" t="s">
        <v>315</v>
      </c>
      <c r="B266" t="s">
        <v>316</v>
      </c>
      <c r="C266" t="s">
        <v>59</v>
      </c>
      <c r="E266" t="str">
        <f>"GAB2025531"</f>
        <v>GAB2025531</v>
      </c>
      <c r="F266" s="1">
        <v>45757</v>
      </c>
      <c r="G266">
        <v>202601</v>
      </c>
      <c r="H266" t="s">
        <v>77</v>
      </c>
      <c r="I266" t="s">
        <v>78</v>
      </c>
      <c r="J266" t="s">
        <v>317</v>
      </c>
      <c r="K266" t="s">
        <v>62</v>
      </c>
      <c r="L266" t="s">
        <v>63</v>
      </c>
      <c r="M266" t="s">
        <v>64</v>
      </c>
      <c r="N266" t="s">
        <v>336</v>
      </c>
      <c r="O266" t="s">
        <v>65</v>
      </c>
      <c r="P266" t="str">
        <f>"INV-00116933 CT093773         "</f>
        <v xml:space="preserve">INV-00116933 CT093773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27.64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2.4</v>
      </c>
      <c r="BK266">
        <v>2.5</v>
      </c>
      <c r="BL266" s="4">
        <v>88.38</v>
      </c>
      <c r="BM266" s="4">
        <v>13.26</v>
      </c>
      <c r="BN266" s="4">
        <v>101.64</v>
      </c>
      <c r="BO266" s="4">
        <v>101.64</v>
      </c>
      <c r="BR266" t="s">
        <v>320</v>
      </c>
      <c r="BS266" s="1">
        <v>45758</v>
      </c>
      <c r="BT266" s="2">
        <v>0.53888888888888886</v>
      </c>
      <c r="BU266" t="s">
        <v>1064</v>
      </c>
      <c r="BV266" t="s">
        <v>66</v>
      </c>
      <c r="BY266">
        <v>12000</v>
      </c>
      <c r="CA266" t="s">
        <v>299</v>
      </c>
      <c r="CC266" t="s">
        <v>64</v>
      </c>
      <c r="CD266">
        <v>5200</v>
      </c>
      <c r="CE266" t="s">
        <v>393</v>
      </c>
      <c r="CF266" s="1">
        <v>45758</v>
      </c>
      <c r="CI266">
        <v>1</v>
      </c>
      <c r="CJ266">
        <v>1</v>
      </c>
      <c r="CK266">
        <v>21</v>
      </c>
      <c r="CL266" t="s">
        <v>66</v>
      </c>
    </row>
    <row r="267" spans="1:90" x14ac:dyDescent="0.3">
      <c r="A267" t="s">
        <v>315</v>
      </c>
      <c r="B267" t="s">
        <v>316</v>
      </c>
      <c r="C267" t="s">
        <v>59</v>
      </c>
      <c r="E267" t="str">
        <f>"GAB2025535"</f>
        <v>GAB2025535</v>
      </c>
      <c r="F267" s="1">
        <v>45757</v>
      </c>
      <c r="G267">
        <v>202601</v>
      </c>
      <c r="H267" t="s">
        <v>77</v>
      </c>
      <c r="I267" t="s">
        <v>78</v>
      </c>
      <c r="J267" t="s">
        <v>317</v>
      </c>
      <c r="K267" t="s">
        <v>62</v>
      </c>
      <c r="L267" t="s">
        <v>254</v>
      </c>
      <c r="M267" t="s">
        <v>255</v>
      </c>
      <c r="N267" t="s">
        <v>1065</v>
      </c>
      <c r="O267" t="s">
        <v>65</v>
      </c>
      <c r="P267" t="str">
        <f>"INV-00034619 031911           "</f>
        <v xml:space="preserve">INV-00034619 031911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52.52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</v>
      </c>
      <c r="BJ267">
        <v>2.4</v>
      </c>
      <c r="BK267">
        <v>2.5</v>
      </c>
      <c r="BL267" s="4">
        <v>167.94</v>
      </c>
      <c r="BM267" s="4">
        <v>25.19</v>
      </c>
      <c r="BN267" s="4">
        <v>193.13</v>
      </c>
      <c r="BO267" s="4">
        <v>193.13</v>
      </c>
      <c r="BQ267" t="s">
        <v>615</v>
      </c>
      <c r="BR267" t="s">
        <v>320</v>
      </c>
      <c r="BS267" s="1">
        <v>45759</v>
      </c>
      <c r="BT267" s="2">
        <v>0.44444444444444442</v>
      </c>
      <c r="BU267" t="s">
        <v>1066</v>
      </c>
      <c r="BV267" t="s">
        <v>74</v>
      </c>
      <c r="BY267">
        <v>12000</v>
      </c>
      <c r="CA267" t="s">
        <v>298</v>
      </c>
      <c r="CC267" t="s">
        <v>255</v>
      </c>
      <c r="CD267">
        <v>4420</v>
      </c>
      <c r="CE267" t="s">
        <v>393</v>
      </c>
      <c r="CF267" s="1">
        <v>45761</v>
      </c>
      <c r="CI267">
        <v>2</v>
      </c>
      <c r="CJ267">
        <v>1</v>
      </c>
      <c r="CK267">
        <v>23</v>
      </c>
      <c r="CL267" t="s">
        <v>66</v>
      </c>
    </row>
    <row r="268" spans="1:90" x14ac:dyDescent="0.3">
      <c r="A268" t="s">
        <v>315</v>
      </c>
      <c r="B268" t="s">
        <v>316</v>
      </c>
      <c r="C268" t="s">
        <v>59</v>
      </c>
      <c r="E268" t="str">
        <f>"GAB2025537"</f>
        <v>GAB2025537</v>
      </c>
      <c r="F268" s="1">
        <v>45757</v>
      </c>
      <c r="G268">
        <v>202601</v>
      </c>
      <c r="H268" t="s">
        <v>77</v>
      </c>
      <c r="I268" t="s">
        <v>78</v>
      </c>
      <c r="J268" t="s">
        <v>317</v>
      </c>
      <c r="K268" t="s">
        <v>62</v>
      </c>
      <c r="L268" t="s">
        <v>89</v>
      </c>
      <c r="M268" t="s">
        <v>90</v>
      </c>
      <c r="N268" t="s">
        <v>691</v>
      </c>
      <c r="O268" t="s">
        <v>65</v>
      </c>
      <c r="P268" t="str">
        <f>"INV-=00034622 031914          "</f>
        <v xml:space="preserve">INV-=00034622 031914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27.64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0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1</v>
      </c>
      <c r="BJ268">
        <v>2.4</v>
      </c>
      <c r="BK268">
        <v>2.5</v>
      </c>
      <c r="BL268" s="4">
        <v>88.38</v>
      </c>
      <c r="BM268" s="4">
        <v>13.26</v>
      </c>
      <c r="BN268" s="4">
        <v>101.64</v>
      </c>
      <c r="BO268" s="4">
        <v>101.64</v>
      </c>
      <c r="BQ268" t="s">
        <v>1067</v>
      </c>
      <c r="BR268" t="s">
        <v>320</v>
      </c>
      <c r="BS268" s="1">
        <v>45761</v>
      </c>
      <c r="BT268" s="2">
        <v>0.41666666666666669</v>
      </c>
      <c r="BU268" t="s">
        <v>1068</v>
      </c>
      <c r="BV268" t="s">
        <v>74</v>
      </c>
      <c r="BY268">
        <v>12000</v>
      </c>
      <c r="CA268" t="s">
        <v>269</v>
      </c>
      <c r="CC268" t="s">
        <v>90</v>
      </c>
      <c r="CD268">
        <v>4000</v>
      </c>
      <c r="CE268" t="s">
        <v>393</v>
      </c>
      <c r="CF268" s="1">
        <v>45762</v>
      </c>
      <c r="CI268">
        <v>2</v>
      </c>
      <c r="CJ268">
        <v>2</v>
      </c>
      <c r="CK268">
        <v>21</v>
      </c>
      <c r="CL268" t="s">
        <v>66</v>
      </c>
    </row>
    <row r="269" spans="1:90" x14ac:dyDescent="0.3">
      <c r="A269" t="s">
        <v>315</v>
      </c>
      <c r="B269" t="s">
        <v>316</v>
      </c>
      <c r="C269" t="s">
        <v>59</v>
      </c>
      <c r="E269" t="str">
        <f>"080011489969"</f>
        <v>080011489969</v>
      </c>
      <c r="F269" s="1">
        <v>45757</v>
      </c>
      <c r="G269">
        <v>202601</v>
      </c>
      <c r="H269" t="s">
        <v>95</v>
      </c>
      <c r="I269" t="s">
        <v>96</v>
      </c>
      <c r="J269" t="s">
        <v>1069</v>
      </c>
      <c r="K269" t="s">
        <v>62</v>
      </c>
      <c r="L269" t="s">
        <v>89</v>
      </c>
      <c r="M269" t="s">
        <v>90</v>
      </c>
      <c r="N269" t="s">
        <v>1070</v>
      </c>
      <c r="O269" t="s">
        <v>65</v>
      </c>
      <c r="P269" t="str">
        <f>"X                             "</f>
        <v xml:space="preserve">X     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44.21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1</v>
      </c>
      <c r="BI269">
        <v>1</v>
      </c>
      <c r="BJ269">
        <v>3.8</v>
      </c>
      <c r="BK269">
        <v>4</v>
      </c>
      <c r="BL269" s="4">
        <v>141.37</v>
      </c>
      <c r="BM269" s="4">
        <v>21.21</v>
      </c>
      <c r="BN269" s="4">
        <v>162.58000000000001</v>
      </c>
      <c r="BO269" s="4">
        <v>162.58000000000001</v>
      </c>
      <c r="BP269" t="s">
        <v>81</v>
      </c>
      <c r="BQ269" t="s">
        <v>1071</v>
      </c>
      <c r="BR269" t="s">
        <v>1072</v>
      </c>
      <c r="BS269" s="1">
        <v>45758</v>
      </c>
      <c r="BT269" s="2">
        <v>0.42708333333333331</v>
      </c>
      <c r="BU269" t="s">
        <v>1073</v>
      </c>
      <c r="BV269" t="s">
        <v>74</v>
      </c>
      <c r="BY269">
        <v>19200</v>
      </c>
      <c r="BZ269" t="s">
        <v>79</v>
      </c>
      <c r="CA269" t="s">
        <v>360</v>
      </c>
      <c r="CC269" t="s">
        <v>90</v>
      </c>
      <c r="CD269">
        <v>4001</v>
      </c>
      <c r="CE269" t="s">
        <v>85</v>
      </c>
      <c r="CF269" s="1">
        <v>45761</v>
      </c>
      <c r="CI269">
        <v>1</v>
      </c>
      <c r="CJ269">
        <v>1</v>
      </c>
      <c r="CK269">
        <v>21</v>
      </c>
      <c r="CL269" t="s">
        <v>66</v>
      </c>
    </row>
    <row r="270" spans="1:90" x14ac:dyDescent="0.3">
      <c r="A270" t="s">
        <v>315</v>
      </c>
      <c r="B270" t="s">
        <v>316</v>
      </c>
      <c r="C270" t="s">
        <v>59</v>
      </c>
      <c r="E270" t="str">
        <f>"GAB2025508"</f>
        <v>GAB2025508</v>
      </c>
      <c r="F270" s="1">
        <v>45757</v>
      </c>
      <c r="G270">
        <v>202601</v>
      </c>
      <c r="H270" t="s">
        <v>77</v>
      </c>
      <c r="I270" t="s">
        <v>78</v>
      </c>
      <c r="J270" t="s">
        <v>317</v>
      </c>
      <c r="K270" t="s">
        <v>62</v>
      </c>
      <c r="L270" t="s">
        <v>72</v>
      </c>
      <c r="M270" t="s">
        <v>73</v>
      </c>
      <c r="N270" t="s">
        <v>687</v>
      </c>
      <c r="O270" t="s">
        <v>98</v>
      </c>
      <c r="P270" t="str">
        <f>"INV-00116927 CT093829         "</f>
        <v xml:space="preserve">INV-00116927 CT093829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5.57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42.76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0.4</v>
      </c>
      <c r="BJ270">
        <v>1.7</v>
      </c>
      <c r="BK270">
        <v>2</v>
      </c>
      <c r="BL270" s="4">
        <v>142.31</v>
      </c>
      <c r="BM270" s="4">
        <v>21.35</v>
      </c>
      <c r="BN270" s="4">
        <v>163.66</v>
      </c>
      <c r="BO270" s="4">
        <v>163.66</v>
      </c>
      <c r="BQ270" t="s">
        <v>492</v>
      </c>
      <c r="BR270" t="s">
        <v>320</v>
      </c>
      <c r="BS270" s="1">
        <v>45762</v>
      </c>
      <c r="BT270" s="2">
        <v>0.45694444444444443</v>
      </c>
      <c r="BU270" t="s">
        <v>1062</v>
      </c>
      <c r="BV270" t="s">
        <v>74</v>
      </c>
      <c r="BY270">
        <v>8569.2800000000007</v>
      </c>
      <c r="CC270" t="s">
        <v>73</v>
      </c>
      <c r="CD270">
        <v>3610</v>
      </c>
      <c r="CE270" t="s">
        <v>339</v>
      </c>
      <c r="CF270" s="1">
        <v>45763</v>
      </c>
      <c r="CI270">
        <v>3</v>
      </c>
      <c r="CJ270">
        <v>3</v>
      </c>
      <c r="CK270">
        <v>41</v>
      </c>
      <c r="CL270" t="s">
        <v>66</v>
      </c>
    </row>
    <row r="271" spans="1:90" x14ac:dyDescent="0.3">
      <c r="A271" t="s">
        <v>315</v>
      </c>
      <c r="B271" t="s">
        <v>316</v>
      </c>
      <c r="C271" t="s">
        <v>59</v>
      </c>
      <c r="E271" t="str">
        <f>"GAB2025523"</f>
        <v>GAB2025523</v>
      </c>
      <c r="F271" s="1">
        <v>45757</v>
      </c>
      <c r="G271">
        <v>202601</v>
      </c>
      <c r="H271" t="s">
        <v>77</v>
      </c>
      <c r="I271" t="s">
        <v>78</v>
      </c>
      <c r="J271" t="s">
        <v>317</v>
      </c>
      <c r="K271" t="s">
        <v>62</v>
      </c>
      <c r="L271" t="s">
        <v>83</v>
      </c>
      <c r="M271" t="s">
        <v>84</v>
      </c>
      <c r="N271" t="s">
        <v>344</v>
      </c>
      <c r="O271" t="s">
        <v>98</v>
      </c>
      <c r="P271" t="str">
        <f>"INV-00116915 CT093019         "</f>
        <v xml:space="preserve">INV-00116915 CT093019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5.57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62.18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18.899999999999999</v>
      </c>
      <c r="BJ271">
        <v>25.3</v>
      </c>
      <c r="BK271">
        <v>26</v>
      </c>
      <c r="BL271" s="4">
        <v>204.41</v>
      </c>
      <c r="BM271" s="4">
        <v>30.66</v>
      </c>
      <c r="BN271" s="4">
        <v>235.07</v>
      </c>
      <c r="BO271" s="4">
        <v>235.07</v>
      </c>
      <c r="BQ271" t="s">
        <v>345</v>
      </c>
      <c r="BR271" t="s">
        <v>320</v>
      </c>
      <c r="BS271" s="1">
        <v>45761</v>
      </c>
      <c r="BT271" s="2">
        <v>0.3972222222222222</v>
      </c>
      <c r="BU271" t="s">
        <v>862</v>
      </c>
      <c r="BV271" t="s">
        <v>74</v>
      </c>
      <c r="BY271">
        <v>126428.58</v>
      </c>
      <c r="CA271" t="s">
        <v>863</v>
      </c>
      <c r="CC271" t="s">
        <v>84</v>
      </c>
      <c r="CD271">
        <v>3201</v>
      </c>
      <c r="CE271" t="s">
        <v>339</v>
      </c>
      <c r="CF271" s="1">
        <v>45761</v>
      </c>
      <c r="CI271">
        <v>4</v>
      </c>
      <c r="CJ271">
        <v>2</v>
      </c>
      <c r="CK271">
        <v>41</v>
      </c>
      <c r="CL271" t="s">
        <v>66</v>
      </c>
    </row>
    <row r="272" spans="1:90" x14ac:dyDescent="0.3">
      <c r="A272" t="s">
        <v>315</v>
      </c>
      <c r="B272" t="s">
        <v>316</v>
      </c>
      <c r="C272" t="s">
        <v>59</v>
      </c>
      <c r="E272" t="str">
        <f>"GAB2025533"</f>
        <v>GAB2025533</v>
      </c>
      <c r="F272" s="1">
        <v>45757</v>
      </c>
      <c r="G272">
        <v>202601</v>
      </c>
      <c r="H272" t="s">
        <v>77</v>
      </c>
      <c r="I272" t="s">
        <v>78</v>
      </c>
      <c r="J272" t="s">
        <v>317</v>
      </c>
      <c r="K272" t="s">
        <v>62</v>
      </c>
      <c r="L272" t="s">
        <v>532</v>
      </c>
      <c r="M272" t="s">
        <v>533</v>
      </c>
      <c r="N272" t="s">
        <v>1074</v>
      </c>
      <c r="O272" t="s">
        <v>98</v>
      </c>
      <c r="P272" t="str">
        <f>"INV-00116936 CT093872         "</f>
        <v xml:space="preserve">INV-00116936 CT093872         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5.57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60.31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0</v>
      </c>
      <c r="AS272">
        <v>0</v>
      </c>
      <c r="AT272">
        <v>0</v>
      </c>
      <c r="AU272">
        <v>0</v>
      </c>
      <c r="AV272">
        <v>0</v>
      </c>
      <c r="AW272">
        <v>0</v>
      </c>
      <c r="AX272">
        <v>0</v>
      </c>
      <c r="AY272">
        <v>0</v>
      </c>
      <c r="AZ272">
        <v>0</v>
      </c>
      <c r="BA272">
        <v>0</v>
      </c>
      <c r="BB272">
        <v>0</v>
      </c>
      <c r="BC272">
        <v>0</v>
      </c>
      <c r="BD272">
        <v>0</v>
      </c>
      <c r="BE272">
        <v>0</v>
      </c>
      <c r="BF272">
        <v>0</v>
      </c>
      <c r="BG272">
        <v>0</v>
      </c>
      <c r="BH272">
        <v>1</v>
      </c>
      <c r="BI272">
        <v>3.7</v>
      </c>
      <c r="BJ272">
        <v>12.9</v>
      </c>
      <c r="BK272">
        <v>13</v>
      </c>
      <c r="BL272" s="4">
        <v>198.43</v>
      </c>
      <c r="BM272" s="4">
        <v>29.76</v>
      </c>
      <c r="BN272" s="4">
        <v>228.19</v>
      </c>
      <c r="BO272" s="4">
        <v>228.19</v>
      </c>
      <c r="BQ272" t="s">
        <v>1075</v>
      </c>
      <c r="BR272" t="s">
        <v>320</v>
      </c>
      <c r="BS272" s="1">
        <v>45762</v>
      </c>
      <c r="BT272" s="2">
        <v>0.47569444444444442</v>
      </c>
      <c r="BU272" t="s">
        <v>1076</v>
      </c>
      <c r="BV272" t="s">
        <v>74</v>
      </c>
      <c r="BY272">
        <v>64463.25</v>
      </c>
      <c r="CA272" t="s">
        <v>1077</v>
      </c>
      <c r="CC272" t="s">
        <v>533</v>
      </c>
      <c r="CD272">
        <v>9460</v>
      </c>
      <c r="CE272" t="s">
        <v>525</v>
      </c>
      <c r="CF272" s="1">
        <v>45762</v>
      </c>
      <c r="CI272">
        <v>4</v>
      </c>
      <c r="CJ272">
        <v>3</v>
      </c>
      <c r="CK272">
        <v>43</v>
      </c>
      <c r="CL272" t="s">
        <v>66</v>
      </c>
    </row>
    <row r="273" spans="1:90" x14ac:dyDescent="0.3">
      <c r="A273" t="s">
        <v>315</v>
      </c>
      <c r="B273" t="s">
        <v>316</v>
      </c>
      <c r="C273" t="s">
        <v>59</v>
      </c>
      <c r="E273" t="str">
        <f>"GAB2025534"</f>
        <v>GAB2025534</v>
      </c>
      <c r="F273" s="1">
        <v>45757</v>
      </c>
      <c r="G273">
        <v>202601</v>
      </c>
      <c r="H273" t="s">
        <v>77</v>
      </c>
      <c r="I273" t="s">
        <v>78</v>
      </c>
      <c r="J273" t="s">
        <v>317</v>
      </c>
      <c r="K273" t="s">
        <v>62</v>
      </c>
      <c r="L273" t="s">
        <v>117</v>
      </c>
      <c r="M273" t="s">
        <v>118</v>
      </c>
      <c r="N273" t="s">
        <v>872</v>
      </c>
      <c r="O273" t="s">
        <v>98</v>
      </c>
      <c r="P273" t="str">
        <f>"INV-00116937 CT093874         "</f>
        <v xml:space="preserve">INV-00116937 CT093874         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5.57</v>
      </c>
      <c r="AD273">
        <v>0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42.76</v>
      </c>
      <c r="AL273">
        <v>0</v>
      </c>
      <c r="AM273">
        <v>0</v>
      </c>
      <c r="AN273">
        <v>0</v>
      </c>
      <c r="AO273">
        <v>0</v>
      </c>
      <c r="AP273">
        <v>0</v>
      </c>
      <c r="AQ273">
        <v>0</v>
      </c>
      <c r="AR273">
        <v>0</v>
      </c>
      <c r="AS273">
        <v>0</v>
      </c>
      <c r="AT273">
        <v>0</v>
      </c>
      <c r="AU273">
        <v>0</v>
      </c>
      <c r="AV273">
        <v>0</v>
      </c>
      <c r="AW273">
        <v>0</v>
      </c>
      <c r="AX273">
        <v>0</v>
      </c>
      <c r="AY273">
        <v>0</v>
      </c>
      <c r="AZ273">
        <v>0</v>
      </c>
      <c r="BA273">
        <v>0</v>
      </c>
      <c r="BB273">
        <v>0</v>
      </c>
      <c r="BC273">
        <v>0</v>
      </c>
      <c r="BD273">
        <v>0</v>
      </c>
      <c r="BE273">
        <v>0</v>
      </c>
      <c r="BF273">
        <v>0</v>
      </c>
      <c r="BG273">
        <v>0</v>
      </c>
      <c r="BH273">
        <v>1</v>
      </c>
      <c r="BI273">
        <v>4</v>
      </c>
      <c r="BJ273">
        <v>12.6</v>
      </c>
      <c r="BK273">
        <v>13</v>
      </c>
      <c r="BL273" s="4">
        <v>142.31</v>
      </c>
      <c r="BM273" s="4">
        <v>21.35</v>
      </c>
      <c r="BN273" s="4">
        <v>163.66</v>
      </c>
      <c r="BO273" s="4">
        <v>163.66</v>
      </c>
      <c r="BR273" t="s">
        <v>320</v>
      </c>
      <c r="BS273" s="1">
        <v>45761</v>
      </c>
      <c r="BT273" s="2">
        <v>0.64722222222222225</v>
      </c>
      <c r="BU273" t="s">
        <v>1078</v>
      </c>
      <c r="BV273" t="s">
        <v>74</v>
      </c>
      <c r="BY273">
        <v>63146.79</v>
      </c>
      <c r="CA273" t="s">
        <v>121</v>
      </c>
      <c r="CC273" t="s">
        <v>118</v>
      </c>
      <c r="CD273">
        <v>4133</v>
      </c>
      <c r="CE273" t="s">
        <v>525</v>
      </c>
      <c r="CF273" s="1">
        <v>45762</v>
      </c>
      <c r="CI273">
        <v>3</v>
      </c>
      <c r="CJ273">
        <v>2</v>
      </c>
      <c r="CK273">
        <v>41</v>
      </c>
      <c r="CL273" t="s">
        <v>66</v>
      </c>
    </row>
    <row r="274" spans="1:90" x14ac:dyDescent="0.3">
      <c r="A274" t="s">
        <v>315</v>
      </c>
      <c r="B274" t="s">
        <v>316</v>
      </c>
      <c r="C274" t="s">
        <v>59</v>
      </c>
      <c r="E274" t="str">
        <f>"GAB2025536"</f>
        <v>GAB2025536</v>
      </c>
      <c r="F274" s="1">
        <v>45757</v>
      </c>
      <c r="G274">
        <v>202601</v>
      </c>
      <c r="H274" t="s">
        <v>77</v>
      </c>
      <c r="I274" t="s">
        <v>78</v>
      </c>
      <c r="J274" t="s">
        <v>317</v>
      </c>
      <c r="K274" t="s">
        <v>62</v>
      </c>
      <c r="L274" t="s">
        <v>60</v>
      </c>
      <c r="M274" t="s">
        <v>61</v>
      </c>
      <c r="N274" t="s">
        <v>1079</v>
      </c>
      <c r="O274" t="s">
        <v>98</v>
      </c>
      <c r="P274" t="str">
        <f>"INV-00116939 CT093474         "</f>
        <v xml:space="preserve">INV-00116939 CT093474         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5.57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44.53</v>
      </c>
      <c r="AL274">
        <v>0</v>
      </c>
      <c r="AM274">
        <v>0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0</v>
      </c>
      <c r="AU274">
        <v>0</v>
      </c>
      <c r="AV274">
        <v>0</v>
      </c>
      <c r="AW274">
        <v>0</v>
      </c>
      <c r="AX274">
        <v>0</v>
      </c>
      <c r="AY274">
        <v>0</v>
      </c>
      <c r="AZ274">
        <v>0</v>
      </c>
      <c r="BA274">
        <v>0</v>
      </c>
      <c r="BB274">
        <v>0</v>
      </c>
      <c r="BC274">
        <v>0</v>
      </c>
      <c r="BD274">
        <v>0</v>
      </c>
      <c r="BE274">
        <v>0</v>
      </c>
      <c r="BF274">
        <v>0</v>
      </c>
      <c r="BG274">
        <v>0</v>
      </c>
      <c r="BH274">
        <v>2</v>
      </c>
      <c r="BI274">
        <v>5</v>
      </c>
      <c r="BJ274">
        <v>15.3</v>
      </c>
      <c r="BK274">
        <v>16</v>
      </c>
      <c r="BL274" s="4">
        <v>147.96</v>
      </c>
      <c r="BM274" s="4">
        <v>22.19</v>
      </c>
      <c r="BN274" s="4">
        <v>170.15</v>
      </c>
      <c r="BO274" s="4">
        <v>170.15</v>
      </c>
      <c r="BQ274" t="s">
        <v>1080</v>
      </c>
      <c r="BR274" t="s">
        <v>320</v>
      </c>
      <c r="BS274" s="1">
        <v>45761</v>
      </c>
      <c r="BT274" s="2">
        <v>0.35069444444444442</v>
      </c>
      <c r="BU274" t="s">
        <v>1081</v>
      </c>
      <c r="BV274" t="s">
        <v>74</v>
      </c>
      <c r="BY274">
        <v>76308.350000000006</v>
      </c>
      <c r="CA274" t="s">
        <v>124</v>
      </c>
      <c r="CC274" t="s">
        <v>61</v>
      </c>
      <c r="CD274">
        <v>1619</v>
      </c>
      <c r="CE274" t="s">
        <v>339</v>
      </c>
      <c r="CF274" s="1">
        <v>45761</v>
      </c>
      <c r="CI274">
        <v>2</v>
      </c>
      <c r="CJ274">
        <v>2</v>
      </c>
      <c r="CK274">
        <v>41</v>
      </c>
      <c r="CL274" t="s">
        <v>66</v>
      </c>
    </row>
    <row r="275" spans="1:90" x14ac:dyDescent="0.3">
      <c r="A275" t="s">
        <v>315</v>
      </c>
      <c r="B275" t="s">
        <v>316</v>
      </c>
      <c r="C275" t="s">
        <v>59</v>
      </c>
      <c r="E275" t="str">
        <f>"GAB2025509"</f>
        <v>GAB2025509</v>
      </c>
      <c r="F275" s="1">
        <v>45757</v>
      </c>
      <c r="G275">
        <v>202601</v>
      </c>
      <c r="H275" t="s">
        <v>77</v>
      </c>
      <c r="I275" t="s">
        <v>78</v>
      </c>
      <c r="J275" t="s">
        <v>317</v>
      </c>
      <c r="K275" t="s">
        <v>62</v>
      </c>
      <c r="L275" t="s">
        <v>86</v>
      </c>
      <c r="M275" t="s">
        <v>87</v>
      </c>
      <c r="N275" t="s">
        <v>814</v>
      </c>
      <c r="O275" t="s">
        <v>65</v>
      </c>
      <c r="P275" t="str">
        <f>"INV-00116930 CT093869         "</f>
        <v xml:space="preserve">INV-00116930 CT093869         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0</v>
      </c>
      <c r="AC275">
        <v>0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17.27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0</v>
      </c>
      <c r="AU275">
        <v>0</v>
      </c>
      <c r="AV275">
        <v>0</v>
      </c>
      <c r="AW275">
        <v>0</v>
      </c>
      <c r="AX275">
        <v>0</v>
      </c>
      <c r="AY275">
        <v>0</v>
      </c>
      <c r="AZ275">
        <v>0</v>
      </c>
      <c r="BA275">
        <v>0</v>
      </c>
      <c r="BB275">
        <v>0</v>
      </c>
      <c r="BC275">
        <v>0</v>
      </c>
      <c r="BD275">
        <v>0</v>
      </c>
      <c r="BE275">
        <v>0</v>
      </c>
      <c r="BF275">
        <v>0</v>
      </c>
      <c r="BG275">
        <v>0</v>
      </c>
      <c r="BH275">
        <v>1</v>
      </c>
      <c r="BI275">
        <v>0.6</v>
      </c>
      <c r="BJ275">
        <v>1.7</v>
      </c>
      <c r="BK275">
        <v>2</v>
      </c>
      <c r="BL275" s="4">
        <v>55.23</v>
      </c>
      <c r="BM275" s="4">
        <v>8.2799999999999994</v>
      </c>
      <c r="BN275" s="4">
        <v>63.51</v>
      </c>
      <c r="BO275" s="4">
        <v>63.51</v>
      </c>
      <c r="BQ275" t="s">
        <v>262</v>
      </c>
      <c r="BR275" t="s">
        <v>320</v>
      </c>
      <c r="BS275" s="1">
        <v>45758</v>
      </c>
      <c r="BT275" s="2">
        <v>0.39791666666666664</v>
      </c>
      <c r="BU275" t="s">
        <v>1082</v>
      </c>
      <c r="BV275" t="s">
        <v>74</v>
      </c>
      <c r="BY275">
        <v>8498.16</v>
      </c>
      <c r="CA275" t="s">
        <v>192</v>
      </c>
      <c r="CC275" t="s">
        <v>87</v>
      </c>
      <c r="CD275">
        <v>7600</v>
      </c>
      <c r="CE275" t="s">
        <v>434</v>
      </c>
      <c r="CF275" s="1">
        <v>45761</v>
      </c>
      <c r="CI275">
        <v>1</v>
      </c>
      <c r="CJ275">
        <v>1</v>
      </c>
      <c r="CK275">
        <v>22</v>
      </c>
      <c r="CL275" t="s">
        <v>66</v>
      </c>
    </row>
    <row r="276" spans="1:90" x14ac:dyDescent="0.3">
      <c r="A276" t="s">
        <v>315</v>
      </c>
      <c r="B276" t="s">
        <v>316</v>
      </c>
      <c r="C276" t="s">
        <v>59</v>
      </c>
      <c r="E276" t="str">
        <f>"GAB2025510"</f>
        <v>GAB2025510</v>
      </c>
      <c r="F276" s="1">
        <v>45757</v>
      </c>
      <c r="G276">
        <v>202601</v>
      </c>
      <c r="H276" t="s">
        <v>77</v>
      </c>
      <c r="I276" t="s">
        <v>78</v>
      </c>
      <c r="J276" t="s">
        <v>317</v>
      </c>
      <c r="K276" t="s">
        <v>62</v>
      </c>
      <c r="L276" t="s">
        <v>77</v>
      </c>
      <c r="M276" t="s">
        <v>78</v>
      </c>
      <c r="N276" t="s">
        <v>1083</v>
      </c>
      <c r="O276" t="s">
        <v>65</v>
      </c>
      <c r="P276" t="str">
        <f>"INV-00116931 CT093870         "</f>
        <v xml:space="preserve">INV-00116931 CT093870         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17.27</v>
      </c>
      <c r="AL276">
        <v>0</v>
      </c>
      <c r="AM276">
        <v>0</v>
      </c>
      <c r="AN276">
        <v>0</v>
      </c>
      <c r="AO276">
        <v>0</v>
      </c>
      <c r="AP276">
        <v>0</v>
      </c>
      <c r="AQ276">
        <v>0</v>
      </c>
      <c r="AR276">
        <v>0</v>
      </c>
      <c r="AS276">
        <v>0</v>
      </c>
      <c r="AT276">
        <v>0</v>
      </c>
      <c r="AU276">
        <v>0</v>
      </c>
      <c r="AV276">
        <v>0</v>
      </c>
      <c r="AW276">
        <v>0</v>
      </c>
      <c r="AX276">
        <v>0</v>
      </c>
      <c r="AY276">
        <v>0</v>
      </c>
      <c r="AZ276">
        <v>0</v>
      </c>
      <c r="BA276">
        <v>0</v>
      </c>
      <c r="BB276">
        <v>0</v>
      </c>
      <c r="BC276">
        <v>0</v>
      </c>
      <c r="BD276">
        <v>0</v>
      </c>
      <c r="BE276">
        <v>0</v>
      </c>
      <c r="BF276">
        <v>0</v>
      </c>
      <c r="BG276">
        <v>0</v>
      </c>
      <c r="BH276">
        <v>1</v>
      </c>
      <c r="BI276">
        <v>0.3</v>
      </c>
      <c r="BJ276">
        <v>2.4</v>
      </c>
      <c r="BK276">
        <v>3</v>
      </c>
      <c r="BL276" s="4">
        <v>55.23</v>
      </c>
      <c r="BM276" s="4">
        <v>8.2799999999999994</v>
      </c>
      <c r="BN276" s="4">
        <v>63.51</v>
      </c>
      <c r="BO276" s="4">
        <v>63.51</v>
      </c>
      <c r="BQ276" t="s">
        <v>460</v>
      </c>
      <c r="BR276" t="s">
        <v>320</v>
      </c>
      <c r="BS276" s="1">
        <v>45758</v>
      </c>
      <c r="BT276" s="2">
        <v>0.49375000000000002</v>
      </c>
      <c r="BU276" t="s">
        <v>1084</v>
      </c>
      <c r="BV276" t="s">
        <v>74</v>
      </c>
      <c r="BY276">
        <v>12200.63</v>
      </c>
      <c r="CA276" t="s">
        <v>709</v>
      </c>
      <c r="CC276" t="s">
        <v>78</v>
      </c>
      <c r="CD276">
        <v>7806</v>
      </c>
      <c r="CE276" t="s">
        <v>382</v>
      </c>
      <c r="CF276" s="1">
        <v>45761</v>
      </c>
      <c r="CI276">
        <v>1</v>
      </c>
      <c r="CJ276">
        <v>1</v>
      </c>
      <c r="CK276">
        <v>22</v>
      </c>
      <c r="CL276" t="s">
        <v>66</v>
      </c>
    </row>
    <row r="277" spans="1:90" x14ac:dyDescent="0.3">
      <c r="A277" t="s">
        <v>315</v>
      </c>
      <c r="B277" t="s">
        <v>316</v>
      </c>
      <c r="C277" t="s">
        <v>59</v>
      </c>
      <c r="E277" t="str">
        <f>"GAB2025511"</f>
        <v>GAB2025511</v>
      </c>
      <c r="F277" s="1">
        <v>45757</v>
      </c>
      <c r="G277">
        <v>202601</v>
      </c>
      <c r="H277" t="s">
        <v>77</v>
      </c>
      <c r="I277" t="s">
        <v>78</v>
      </c>
      <c r="J277" t="s">
        <v>317</v>
      </c>
      <c r="K277" t="s">
        <v>62</v>
      </c>
      <c r="L277" t="s">
        <v>91</v>
      </c>
      <c r="M277" t="s">
        <v>92</v>
      </c>
      <c r="N277" t="s">
        <v>1085</v>
      </c>
      <c r="O277" t="s">
        <v>65</v>
      </c>
      <c r="P277" t="str">
        <f>"INV-00034604 031853           "</f>
        <v xml:space="preserve">INV-00034604 031853           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33.159999999999997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0</v>
      </c>
      <c r="AR277">
        <v>0</v>
      </c>
      <c r="AS277">
        <v>0</v>
      </c>
      <c r="AT277">
        <v>0</v>
      </c>
      <c r="AU277">
        <v>0</v>
      </c>
      <c r="AV277">
        <v>0</v>
      </c>
      <c r="AW277">
        <v>0</v>
      </c>
      <c r="AX277">
        <v>0</v>
      </c>
      <c r="AY277">
        <v>0</v>
      </c>
      <c r="AZ277">
        <v>0</v>
      </c>
      <c r="BA277">
        <v>0</v>
      </c>
      <c r="BB277">
        <v>0</v>
      </c>
      <c r="BC277">
        <v>0</v>
      </c>
      <c r="BD277">
        <v>0</v>
      </c>
      <c r="BE277">
        <v>0</v>
      </c>
      <c r="BF277">
        <v>0</v>
      </c>
      <c r="BG277">
        <v>0</v>
      </c>
      <c r="BH277">
        <v>1</v>
      </c>
      <c r="BI277">
        <v>0.4</v>
      </c>
      <c r="BJ277">
        <v>2.6</v>
      </c>
      <c r="BK277">
        <v>3</v>
      </c>
      <c r="BL277" s="4">
        <v>106.04</v>
      </c>
      <c r="BM277" s="4">
        <v>15.91</v>
      </c>
      <c r="BN277" s="4">
        <v>121.95</v>
      </c>
      <c r="BO277" s="4">
        <v>121.95</v>
      </c>
      <c r="BQ277" t="s">
        <v>590</v>
      </c>
      <c r="BR277" t="s">
        <v>320</v>
      </c>
      <c r="BS277" s="1">
        <v>45758</v>
      </c>
      <c r="BT277" s="2">
        <v>0.35347222222222224</v>
      </c>
      <c r="BU277" t="s">
        <v>1056</v>
      </c>
      <c r="BV277" t="s">
        <v>74</v>
      </c>
      <c r="BY277">
        <v>12953.85</v>
      </c>
      <c r="CA277" t="s">
        <v>1057</v>
      </c>
      <c r="CC277" t="s">
        <v>92</v>
      </c>
      <c r="CD277" s="3" t="s">
        <v>1086</v>
      </c>
      <c r="CE277" t="s">
        <v>578</v>
      </c>
      <c r="CF277" s="1">
        <v>45758</v>
      </c>
      <c r="CI277">
        <v>1</v>
      </c>
      <c r="CJ277">
        <v>1</v>
      </c>
      <c r="CK277">
        <v>21</v>
      </c>
      <c r="CL277" t="s">
        <v>66</v>
      </c>
    </row>
    <row r="278" spans="1:90" x14ac:dyDescent="0.3">
      <c r="A278" t="s">
        <v>315</v>
      </c>
      <c r="B278" t="s">
        <v>316</v>
      </c>
      <c r="C278" t="s">
        <v>59</v>
      </c>
      <c r="E278" t="str">
        <f>"GAB2025513"</f>
        <v>GAB2025513</v>
      </c>
      <c r="F278" s="1">
        <v>45757</v>
      </c>
      <c r="G278">
        <v>202601</v>
      </c>
      <c r="H278" t="s">
        <v>77</v>
      </c>
      <c r="I278" t="s">
        <v>78</v>
      </c>
      <c r="J278" t="s">
        <v>317</v>
      </c>
      <c r="K278" t="s">
        <v>62</v>
      </c>
      <c r="L278" t="s">
        <v>152</v>
      </c>
      <c r="M278" t="s">
        <v>153</v>
      </c>
      <c r="N278" t="s">
        <v>1087</v>
      </c>
      <c r="O278" t="s">
        <v>65</v>
      </c>
      <c r="P278" t="str">
        <f>"INV-00034606 031877           "</f>
        <v xml:space="preserve">INV-00034606 031877           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0</v>
      </c>
      <c r="AC278">
        <v>0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27.64</v>
      </c>
      <c r="AL278">
        <v>0</v>
      </c>
      <c r="AM278">
        <v>0</v>
      </c>
      <c r="AN278">
        <v>0</v>
      </c>
      <c r="AO278">
        <v>0</v>
      </c>
      <c r="AP278">
        <v>0</v>
      </c>
      <c r="AQ278">
        <v>0</v>
      </c>
      <c r="AR278">
        <v>0</v>
      </c>
      <c r="AS278">
        <v>0</v>
      </c>
      <c r="AT278">
        <v>0</v>
      </c>
      <c r="AU278">
        <v>0</v>
      </c>
      <c r="AV278">
        <v>0</v>
      </c>
      <c r="AW278">
        <v>0</v>
      </c>
      <c r="AX278">
        <v>0</v>
      </c>
      <c r="AY278">
        <v>0</v>
      </c>
      <c r="AZ278">
        <v>0</v>
      </c>
      <c r="BA278">
        <v>0</v>
      </c>
      <c r="BB278">
        <v>0</v>
      </c>
      <c r="BC278">
        <v>0</v>
      </c>
      <c r="BD278">
        <v>0</v>
      </c>
      <c r="BE278">
        <v>0</v>
      </c>
      <c r="BF278">
        <v>0</v>
      </c>
      <c r="BG278">
        <v>0</v>
      </c>
      <c r="BH278">
        <v>1</v>
      </c>
      <c r="BI278">
        <v>0.3</v>
      </c>
      <c r="BJ278">
        <v>2.5</v>
      </c>
      <c r="BK278">
        <v>2.5</v>
      </c>
      <c r="BL278" s="4">
        <v>88.38</v>
      </c>
      <c r="BM278" s="4">
        <v>13.26</v>
      </c>
      <c r="BN278" s="4">
        <v>101.64</v>
      </c>
      <c r="BO278" s="4">
        <v>101.64</v>
      </c>
      <c r="BR278" t="s">
        <v>320</v>
      </c>
      <c r="BS278" s="1">
        <v>45758</v>
      </c>
      <c r="BT278" s="2">
        <v>0.39166666666666666</v>
      </c>
      <c r="BU278" t="s">
        <v>1088</v>
      </c>
      <c r="BV278" t="s">
        <v>74</v>
      </c>
      <c r="BY278">
        <v>12266.1</v>
      </c>
      <c r="CA278" t="s">
        <v>1089</v>
      </c>
      <c r="CC278" t="s">
        <v>153</v>
      </c>
      <c r="CD278">
        <v>1449</v>
      </c>
      <c r="CE278" t="s">
        <v>389</v>
      </c>
      <c r="CF278" s="1">
        <v>45758</v>
      </c>
      <c r="CI278">
        <v>1</v>
      </c>
      <c r="CJ278">
        <v>1</v>
      </c>
      <c r="CK278">
        <v>21</v>
      </c>
      <c r="CL278" t="s">
        <v>66</v>
      </c>
    </row>
    <row r="279" spans="1:90" x14ac:dyDescent="0.3">
      <c r="A279" t="s">
        <v>315</v>
      </c>
      <c r="B279" t="s">
        <v>316</v>
      </c>
      <c r="C279" t="s">
        <v>59</v>
      </c>
      <c r="E279" t="str">
        <f>"GAB2025515"</f>
        <v>GAB2025515</v>
      </c>
      <c r="F279" s="1">
        <v>45757</v>
      </c>
      <c r="G279">
        <v>202601</v>
      </c>
      <c r="H279" t="s">
        <v>77</v>
      </c>
      <c r="I279" t="s">
        <v>78</v>
      </c>
      <c r="J279" t="s">
        <v>317</v>
      </c>
      <c r="K279" t="s">
        <v>62</v>
      </c>
      <c r="L279" t="s">
        <v>91</v>
      </c>
      <c r="M279" t="s">
        <v>92</v>
      </c>
      <c r="N279" t="s">
        <v>1090</v>
      </c>
      <c r="O279" t="s">
        <v>65</v>
      </c>
      <c r="P279" t="str">
        <f>"INV-00034601 031850           "</f>
        <v xml:space="preserve">INV-00034601 031850           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27.64</v>
      </c>
      <c r="AL279">
        <v>0</v>
      </c>
      <c r="AM279">
        <v>0</v>
      </c>
      <c r="AN279">
        <v>0</v>
      </c>
      <c r="AO279">
        <v>0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1</v>
      </c>
      <c r="BI279">
        <v>0.2</v>
      </c>
      <c r="BJ279">
        <v>2.1</v>
      </c>
      <c r="BK279">
        <v>2.5</v>
      </c>
      <c r="BL279" s="4">
        <v>88.38</v>
      </c>
      <c r="BM279" s="4">
        <v>13.26</v>
      </c>
      <c r="BN279" s="4">
        <v>101.64</v>
      </c>
      <c r="BO279" s="4">
        <v>101.64</v>
      </c>
      <c r="BQ279" t="s">
        <v>404</v>
      </c>
      <c r="BR279" t="s">
        <v>320</v>
      </c>
      <c r="BS279" s="1">
        <v>45758</v>
      </c>
      <c r="BT279" s="2">
        <v>0.3840277777777778</v>
      </c>
      <c r="BU279" t="s">
        <v>1091</v>
      </c>
      <c r="BV279" t="s">
        <v>74</v>
      </c>
      <c r="BY279">
        <v>10278.4</v>
      </c>
      <c r="CA279" t="s">
        <v>1092</v>
      </c>
      <c r="CC279" t="s">
        <v>92</v>
      </c>
      <c r="CD279" s="3" t="s">
        <v>94</v>
      </c>
      <c r="CE279" t="s">
        <v>393</v>
      </c>
      <c r="CF279" s="1">
        <v>45758</v>
      </c>
      <c r="CI279">
        <v>1</v>
      </c>
      <c r="CJ279">
        <v>1</v>
      </c>
      <c r="CK279">
        <v>21</v>
      </c>
      <c r="CL279" t="s">
        <v>66</v>
      </c>
    </row>
    <row r="280" spans="1:90" x14ac:dyDescent="0.3">
      <c r="A280" t="s">
        <v>315</v>
      </c>
      <c r="B280" t="s">
        <v>316</v>
      </c>
      <c r="C280" t="s">
        <v>59</v>
      </c>
      <c r="E280" t="str">
        <f>"GAB2025517"</f>
        <v>GAB2025517</v>
      </c>
      <c r="F280" s="1">
        <v>45757</v>
      </c>
      <c r="G280">
        <v>202601</v>
      </c>
      <c r="H280" t="s">
        <v>77</v>
      </c>
      <c r="I280" t="s">
        <v>78</v>
      </c>
      <c r="J280" t="s">
        <v>317</v>
      </c>
      <c r="K280" t="s">
        <v>62</v>
      </c>
      <c r="L280" t="s">
        <v>131</v>
      </c>
      <c r="M280" t="s">
        <v>132</v>
      </c>
      <c r="N280" t="s">
        <v>593</v>
      </c>
      <c r="O280" t="s">
        <v>65</v>
      </c>
      <c r="P280" t="str">
        <f>"INV-00034603 031884           "</f>
        <v xml:space="preserve">INV-00034603 031884           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42.84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1</v>
      </c>
      <c r="BI280">
        <v>0.3</v>
      </c>
      <c r="BJ280">
        <v>2</v>
      </c>
      <c r="BK280">
        <v>2</v>
      </c>
      <c r="BL280" s="4">
        <v>137</v>
      </c>
      <c r="BM280" s="4">
        <v>20.55</v>
      </c>
      <c r="BN280" s="4">
        <v>157.55000000000001</v>
      </c>
      <c r="BO280" s="4">
        <v>157.55000000000001</v>
      </c>
      <c r="BQ280" t="s">
        <v>594</v>
      </c>
      <c r="BR280" t="s">
        <v>320</v>
      </c>
      <c r="BS280" s="1">
        <v>45758</v>
      </c>
      <c r="BT280" s="2">
        <v>0.38472222222222224</v>
      </c>
      <c r="BU280" t="s">
        <v>1093</v>
      </c>
      <c r="BV280" t="s">
        <v>74</v>
      </c>
      <c r="BY280">
        <v>9830.6</v>
      </c>
      <c r="CA280" t="s">
        <v>388</v>
      </c>
      <c r="CC280" t="s">
        <v>132</v>
      </c>
      <c r="CD280" s="3" t="s">
        <v>188</v>
      </c>
      <c r="CE280" t="s">
        <v>393</v>
      </c>
      <c r="CF280" s="1">
        <v>45761</v>
      </c>
      <c r="CI280">
        <v>2</v>
      </c>
      <c r="CJ280">
        <v>1</v>
      </c>
      <c r="CK280">
        <v>23</v>
      </c>
      <c r="CL280" t="s">
        <v>66</v>
      </c>
    </row>
    <row r="281" spans="1:90" x14ac:dyDescent="0.3">
      <c r="A281" t="s">
        <v>315</v>
      </c>
      <c r="B281" t="s">
        <v>316</v>
      </c>
      <c r="C281" t="s">
        <v>59</v>
      </c>
      <c r="E281" t="str">
        <f>"GAB2025518"</f>
        <v>GAB2025518</v>
      </c>
      <c r="F281" s="1">
        <v>45757</v>
      </c>
      <c r="G281">
        <v>202601</v>
      </c>
      <c r="H281" t="s">
        <v>77</v>
      </c>
      <c r="I281" t="s">
        <v>78</v>
      </c>
      <c r="J281" t="s">
        <v>317</v>
      </c>
      <c r="K281" t="s">
        <v>62</v>
      </c>
      <c r="L281" t="s">
        <v>106</v>
      </c>
      <c r="M281" t="s">
        <v>107</v>
      </c>
      <c r="N281" t="s">
        <v>600</v>
      </c>
      <c r="O281" t="s">
        <v>65</v>
      </c>
      <c r="P281" t="str">
        <f>"INV-00116917 CT093864         "</f>
        <v xml:space="preserve">INV-00116917 CT093864         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33.159999999999997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16.739999999999998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1</v>
      </c>
      <c r="BI281">
        <v>0.3</v>
      </c>
      <c r="BJ281">
        <v>2.7</v>
      </c>
      <c r="BK281">
        <v>3</v>
      </c>
      <c r="BL281" s="4">
        <v>122.78</v>
      </c>
      <c r="BM281" s="4">
        <v>18.420000000000002</v>
      </c>
      <c r="BN281" s="4">
        <v>141.19999999999999</v>
      </c>
      <c r="BO281" s="4">
        <v>141.19999999999999</v>
      </c>
      <c r="BQ281" t="s">
        <v>456</v>
      </c>
      <c r="BR281" t="s">
        <v>320</v>
      </c>
      <c r="BS281" s="1">
        <v>45758</v>
      </c>
      <c r="BT281" s="2">
        <v>0.43888888888888888</v>
      </c>
      <c r="BU281" t="s">
        <v>457</v>
      </c>
      <c r="BV281" t="s">
        <v>74</v>
      </c>
      <c r="BY281">
        <v>13467.3</v>
      </c>
      <c r="BZ281" t="s">
        <v>26</v>
      </c>
      <c r="CA281" t="s">
        <v>458</v>
      </c>
      <c r="CC281" t="s">
        <v>107</v>
      </c>
      <c r="CD281">
        <v>1475</v>
      </c>
      <c r="CE281" t="s">
        <v>389</v>
      </c>
      <c r="CF281" s="1">
        <v>45758</v>
      </c>
      <c r="CI281">
        <v>1</v>
      </c>
      <c r="CJ281">
        <v>1</v>
      </c>
      <c r="CK281">
        <v>21</v>
      </c>
      <c r="CL281" t="s">
        <v>66</v>
      </c>
    </row>
    <row r="282" spans="1:90" x14ac:dyDescent="0.3">
      <c r="A282" t="s">
        <v>315</v>
      </c>
      <c r="B282" t="s">
        <v>316</v>
      </c>
      <c r="C282" t="s">
        <v>59</v>
      </c>
      <c r="E282" t="str">
        <f>"GAB2025519"</f>
        <v>GAB2025519</v>
      </c>
      <c r="F282" s="1">
        <v>45757</v>
      </c>
      <c r="G282">
        <v>202601</v>
      </c>
      <c r="H282" t="s">
        <v>77</v>
      </c>
      <c r="I282" t="s">
        <v>78</v>
      </c>
      <c r="J282" t="s">
        <v>317</v>
      </c>
      <c r="K282" t="s">
        <v>62</v>
      </c>
      <c r="L282" t="s">
        <v>77</v>
      </c>
      <c r="M282" t="s">
        <v>78</v>
      </c>
      <c r="N282" t="s">
        <v>340</v>
      </c>
      <c r="O282" t="s">
        <v>65</v>
      </c>
      <c r="P282" t="str">
        <f>"INV-00116918 CT093867         "</f>
        <v xml:space="preserve">INV-00116918 CT093867         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0</v>
      </c>
      <c r="AC282">
        <v>0</v>
      </c>
      <c r="AD282">
        <v>0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17.27</v>
      </c>
      <c r="AL282">
        <v>0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0</v>
      </c>
      <c r="BE282">
        <v>0</v>
      </c>
      <c r="BF282">
        <v>0</v>
      </c>
      <c r="BG282">
        <v>0</v>
      </c>
      <c r="BH282">
        <v>1</v>
      </c>
      <c r="BI282">
        <v>0.2</v>
      </c>
      <c r="BJ282">
        <v>1.9</v>
      </c>
      <c r="BK282">
        <v>2</v>
      </c>
      <c r="BL282" s="4">
        <v>55.23</v>
      </c>
      <c r="BM282" s="4">
        <v>8.2799999999999994</v>
      </c>
      <c r="BN282" s="4">
        <v>63.51</v>
      </c>
      <c r="BO282" s="4">
        <v>63.51</v>
      </c>
      <c r="BQ282" t="s">
        <v>341</v>
      </c>
      <c r="BR282" t="s">
        <v>320</v>
      </c>
      <c r="BS282" s="1">
        <v>45758</v>
      </c>
      <c r="BT282" s="2">
        <v>0.34444444444444444</v>
      </c>
      <c r="BU282" t="s">
        <v>1094</v>
      </c>
      <c r="BV282" t="s">
        <v>74</v>
      </c>
      <c r="BY282">
        <v>9330.1200000000008</v>
      </c>
      <c r="CA282" t="s">
        <v>175</v>
      </c>
      <c r="CC282" t="s">
        <v>78</v>
      </c>
      <c r="CD282">
        <v>7441</v>
      </c>
      <c r="CE282" t="s">
        <v>343</v>
      </c>
      <c r="CF282" s="1">
        <v>45761</v>
      </c>
      <c r="CI282">
        <v>1</v>
      </c>
      <c r="CJ282">
        <v>1</v>
      </c>
      <c r="CK282">
        <v>22</v>
      </c>
      <c r="CL282" t="s">
        <v>66</v>
      </c>
    </row>
    <row r="283" spans="1:90" x14ac:dyDescent="0.3">
      <c r="A283" t="s">
        <v>315</v>
      </c>
      <c r="B283" t="s">
        <v>316</v>
      </c>
      <c r="C283" t="s">
        <v>59</v>
      </c>
      <c r="E283" t="str">
        <f>"GAB2025520"</f>
        <v>GAB2025520</v>
      </c>
      <c r="F283" s="1">
        <v>45757</v>
      </c>
      <c r="G283">
        <v>202601</v>
      </c>
      <c r="H283" t="s">
        <v>77</v>
      </c>
      <c r="I283" t="s">
        <v>78</v>
      </c>
      <c r="J283" t="s">
        <v>317</v>
      </c>
      <c r="K283" t="s">
        <v>62</v>
      </c>
      <c r="L283" t="s">
        <v>86</v>
      </c>
      <c r="M283" t="s">
        <v>87</v>
      </c>
      <c r="N283" t="s">
        <v>654</v>
      </c>
      <c r="O283" t="s">
        <v>65</v>
      </c>
      <c r="P283" t="str">
        <f>"INV-00116919 CT093866         "</f>
        <v xml:space="preserve">INV-00116919 CT093866         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17.27</v>
      </c>
      <c r="AL283">
        <v>0</v>
      </c>
      <c r="AM283">
        <v>0</v>
      </c>
      <c r="AN283">
        <v>0</v>
      </c>
      <c r="AO283">
        <v>0</v>
      </c>
      <c r="AP283">
        <v>0</v>
      </c>
      <c r="AQ283">
        <v>0</v>
      </c>
      <c r="AR283">
        <v>0</v>
      </c>
      <c r="AS283">
        <v>0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1</v>
      </c>
      <c r="BI283">
        <v>0.1</v>
      </c>
      <c r="BJ283">
        <v>1.9</v>
      </c>
      <c r="BK283">
        <v>2</v>
      </c>
      <c r="BL283" s="4">
        <v>55.23</v>
      </c>
      <c r="BM283" s="4">
        <v>8.2799999999999994</v>
      </c>
      <c r="BN283" s="4">
        <v>63.51</v>
      </c>
      <c r="BO283" s="4">
        <v>63.51</v>
      </c>
      <c r="BQ283" t="s">
        <v>655</v>
      </c>
      <c r="BR283" t="s">
        <v>320</v>
      </c>
      <c r="BS283" s="1">
        <v>45758</v>
      </c>
      <c r="BT283" s="2">
        <v>0.4777777777777778</v>
      </c>
      <c r="BU283" t="s">
        <v>1095</v>
      </c>
      <c r="BV283" t="s">
        <v>74</v>
      </c>
      <c r="BY283">
        <v>9467.2000000000007</v>
      </c>
      <c r="CA283" t="s">
        <v>88</v>
      </c>
      <c r="CC283" t="s">
        <v>87</v>
      </c>
      <c r="CD283">
        <v>7600</v>
      </c>
      <c r="CE283" t="s">
        <v>393</v>
      </c>
      <c r="CF283" s="1">
        <v>45761</v>
      </c>
      <c r="CI283">
        <v>1</v>
      </c>
      <c r="CJ283">
        <v>1</v>
      </c>
      <c r="CK283">
        <v>22</v>
      </c>
      <c r="CL283" t="s">
        <v>66</v>
      </c>
    </row>
    <row r="284" spans="1:90" x14ac:dyDescent="0.3">
      <c r="A284" t="s">
        <v>315</v>
      </c>
      <c r="B284" t="s">
        <v>316</v>
      </c>
      <c r="C284" t="s">
        <v>59</v>
      </c>
      <c r="E284" t="str">
        <f>"GAB2025522"</f>
        <v>GAB2025522</v>
      </c>
      <c r="F284" s="1">
        <v>45757</v>
      </c>
      <c r="G284">
        <v>202601</v>
      </c>
      <c r="H284" t="s">
        <v>77</v>
      </c>
      <c r="I284" t="s">
        <v>78</v>
      </c>
      <c r="J284" t="s">
        <v>317</v>
      </c>
      <c r="K284" t="s">
        <v>62</v>
      </c>
      <c r="L284" t="s">
        <v>131</v>
      </c>
      <c r="M284" t="s">
        <v>132</v>
      </c>
      <c r="N284" t="s">
        <v>541</v>
      </c>
      <c r="O284" t="s">
        <v>65</v>
      </c>
      <c r="P284" t="str">
        <f>"INV-00116900 CT093471         "</f>
        <v xml:space="preserve">INV-00116900 CT093471         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52.52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1</v>
      </c>
      <c r="BI284">
        <v>0.3</v>
      </c>
      <c r="BJ284">
        <v>2.2000000000000002</v>
      </c>
      <c r="BK284">
        <v>2.5</v>
      </c>
      <c r="BL284" s="4">
        <v>167.94</v>
      </c>
      <c r="BM284" s="4">
        <v>25.19</v>
      </c>
      <c r="BN284" s="4">
        <v>193.13</v>
      </c>
      <c r="BO284" s="4">
        <v>193.13</v>
      </c>
      <c r="BQ284" t="s">
        <v>1096</v>
      </c>
      <c r="BR284" t="s">
        <v>320</v>
      </c>
      <c r="BS284" s="1">
        <v>45758</v>
      </c>
      <c r="BT284" s="2">
        <v>0.42430555555555555</v>
      </c>
      <c r="BU284" t="s">
        <v>1097</v>
      </c>
      <c r="BV284" t="s">
        <v>74</v>
      </c>
      <c r="BY284">
        <v>11249.88</v>
      </c>
      <c r="CA284" t="s">
        <v>151</v>
      </c>
      <c r="CC284" t="s">
        <v>132</v>
      </c>
      <c r="CD284" s="3" t="s">
        <v>188</v>
      </c>
      <c r="CE284" t="s">
        <v>343</v>
      </c>
      <c r="CF284" s="1">
        <v>45761</v>
      </c>
      <c r="CI284">
        <v>2</v>
      </c>
      <c r="CJ284">
        <v>1</v>
      </c>
      <c r="CK284">
        <v>23</v>
      </c>
      <c r="CL284" t="s">
        <v>66</v>
      </c>
    </row>
    <row r="285" spans="1:90" x14ac:dyDescent="0.3">
      <c r="A285" t="s">
        <v>315</v>
      </c>
      <c r="B285" t="s">
        <v>316</v>
      </c>
      <c r="C285" t="s">
        <v>59</v>
      </c>
      <c r="E285" t="str">
        <f>"GAB2025524"</f>
        <v>GAB2025524</v>
      </c>
      <c r="F285" s="1">
        <v>45757</v>
      </c>
      <c r="G285">
        <v>202601</v>
      </c>
      <c r="H285" t="s">
        <v>77</v>
      </c>
      <c r="I285" t="s">
        <v>78</v>
      </c>
      <c r="J285" t="s">
        <v>317</v>
      </c>
      <c r="K285" t="s">
        <v>62</v>
      </c>
      <c r="L285" t="s">
        <v>295</v>
      </c>
      <c r="M285" t="s">
        <v>296</v>
      </c>
      <c r="N285" t="s">
        <v>745</v>
      </c>
      <c r="O285" t="s">
        <v>65</v>
      </c>
      <c r="P285" t="str">
        <f>"INV-00034579 031827           "</f>
        <v xml:space="preserve">INV-00034579 031827           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42.84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1</v>
      </c>
      <c r="BI285">
        <v>0.2</v>
      </c>
      <c r="BJ285">
        <v>1.5</v>
      </c>
      <c r="BK285">
        <v>1.5</v>
      </c>
      <c r="BL285" s="4">
        <v>137</v>
      </c>
      <c r="BM285" s="4">
        <v>20.55</v>
      </c>
      <c r="BN285" s="4">
        <v>157.55000000000001</v>
      </c>
      <c r="BO285" s="4">
        <v>157.55000000000001</v>
      </c>
      <c r="BQ285" t="s">
        <v>746</v>
      </c>
      <c r="BR285" t="s">
        <v>320</v>
      </c>
      <c r="BS285" s="1">
        <v>45758</v>
      </c>
      <c r="BT285" s="2">
        <v>0.41597222222222224</v>
      </c>
      <c r="BU285" t="s">
        <v>199</v>
      </c>
      <c r="BV285" t="s">
        <v>74</v>
      </c>
      <c r="BY285">
        <v>7659</v>
      </c>
      <c r="CA285" t="s">
        <v>297</v>
      </c>
      <c r="CC285" t="s">
        <v>296</v>
      </c>
      <c r="CD285">
        <v>1035</v>
      </c>
      <c r="CE285" t="s">
        <v>393</v>
      </c>
      <c r="CF285" s="1">
        <v>45758</v>
      </c>
      <c r="CI285">
        <v>1</v>
      </c>
      <c r="CJ285">
        <v>1</v>
      </c>
      <c r="CK285">
        <v>23</v>
      </c>
      <c r="CL285" t="s">
        <v>66</v>
      </c>
    </row>
    <row r="286" spans="1:90" x14ac:dyDescent="0.3">
      <c r="A286" t="s">
        <v>315</v>
      </c>
      <c r="B286" t="s">
        <v>316</v>
      </c>
      <c r="C286" t="s">
        <v>59</v>
      </c>
      <c r="E286" t="str">
        <f>"GAB2025526"</f>
        <v>GAB2025526</v>
      </c>
      <c r="F286" s="1">
        <v>45757</v>
      </c>
      <c r="G286">
        <v>202601</v>
      </c>
      <c r="H286" t="s">
        <v>77</v>
      </c>
      <c r="I286" t="s">
        <v>78</v>
      </c>
      <c r="J286" t="s">
        <v>317</v>
      </c>
      <c r="K286" t="s">
        <v>62</v>
      </c>
      <c r="L286" t="s">
        <v>91</v>
      </c>
      <c r="M286" t="s">
        <v>92</v>
      </c>
      <c r="N286" t="s">
        <v>850</v>
      </c>
      <c r="O286" t="s">
        <v>65</v>
      </c>
      <c r="P286" t="str">
        <f>"INV-00034602 031861           "</f>
        <v xml:space="preserve">INV-00034602 031861           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22.11</v>
      </c>
      <c r="AL286">
        <v>0</v>
      </c>
      <c r="AM286">
        <v>0</v>
      </c>
      <c r="AN286">
        <v>0</v>
      </c>
      <c r="AO286">
        <v>0</v>
      </c>
      <c r="AP286">
        <v>0</v>
      </c>
      <c r="AQ286">
        <v>0</v>
      </c>
      <c r="AR286">
        <v>0</v>
      </c>
      <c r="AS286">
        <v>0</v>
      </c>
      <c r="AT286">
        <v>0</v>
      </c>
      <c r="AU286">
        <v>0</v>
      </c>
      <c r="AV286">
        <v>0</v>
      </c>
      <c r="AW286">
        <v>0</v>
      </c>
      <c r="AX286">
        <v>0</v>
      </c>
      <c r="AY286">
        <v>0</v>
      </c>
      <c r="AZ286">
        <v>0</v>
      </c>
      <c r="BA286">
        <v>0</v>
      </c>
      <c r="BB286">
        <v>0</v>
      </c>
      <c r="BC286">
        <v>0</v>
      </c>
      <c r="BD286">
        <v>0</v>
      </c>
      <c r="BE286">
        <v>0</v>
      </c>
      <c r="BF286">
        <v>0</v>
      </c>
      <c r="BG286">
        <v>0</v>
      </c>
      <c r="BH286">
        <v>1</v>
      </c>
      <c r="BI286">
        <v>0.3</v>
      </c>
      <c r="BJ286">
        <v>1.6</v>
      </c>
      <c r="BK286">
        <v>2</v>
      </c>
      <c r="BL286" s="4">
        <v>70.709999999999994</v>
      </c>
      <c r="BM286" s="4">
        <v>10.61</v>
      </c>
      <c r="BN286" s="4">
        <v>81.319999999999993</v>
      </c>
      <c r="BO286" s="4">
        <v>81.319999999999993</v>
      </c>
      <c r="BQ286" t="s">
        <v>310</v>
      </c>
      <c r="BR286" t="s">
        <v>320</v>
      </c>
      <c r="BS286" s="1">
        <v>45758</v>
      </c>
      <c r="BT286" s="2">
        <v>0.32430555555555557</v>
      </c>
      <c r="BU286" t="s">
        <v>1098</v>
      </c>
      <c r="BV286" t="s">
        <v>74</v>
      </c>
      <c r="BY286">
        <v>8091.93</v>
      </c>
      <c r="CA286" t="s">
        <v>147</v>
      </c>
      <c r="CC286" t="s">
        <v>92</v>
      </c>
      <c r="CD286" s="3" t="s">
        <v>94</v>
      </c>
      <c r="CE286" t="s">
        <v>852</v>
      </c>
      <c r="CF286" s="1">
        <v>45758</v>
      </c>
      <c r="CI286">
        <v>1</v>
      </c>
      <c r="CJ286">
        <v>1</v>
      </c>
      <c r="CK286">
        <v>21</v>
      </c>
      <c r="CL286" t="s">
        <v>66</v>
      </c>
    </row>
    <row r="287" spans="1:90" x14ac:dyDescent="0.3">
      <c r="A287" t="s">
        <v>315</v>
      </c>
      <c r="B287" t="s">
        <v>316</v>
      </c>
      <c r="C287" t="s">
        <v>59</v>
      </c>
      <c r="E287" t="str">
        <f>"GAB2025527"</f>
        <v>GAB2025527</v>
      </c>
      <c r="F287" s="1">
        <v>45757</v>
      </c>
      <c r="G287">
        <v>202601</v>
      </c>
      <c r="H287" t="s">
        <v>77</v>
      </c>
      <c r="I287" t="s">
        <v>78</v>
      </c>
      <c r="J287" t="s">
        <v>317</v>
      </c>
      <c r="K287" t="s">
        <v>62</v>
      </c>
      <c r="L287" t="s">
        <v>142</v>
      </c>
      <c r="M287" t="s">
        <v>143</v>
      </c>
      <c r="N287" t="s">
        <v>450</v>
      </c>
      <c r="O287" t="s">
        <v>65</v>
      </c>
      <c r="P287" t="str">
        <f>"INV-00116920 00116926 CT093862"</f>
        <v>INV-00116920 00116926 CT093862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27.64</v>
      </c>
      <c r="AL287">
        <v>0</v>
      </c>
      <c r="AM287">
        <v>0</v>
      </c>
      <c r="AN287">
        <v>0</v>
      </c>
      <c r="AO287">
        <v>0</v>
      </c>
      <c r="AP287">
        <v>0</v>
      </c>
      <c r="AQ287">
        <v>0</v>
      </c>
      <c r="AR287">
        <v>0</v>
      </c>
      <c r="AS287">
        <v>0</v>
      </c>
      <c r="AT287">
        <v>0</v>
      </c>
      <c r="AU287">
        <v>0</v>
      </c>
      <c r="AV287">
        <v>0</v>
      </c>
      <c r="AW287">
        <v>0</v>
      </c>
      <c r="AX287">
        <v>0</v>
      </c>
      <c r="AY287">
        <v>0</v>
      </c>
      <c r="AZ287">
        <v>0</v>
      </c>
      <c r="BA287">
        <v>0</v>
      </c>
      <c r="BB287">
        <v>0</v>
      </c>
      <c r="BC287">
        <v>0</v>
      </c>
      <c r="BD287">
        <v>0</v>
      </c>
      <c r="BE287">
        <v>0</v>
      </c>
      <c r="BF287">
        <v>0</v>
      </c>
      <c r="BG287">
        <v>0</v>
      </c>
      <c r="BH287">
        <v>1</v>
      </c>
      <c r="BI287">
        <v>0.4</v>
      </c>
      <c r="BJ287">
        <v>2.1</v>
      </c>
      <c r="BK287">
        <v>2.5</v>
      </c>
      <c r="BL287" s="4">
        <v>88.38</v>
      </c>
      <c r="BM287" s="4">
        <v>13.26</v>
      </c>
      <c r="BN287" s="4">
        <v>101.64</v>
      </c>
      <c r="BO287" s="4">
        <v>101.64</v>
      </c>
      <c r="BQ287" t="s">
        <v>1099</v>
      </c>
      <c r="BR287" t="s">
        <v>320</v>
      </c>
      <c r="BS287" s="1">
        <v>45758</v>
      </c>
      <c r="BT287" s="2">
        <v>0.37916666666666665</v>
      </c>
      <c r="BU287" t="s">
        <v>980</v>
      </c>
      <c r="BV287" t="s">
        <v>74</v>
      </c>
      <c r="BY287">
        <v>10639.2</v>
      </c>
      <c r="CA287" t="s">
        <v>453</v>
      </c>
      <c r="CC287" t="s">
        <v>143</v>
      </c>
      <c r="CD287" s="3" t="s">
        <v>144</v>
      </c>
      <c r="CE287" t="s">
        <v>389</v>
      </c>
      <c r="CF287" s="1">
        <v>45758</v>
      </c>
      <c r="CI287">
        <v>1</v>
      </c>
      <c r="CJ287">
        <v>1</v>
      </c>
      <c r="CK287">
        <v>21</v>
      </c>
      <c r="CL287" t="s">
        <v>66</v>
      </c>
    </row>
    <row r="288" spans="1:90" x14ac:dyDescent="0.3">
      <c r="A288" t="s">
        <v>315</v>
      </c>
      <c r="B288" t="s">
        <v>316</v>
      </c>
      <c r="C288" t="s">
        <v>59</v>
      </c>
      <c r="E288" t="str">
        <f>"GAB2025529"</f>
        <v>GAB2025529</v>
      </c>
      <c r="F288" s="1">
        <v>45757</v>
      </c>
      <c r="G288">
        <v>202601</v>
      </c>
      <c r="H288" t="s">
        <v>77</v>
      </c>
      <c r="I288" t="s">
        <v>78</v>
      </c>
      <c r="J288" t="s">
        <v>317</v>
      </c>
      <c r="K288" t="s">
        <v>62</v>
      </c>
      <c r="L288" t="s">
        <v>142</v>
      </c>
      <c r="M288" t="s">
        <v>143</v>
      </c>
      <c r="N288" t="s">
        <v>349</v>
      </c>
      <c r="O288" t="s">
        <v>65</v>
      </c>
      <c r="P288" t="str">
        <f>"INV-00116935 00116921 093863 8"</f>
        <v>INV-00116935 00116921 093863 8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66.3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0</v>
      </c>
      <c r="BA288">
        <v>0</v>
      </c>
      <c r="BB288">
        <v>0</v>
      </c>
      <c r="BC288">
        <v>0</v>
      </c>
      <c r="BD288">
        <v>0</v>
      </c>
      <c r="BE288">
        <v>0</v>
      </c>
      <c r="BF288">
        <v>0</v>
      </c>
      <c r="BG288">
        <v>0</v>
      </c>
      <c r="BH288">
        <v>1</v>
      </c>
      <c r="BI288">
        <v>3</v>
      </c>
      <c r="BJ288">
        <v>6</v>
      </c>
      <c r="BK288">
        <v>6</v>
      </c>
      <c r="BL288" s="4">
        <v>212.02</v>
      </c>
      <c r="BM288" s="4">
        <v>31.8</v>
      </c>
      <c r="BN288" s="4">
        <v>243.82</v>
      </c>
      <c r="BO288" s="4">
        <v>243.82</v>
      </c>
      <c r="BQ288" t="s">
        <v>350</v>
      </c>
      <c r="BR288" t="s">
        <v>320</v>
      </c>
      <c r="BS288" s="1">
        <v>45758</v>
      </c>
      <c r="BT288" s="2">
        <v>0.33680555555555558</v>
      </c>
      <c r="BU288" t="s">
        <v>544</v>
      </c>
      <c r="BV288" t="s">
        <v>74</v>
      </c>
      <c r="BY288">
        <v>29972.880000000001</v>
      </c>
      <c r="CA288" t="s">
        <v>545</v>
      </c>
      <c r="CC288" t="s">
        <v>143</v>
      </c>
      <c r="CD288" s="3" t="s">
        <v>144</v>
      </c>
      <c r="CE288" t="s">
        <v>1100</v>
      </c>
      <c r="CF288" s="1">
        <v>45758</v>
      </c>
      <c r="CI288">
        <v>1</v>
      </c>
      <c r="CJ288">
        <v>1</v>
      </c>
      <c r="CK288">
        <v>21</v>
      </c>
      <c r="CL288" t="s">
        <v>66</v>
      </c>
    </row>
    <row r="289" spans="1:90" x14ac:dyDescent="0.3">
      <c r="A289" t="s">
        <v>315</v>
      </c>
      <c r="B289" t="s">
        <v>316</v>
      </c>
      <c r="C289" t="s">
        <v>59</v>
      </c>
      <c r="E289" t="str">
        <f>"GAB2025530"</f>
        <v>GAB2025530</v>
      </c>
      <c r="F289" s="1">
        <v>45757</v>
      </c>
      <c r="G289">
        <v>202601</v>
      </c>
      <c r="H289" t="s">
        <v>77</v>
      </c>
      <c r="I289" t="s">
        <v>78</v>
      </c>
      <c r="J289" t="s">
        <v>317</v>
      </c>
      <c r="K289" t="s">
        <v>62</v>
      </c>
      <c r="L289" t="s">
        <v>406</v>
      </c>
      <c r="M289" t="s">
        <v>407</v>
      </c>
      <c r="N289" t="s">
        <v>408</v>
      </c>
      <c r="O289" t="s">
        <v>65</v>
      </c>
      <c r="P289" t="str">
        <f>"INV-00116932 CT093734         "</f>
        <v xml:space="preserve">INV-00116932 CT093734         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52.52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1</v>
      </c>
      <c r="BI289">
        <v>0.2</v>
      </c>
      <c r="BJ289">
        <v>2.2999999999999998</v>
      </c>
      <c r="BK289">
        <v>2.5</v>
      </c>
      <c r="BL289" s="4">
        <v>167.94</v>
      </c>
      <c r="BM289" s="4">
        <v>25.19</v>
      </c>
      <c r="BN289" s="4">
        <v>193.13</v>
      </c>
      <c r="BO289" s="4">
        <v>193.13</v>
      </c>
      <c r="BQ289" t="s">
        <v>409</v>
      </c>
      <c r="BR289" t="s">
        <v>320</v>
      </c>
      <c r="BS289" s="1">
        <v>45758</v>
      </c>
      <c r="BT289" s="2">
        <v>0.61875000000000002</v>
      </c>
      <c r="BU289" t="s">
        <v>1101</v>
      </c>
      <c r="BV289" t="s">
        <v>74</v>
      </c>
      <c r="BY289">
        <v>11743.43</v>
      </c>
      <c r="CA289" t="s">
        <v>411</v>
      </c>
      <c r="CC289" t="s">
        <v>407</v>
      </c>
      <c r="CD289">
        <v>2515</v>
      </c>
      <c r="CE289" t="s">
        <v>343</v>
      </c>
      <c r="CF289" s="1">
        <v>45758</v>
      </c>
      <c r="CI289">
        <v>1</v>
      </c>
      <c r="CJ289">
        <v>1</v>
      </c>
      <c r="CK289">
        <v>23</v>
      </c>
      <c r="CL289" t="s">
        <v>66</v>
      </c>
    </row>
    <row r="290" spans="1:90" x14ac:dyDescent="0.3">
      <c r="A290" t="s">
        <v>315</v>
      </c>
      <c r="B290" t="s">
        <v>316</v>
      </c>
      <c r="C290" t="s">
        <v>59</v>
      </c>
      <c r="E290" t="str">
        <f>"GAB2025532"</f>
        <v>GAB2025532</v>
      </c>
      <c r="F290" s="1">
        <v>45757</v>
      </c>
      <c r="G290">
        <v>202601</v>
      </c>
      <c r="H290" t="s">
        <v>77</v>
      </c>
      <c r="I290" t="s">
        <v>78</v>
      </c>
      <c r="J290" t="s">
        <v>317</v>
      </c>
      <c r="K290" t="s">
        <v>62</v>
      </c>
      <c r="L290" t="s">
        <v>183</v>
      </c>
      <c r="M290" t="s">
        <v>184</v>
      </c>
      <c r="N290" t="s">
        <v>375</v>
      </c>
      <c r="O290" t="s">
        <v>65</v>
      </c>
      <c r="P290" t="str">
        <f>"INV-00116934 CT093875         "</f>
        <v xml:space="preserve">INV-00116934 CT093875         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52.52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1</v>
      </c>
      <c r="BI290">
        <v>0.2</v>
      </c>
      <c r="BJ290">
        <v>2.2000000000000002</v>
      </c>
      <c r="BK290">
        <v>2.5</v>
      </c>
      <c r="BL290" s="4">
        <v>167.94</v>
      </c>
      <c r="BM290" s="4">
        <v>25.19</v>
      </c>
      <c r="BN290" s="4">
        <v>193.13</v>
      </c>
      <c r="BO290" s="4">
        <v>193.13</v>
      </c>
      <c r="BQ290" t="s">
        <v>376</v>
      </c>
      <c r="BR290" t="s">
        <v>320</v>
      </c>
      <c r="BS290" s="1">
        <v>45759</v>
      </c>
      <c r="BT290" s="2">
        <v>0.52500000000000002</v>
      </c>
      <c r="BU290" t="s">
        <v>1102</v>
      </c>
      <c r="BV290" t="s">
        <v>74</v>
      </c>
      <c r="BY290">
        <v>10974.6</v>
      </c>
      <c r="CA290" t="s">
        <v>151</v>
      </c>
      <c r="CC290" t="s">
        <v>184</v>
      </c>
      <c r="CD290" s="3" t="s">
        <v>186</v>
      </c>
      <c r="CE290" t="s">
        <v>393</v>
      </c>
      <c r="CF290" s="1">
        <v>45761</v>
      </c>
      <c r="CI290">
        <v>2</v>
      </c>
      <c r="CJ290">
        <v>1</v>
      </c>
      <c r="CK290">
        <v>23</v>
      </c>
      <c r="CL290" t="s">
        <v>66</v>
      </c>
    </row>
    <row r="291" spans="1:90" x14ac:dyDescent="0.3">
      <c r="A291" t="s">
        <v>315</v>
      </c>
      <c r="B291" t="s">
        <v>316</v>
      </c>
      <c r="C291" t="s">
        <v>59</v>
      </c>
      <c r="E291" t="str">
        <f>"009944624810"</f>
        <v>009944624810</v>
      </c>
      <c r="F291" s="1">
        <v>45757</v>
      </c>
      <c r="G291">
        <v>202601</v>
      </c>
      <c r="H291" t="s">
        <v>142</v>
      </c>
      <c r="I291" t="s">
        <v>143</v>
      </c>
      <c r="J291" t="s">
        <v>490</v>
      </c>
      <c r="K291" t="s">
        <v>62</v>
      </c>
      <c r="L291" t="s">
        <v>89</v>
      </c>
      <c r="M291" t="s">
        <v>90</v>
      </c>
      <c r="N291" t="s">
        <v>1103</v>
      </c>
      <c r="O291" t="s">
        <v>65</v>
      </c>
      <c r="P291" t="str">
        <f>"NA                            "</f>
        <v xml:space="preserve">NA                            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44.21</v>
      </c>
      <c r="AL291">
        <v>0</v>
      </c>
      <c r="AM291">
        <v>0</v>
      </c>
      <c r="AN291">
        <v>0</v>
      </c>
      <c r="AO291">
        <v>0</v>
      </c>
      <c r="AP291">
        <v>0</v>
      </c>
      <c r="AQ291">
        <v>0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0</v>
      </c>
      <c r="AY291">
        <v>0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0</v>
      </c>
      <c r="BG291">
        <v>0</v>
      </c>
      <c r="BH291">
        <v>1</v>
      </c>
      <c r="BI291">
        <v>1</v>
      </c>
      <c r="BJ291">
        <v>3.6</v>
      </c>
      <c r="BK291">
        <v>4</v>
      </c>
      <c r="BL291" s="4">
        <v>141.37</v>
      </c>
      <c r="BM291" s="4">
        <v>21.21</v>
      </c>
      <c r="BN291" s="4">
        <v>162.58000000000001</v>
      </c>
      <c r="BO291" s="4">
        <v>162.58000000000001</v>
      </c>
      <c r="BQ291" t="s">
        <v>1104</v>
      </c>
      <c r="BR291" t="s">
        <v>1105</v>
      </c>
      <c r="BS291" s="1">
        <v>45759</v>
      </c>
      <c r="BT291" s="2">
        <v>0.47499999999999998</v>
      </c>
      <c r="BU291" t="s">
        <v>1106</v>
      </c>
      <c r="BV291" t="s">
        <v>66</v>
      </c>
      <c r="BW291" t="s">
        <v>112</v>
      </c>
      <c r="BX291" t="s">
        <v>164</v>
      </c>
      <c r="BY291">
        <v>18000</v>
      </c>
      <c r="BZ291" t="s">
        <v>79</v>
      </c>
      <c r="CA291" t="s">
        <v>677</v>
      </c>
      <c r="CC291" t="s">
        <v>90</v>
      </c>
      <c r="CD291">
        <v>4000</v>
      </c>
      <c r="CE291" t="s">
        <v>236</v>
      </c>
      <c r="CF291" s="1">
        <v>45761</v>
      </c>
      <c r="CI291">
        <v>1</v>
      </c>
      <c r="CJ291">
        <v>1</v>
      </c>
      <c r="CK291">
        <v>21</v>
      </c>
      <c r="CL291" t="s">
        <v>66</v>
      </c>
    </row>
    <row r="292" spans="1:90" x14ac:dyDescent="0.3">
      <c r="A292" t="s">
        <v>315</v>
      </c>
      <c r="B292" t="s">
        <v>316</v>
      </c>
      <c r="C292" t="s">
        <v>59</v>
      </c>
      <c r="E292" t="str">
        <f>"009945075999"</f>
        <v>009945075999</v>
      </c>
      <c r="F292" s="1">
        <v>45757</v>
      </c>
      <c r="G292">
        <v>202601</v>
      </c>
      <c r="H292" t="s">
        <v>91</v>
      </c>
      <c r="I292" t="s">
        <v>92</v>
      </c>
      <c r="J292" t="s">
        <v>490</v>
      </c>
      <c r="K292" t="s">
        <v>62</v>
      </c>
      <c r="L292" t="s">
        <v>313</v>
      </c>
      <c r="M292" t="s">
        <v>314</v>
      </c>
      <c r="N292" t="s">
        <v>1107</v>
      </c>
      <c r="O292" t="s">
        <v>98</v>
      </c>
      <c r="P292" t="str">
        <f>"NA                            "</f>
        <v xml:space="preserve">NA                            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5.57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42.76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</v>
      </c>
      <c r="BI292">
        <v>1</v>
      </c>
      <c r="BJ292">
        <v>0.2</v>
      </c>
      <c r="BK292">
        <v>1</v>
      </c>
      <c r="BL292" s="4">
        <v>142.31</v>
      </c>
      <c r="BM292" s="4">
        <v>21.35</v>
      </c>
      <c r="BN292" s="4">
        <v>163.66</v>
      </c>
      <c r="BO292" s="4">
        <v>163.66</v>
      </c>
      <c r="BQ292" t="s">
        <v>1108</v>
      </c>
      <c r="BR292" t="s">
        <v>979</v>
      </c>
      <c r="BS292" s="1">
        <v>45758</v>
      </c>
      <c r="BT292" s="2">
        <v>0.39583333333333331</v>
      </c>
      <c r="BU292" t="s">
        <v>1109</v>
      </c>
      <c r="BV292" t="s">
        <v>74</v>
      </c>
      <c r="BY292">
        <v>1200</v>
      </c>
      <c r="BZ292" t="s">
        <v>114</v>
      </c>
      <c r="CA292" t="s">
        <v>524</v>
      </c>
      <c r="CC292" t="s">
        <v>314</v>
      </c>
      <c r="CD292">
        <v>1200</v>
      </c>
      <c r="CE292" t="s">
        <v>236</v>
      </c>
      <c r="CF292" s="1">
        <v>45758</v>
      </c>
      <c r="CI292">
        <v>1</v>
      </c>
      <c r="CJ292">
        <v>1</v>
      </c>
      <c r="CK292">
        <v>41</v>
      </c>
      <c r="CL292" t="s">
        <v>66</v>
      </c>
    </row>
    <row r="293" spans="1:90" x14ac:dyDescent="0.3">
      <c r="A293" t="s">
        <v>315</v>
      </c>
      <c r="B293" t="s">
        <v>316</v>
      </c>
      <c r="C293" t="s">
        <v>59</v>
      </c>
      <c r="E293" t="str">
        <f>"009945076000"</f>
        <v>009945076000</v>
      </c>
      <c r="F293" s="1">
        <v>45757</v>
      </c>
      <c r="G293">
        <v>202601</v>
      </c>
      <c r="H293" t="s">
        <v>142</v>
      </c>
      <c r="I293" t="s">
        <v>143</v>
      </c>
      <c r="J293" t="s">
        <v>490</v>
      </c>
      <c r="K293" t="s">
        <v>62</v>
      </c>
      <c r="L293" t="s">
        <v>77</v>
      </c>
      <c r="M293" t="s">
        <v>78</v>
      </c>
      <c r="N293" t="s">
        <v>491</v>
      </c>
      <c r="O293" t="s">
        <v>65</v>
      </c>
      <c r="P293" t="str">
        <f>"NA                            "</f>
        <v xml:space="preserve">NA                            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22.11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0</v>
      </c>
      <c r="AU293">
        <v>0</v>
      </c>
      <c r="AV293">
        <v>0</v>
      </c>
      <c r="AW293">
        <v>0</v>
      </c>
      <c r="AX293">
        <v>0</v>
      </c>
      <c r="AY293">
        <v>0</v>
      </c>
      <c r="AZ293">
        <v>0</v>
      </c>
      <c r="BA293">
        <v>0</v>
      </c>
      <c r="BB293">
        <v>0</v>
      </c>
      <c r="BC293">
        <v>0</v>
      </c>
      <c r="BD293">
        <v>0</v>
      </c>
      <c r="BE293">
        <v>0</v>
      </c>
      <c r="BF293">
        <v>0</v>
      </c>
      <c r="BG293">
        <v>0</v>
      </c>
      <c r="BH293">
        <v>2</v>
      </c>
      <c r="BI293">
        <v>2</v>
      </c>
      <c r="BJ293">
        <v>0.5</v>
      </c>
      <c r="BK293">
        <v>2</v>
      </c>
      <c r="BL293" s="4">
        <v>70.709999999999994</v>
      </c>
      <c r="BM293" s="4">
        <v>10.61</v>
      </c>
      <c r="BN293" s="4">
        <v>81.319999999999993</v>
      </c>
      <c r="BO293" s="4">
        <v>81.319999999999993</v>
      </c>
      <c r="BQ293" t="s">
        <v>1110</v>
      </c>
      <c r="BR293" t="s">
        <v>672</v>
      </c>
      <c r="BS293" s="1">
        <v>45761</v>
      </c>
      <c r="BT293" s="2">
        <v>0.43611111111111112</v>
      </c>
      <c r="BU293" t="s">
        <v>263</v>
      </c>
      <c r="BV293" t="s">
        <v>66</v>
      </c>
      <c r="BY293">
        <v>1200</v>
      </c>
      <c r="BZ293" t="s">
        <v>79</v>
      </c>
      <c r="CA293" t="s">
        <v>193</v>
      </c>
      <c r="CC293" t="s">
        <v>78</v>
      </c>
      <c r="CD293">
        <v>7460</v>
      </c>
      <c r="CE293" t="s">
        <v>236</v>
      </c>
      <c r="CF293" s="1">
        <v>45762</v>
      </c>
      <c r="CI293">
        <v>1</v>
      </c>
      <c r="CJ293">
        <v>2</v>
      </c>
      <c r="CK293">
        <v>21</v>
      </c>
      <c r="CL293" t="s">
        <v>66</v>
      </c>
    </row>
    <row r="294" spans="1:90" x14ac:dyDescent="0.3">
      <c r="A294" t="s">
        <v>315</v>
      </c>
      <c r="B294" t="s">
        <v>316</v>
      </c>
      <c r="C294" t="s">
        <v>59</v>
      </c>
      <c r="E294" t="str">
        <f>"009945075914"</f>
        <v>009945075914</v>
      </c>
      <c r="F294" s="1">
        <v>45757</v>
      </c>
      <c r="G294">
        <v>202601</v>
      </c>
      <c r="H294" t="s">
        <v>142</v>
      </c>
      <c r="I294" t="s">
        <v>143</v>
      </c>
      <c r="J294" t="s">
        <v>490</v>
      </c>
      <c r="K294" t="s">
        <v>62</v>
      </c>
      <c r="L294" t="s">
        <v>89</v>
      </c>
      <c r="M294" t="s">
        <v>90</v>
      </c>
      <c r="N294" t="s">
        <v>491</v>
      </c>
      <c r="O294" t="s">
        <v>65</v>
      </c>
      <c r="P294" t="str">
        <f>"NA                            "</f>
        <v xml:space="preserve">NA                            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27.64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1</v>
      </c>
      <c r="BI294">
        <v>2</v>
      </c>
      <c r="BJ294">
        <v>2.2999999999999998</v>
      </c>
      <c r="BK294">
        <v>2.5</v>
      </c>
      <c r="BL294" s="4">
        <v>88.38</v>
      </c>
      <c r="BM294" s="4">
        <v>13.26</v>
      </c>
      <c r="BN294" s="4">
        <v>101.64</v>
      </c>
      <c r="BO294" s="4">
        <v>101.64</v>
      </c>
      <c r="BQ294" t="s">
        <v>1111</v>
      </c>
      <c r="BR294" t="s">
        <v>236</v>
      </c>
      <c r="BS294" s="1">
        <v>45761</v>
      </c>
      <c r="BT294" s="2">
        <v>0.35347222222222224</v>
      </c>
      <c r="BU294" t="s">
        <v>714</v>
      </c>
      <c r="BV294" t="s">
        <v>66</v>
      </c>
      <c r="BY294">
        <v>11700</v>
      </c>
      <c r="BZ294" t="s">
        <v>79</v>
      </c>
      <c r="CC294" t="s">
        <v>90</v>
      </c>
      <c r="CD294">
        <v>4000</v>
      </c>
      <c r="CE294" t="s">
        <v>236</v>
      </c>
      <c r="CF294" s="1">
        <v>45762</v>
      </c>
      <c r="CI294">
        <v>1</v>
      </c>
      <c r="CJ294">
        <v>2</v>
      </c>
      <c r="CK294">
        <v>21</v>
      </c>
      <c r="CL294" t="s">
        <v>66</v>
      </c>
    </row>
    <row r="295" spans="1:90" x14ac:dyDescent="0.3">
      <c r="A295" t="s">
        <v>315</v>
      </c>
      <c r="B295" t="s">
        <v>316</v>
      </c>
      <c r="C295" t="s">
        <v>59</v>
      </c>
      <c r="E295" t="str">
        <f>"GAB2025538"</f>
        <v>GAB2025538</v>
      </c>
      <c r="F295" s="1">
        <v>45758</v>
      </c>
      <c r="G295">
        <v>202601</v>
      </c>
      <c r="H295" t="s">
        <v>77</v>
      </c>
      <c r="I295" t="s">
        <v>78</v>
      </c>
      <c r="J295" t="s">
        <v>317</v>
      </c>
      <c r="K295" t="s">
        <v>62</v>
      </c>
      <c r="L295" t="s">
        <v>1112</v>
      </c>
      <c r="M295" t="s">
        <v>1113</v>
      </c>
      <c r="N295" t="s">
        <v>1114</v>
      </c>
      <c r="O295" t="s">
        <v>98</v>
      </c>
      <c r="P295" t="str">
        <f>"INV-00116941 CT092738         "</f>
        <v xml:space="preserve">INV-00116941 CT092738         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5.57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657.9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0</v>
      </c>
      <c r="AU295">
        <v>0</v>
      </c>
      <c r="AV295">
        <v>0</v>
      </c>
      <c r="AW295">
        <v>0</v>
      </c>
      <c r="AX295">
        <v>0</v>
      </c>
      <c r="AY295">
        <v>0</v>
      </c>
      <c r="AZ295">
        <v>0</v>
      </c>
      <c r="BA295">
        <v>0</v>
      </c>
      <c r="BB295">
        <v>0</v>
      </c>
      <c r="BC295">
        <v>0</v>
      </c>
      <c r="BD295">
        <v>0</v>
      </c>
      <c r="BE295">
        <v>0</v>
      </c>
      <c r="BF295">
        <v>0</v>
      </c>
      <c r="BG295">
        <v>0</v>
      </c>
      <c r="BH295">
        <v>2</v>
      </c>
      <c r="BI295">
        <v>123</v>
      </c>
      <c r="BJ295">
        <v>208.9</v>
      </c>
      <c r="BK295">
        <v>209</v>
      </c>
      <c r="BL295" s="4">
        <v>2109.4</v>
      </c>
      <c r="BM295" s="4">
        <v>316.41000000000003</v>
      </c>
      <c r="BN295" s="4">
        <v>2425.81</v>
      </c>
      <c r="BO295" s="4">
        <v>2425.81</v>
      </c>
      <c r="BQ295" t="s">
        <v>233</v>
      </c>
      <c r="BR295" t="s">
        <v>320</v>
      </c>
      <c r="BS295" s="1">
        <v>45763</v>
      </c>
      <c r="BT295" s="2">
        <v>0.5</v>
      </c>
      <c r="BU295" t="s">
        <v>993</v>
      </c>
      <c r="BV295" t="s">
        <v>74</v>
      </c>
      <c r="BY295">
        <v>1044572</v>
      </c>
      <c r="CC295" t="s">
        <v>1113</v>
      </c>
      <c r="CD295">
        <v>8446</v>
      </c>
      <c r="CE295" t="s">
        <v>1115</v>
      </c>
      <c r="CF295" s="1">
        <v>45764</v>
      </c>
      <c r="CI295">
        <v>2</v>
      </c>
      <c r="CJ295">
        <v>3</v>
      </c>
      <c r="CK295">
        <v>43</v>
      </c>
      <c r="CL295" t="s">
        <v>66</v>
      </c>
    </row>
    <row r="296" spans="1:90" x14ac:dyDescent="0.3">
      <c r="A296" t="s">
        <v>315</v>
      </c>
      <c r="B296" t="s">
        <v>316</v>
      </c>
      <c r="C296" t="s">
        <v>59</v>
      </c>
      <c r="E296" t="str">
        <f>"GAB2025539"</f>
        <v>GAB2025539</v>
      </c>
      <c r="F296" s="1">
        <v>45758</v>
      </c>
      <c r="G296">
        <v>202601</v>
      </c>
      <c r="H296" t="s">
        <v>77</v>
      </c>
      <c r="I296" t="s">
        <v>78</v>
      </c>
      <c r="J296" t="s">
        <v>317</v>
      </c>
      <c r="K296" t="s">
        <v>62</v>
      </c>
      <c r="L296" t="s">
        <v>142</v>
      </c>
      <c r="M296" t="s">
        <v>143</v>
      </c>
      <c r="N296" t="s">
        <v>1116</v>
      </c>
      <c r="O296" t="s">
        <v>98</v>
      </c>
      <c r="P296" t="str">
        <f>"INV-00116916 CT093853         "</f>
        <v xml:space="preserve">INV-00116916 CT093853         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5.57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390.54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0</v>
      </c>
      <c r="AU296">
        <v>0</v>
      </c>
      <c r="AV296">
        <v>0</v>
      </c>
      <c r="AW296">
        <v>0</v>
      </c>
      <c r="AX296">
        <v>0</v>
      </c>
      <c r="AY296">
        <v>0</v>
      </c>
      <c r="AZ296">
        <v>0</v>
      </c>
      <c r="BA296">
        <v>0</v>
      </c>
      <c r="BB296">
        <v>0</v>
      </c>
      <c r="BC296">
        <v>0</v>
      </c>
      <c r="BD296">
        <v>0</v>
      </c>
      <c r="BE296">
        <v>0</v>
      </c>
      <c r="BF296">
        <v>0</v>
      </c>
      <c r="BG296">
        <v>0</v>
      </c>
      <c r="BH296">
        <v>8</v>
      </c>
      <c r="BI296">
        <v>85.1</v>
      </c>
      <c r="BJ296">
        <v>211.1</v>
      </c>
      <c r="BK296">
        <v>212</v>
      </c>
      <c r="BL296" s="4">
        <v>1254.45</v>
      </c>
      <c r="BM296" s="4">
        <v>188.17</v>
      </c>
      <c r="BN296" s="4">
        <v>1442.62</v>
      </c>
      <c r="BO296" s="4">
        <v>1442.62</v>
      </c>
      <c r="BQ296" t="s">
        <v>262</v>
      </c>
      <c r="BR296" t="s">
        <v>320</v>
      </c>
      <c r="BS296" s="1">
        <v>45761</v>
      </c>
      <c r="BT296" s="2">
        <v>0.60902777777777772</v>
      </c>
      <c r="BU296" t="s">
        <v>544</v>
      </c>
      <c r="BV296" t="s">
        <v>74</v>
      </c>
      <c r="BY296">
        <v>1055486.28</v>
      </c>
      <c r="CA296" t="s">
        <v>540</v>
      </c>
      <c r="CC296" t="s">
        <v>143</v>
      </c>
      <c r="CD296" s="3" t="s">
        <v>144</v>
      </c>
      <c r="CE296" t="s">
        <v>322</v>
      </c>
      <c r="CF296" s="1">
        <v>45761</v>
      </c>
      <c r="CI296">
        <v>3</v>
      </c>
      <c r="CJ296">
        <v>1</v>
      </c>
      <c r="CK296">
        <v>41</v>
      </c>
      <c r="CL296" t="s">
        <v>66</v>
      </c>
    </row>
    <row r="297" spans="1:90" x14ac:dyDescent="0.3">
      <c r="A297" t="s">
        <v>315</v>
      </c>
      <c r="B297" t="s">
        <v>316</v>
      </c>
      <c r="C297" t="s">
        <v>59</v>
      </c>
      <c r="E297" t="str">
        <f>"GAB2025550"</f>
        <v>GAB2025550</v>
      </c>
      <c r="F297" s="1">
        <v>45758</v>
      </c>
      <c r="G297">
        <v>202601</v>
      </c>
      <c r="H297" t="s">
        <v>77</v>
      </c>
      <c r="I297" t="s">
        <v>78</v>
      </c>
      <c r="J297" t="s">
        <v>317</v>
      </c>
      <c r="K297" t="s">
        <v>62</v>
      </c>
      <c r="L297" t="s">
        <v>117</v>
      </c>
      <c r="M297" t="s">
        <v>118</v>
      </c>
      <c r="N297" t="s">
        <v>872</v>
      </c>
      <c r="O297" t="s">
        <v>98</v>
      </c>
      <c r="P297" t="str">
        <f>"INV-00116957 CT093899         "</f>
        <v xml:space="preserve">INV-00116957 CT093899         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5.57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42.76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1</v>
      </c>
      <c r="BI297">
        <v>4</v>
      </c>
      <c r="BJ297">
        <v>12.3</v>
      </c>
      <c r="BK297">
        <v>13</v>
      </c>
      <c r="BL297" s="4">
        <v>142.31</v>
      </c>
      <c r="BM297" s="4">
        <v>21.35</v>
      </c>
      <c r="BN297" s="4">
        <v>163.66</v>
      </c>
      <c r="BO297" s="4">
        <v>163.66</v>
      </c>
      <c r="BQ297" t="s">
        <v>612</v>
      </c>
      <c r="BR297" t="s">
        <v>320</v>
      </c>
      <c r="BS297" s="1">
        <v>45761</v>
      </c>
      <c r="BT297" s="2">
        <v>0.64722222222222225</v>
      </c>
      <c r="BU297" t="s">
        <v>1078</v>
      </c>
      <c r="BV297" t="s">
        <v>74</v>
      </c>
      <c r="BY297">
        <v>61717.85</v>
      </c>
      <c r="CA297" t="s">
        <v>121</v>
      </c>
      <c r="CC297" t="s">
        <v>118</v>
      </c>
      <c r="CD297">
        <v>4133</v>
      </c>
      <c r="CE297" t="s">
        <v>525</v>
      </c>
      <c r="CF297" s="1">
        <v>45762</v>
      </c>
      <c r="CI297">
        <v>3</v>
      </c>
      <c r="CJ297">
        <v>1</v>
      </c>
      <c r="CK297">
        <v>41</v>
      </c>
      <c r="CL297" t="s">
        <v>66</v>
      </c>
    </row>
    <row r="298" spans="1:90" x14ac:dyDescent="0.3">
      <c r="A298" t="s">
        <v>315</v>
      </c>
      <c r="B298" t="s">
        <v>316</v>
      </c>
      <c r="C298" t="s">
        <v>59</v>
      </c>
      <c r="E298" t="str">
        <f>"GAB2025540"</f>
        <v>GAB2025540</v>
      </c>
      <c r="F298" s="1">
        <v>45758</v>
      </c>
      <c r="G298">
        <v>202601</v>
      </c>
      <c r="H298" t="s">
        <v>77</v>
      </c>
      <c r="I298" t="s">
        <v>78</v>
      </c>
      <c r="J298" t="s">
        <v>317</v>
      </c>
      <c r="K298" t="s">
        <v>62</v>
      </c>
      <c r="L298" t="s">
        <v>413</v>
      </c>
      <c r="M298" t="s">
        <v>414</v>
      </c>
      <c r="N298" t="s">
        <v>477</v>
      </c>
      <c r="O298" t="s">
        <v>65</v>
      </c>
      <c r="P298" t="str">
        <f>"INV-00116947 CT093891         "</f>
        <v xml:space="preserve">INV-00116947 CT093891         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27.64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0</v>
      </c>
      <c r="AU298">
        <v>0</v>
      </c>
      <c r="AV298">
        <v>0</v>
      </c>
      <c r="AW298">
        <v>0</v>
      </c>
      <c r="AX298">
        <v>0</v>
      </c>
      <c r="AY298">
        <v>0</v>
      </c>
      <c r="AZ298">
        <v>0</v>
      </c>
      <c r="BA298">
        <v>0</v>
      </c>
      <c r="BB298">
        <v>0</v>
      </c>
      <c r="BC298">
        <v>0</v>
      </c>
      <c r="BD298">
        <v>0</v>
      </c>
      <c r="BE298">
        <v>0</v>
      </c>
      <c r="BF298">
        <v>0</v>
      </c>
      <c r="BG298">
        <v>0</v>
      </c>
      <c r="BH298">
        <v>1</v>
      </c>
      <c r="BI298">
        <v>0.2</v>
      </c>
      <c r="BJ298">
        <v>2.1</v>
      </c>
      <c r="BK298">
        <v>2.5</v>
      </c>
      <c r="BL298" s="4">
        <v>88.38</v>
      </c>
      <c r="BM298" s="4">
        <v>13.26</v>
      </c>
      <c r="BN298" s="4">
        <v>101.64</v>
      </c>
      <c r="BO298" s="4">
        <v>101.64</v>
      </c>
      <c r="BQ298" t="s">
        <v>478</v>
      </c>
      <c r="BR298" t="s">
        <v>320</v>
      </c>
      <c r="BS298" s="1">
        <v>45762</v>
      </c>
      <c r="BT298" s="2">
        <v>0.43680555555555556</v>
      </c>
      <c r="BU298" t="s">
        <v>1117</v>
      </c>
      <c r="BV298" t="s">
        <v>74</v>
      </c>
      <c r="BY298">
        <v>10549</v>
      </c>
      <c r="BZ298" t="s">
        <v>79</v>
      </c>
      <c r="CC298" t="s">
        <v>414</v>
      </c>
      <c r="CD298">
        <v>8301</v>
      </c>
      <c r="CE298" t="s">
        <v>343</v>
      </c>
      <c r="CF298" s="1">
        <v>45762</v>
      </c>
      <c r="CI298">
        <v>2</v>
      </c>
      <c r="CJ298">
        <v>2</v>
      </c>
      <c r="CK298">
        <v>21</v>
      </c>
      <c r="CL298" t="s">
        <v>66</v>
      </c>
    </row>
    <row r="299" spans="1:90" x14ac:dyDescent="0.3">
      <c r="A299" t="s">
        <v>315</v>
      </c>
      <c r="B299" t="s">
        <v>316</v>
      </c>
      <c r="C299" t="s">
        <v>59</v>
      </c>
      <c r="E299" t="str">
        <f>"GAB2025541"</f>
        <v>GAB2025541</v>
      </c>
      <c r="F299" s="1">
        <v>45758</v>
      </c>
      <c r="G299">
        <v>202601</v>
      </c>
      <c r="H299" t="s">
        <v>77</v>
      </c>
      <c r="I299" t="s">
        <v>78</v>
      </c>
      <c r="J299" t="s">
        <v>317</v>
      </c>
      <c r="K299" t="s">
        <v>62</v>
      </c>
      <c r="L299" t="s">
        <v>77</v>
      </c>
      <c r="M299" t="s">
        <v>78</v>
      </c>
      <c r="N299" t="s">
        <v>707</v>
      </c>
      <c r="O299" t="s">
        <v>65</v>
      </c>
      <c r="P299" t="str">
        <f>"INV-00116949 CT093884         "</f>
        <v xml:space="preserve">INV-00116949 CT093884         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0</v>
      </c>
      <c r="AC299">
        <v>0</v>
      </c>
      <c r="AD299">
        <v>0</v>
      </c>
      <c r="AE299">
        <v>0</v>
      </c>
      <c r="AF299">
        <v>0</v>
      </c>
      <c r="AG299">
        <v>0</v>
      </c>
      <c r="AH299">
        <v>0</v>
      </c>
      <c r="AI299">
        <v>0</v>
      </c>
      <c r="AJ299">
        <v>0</v>
      </c>
      <c r="AK299">
        <v>17.27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1</v>
      </c>
      <c r="BI299">
        <v>0.3</v>
      </c>
      <c r="BJ299">
        <v>2.2999999999999998</v>
      </c>
      <c r="BK299">
        <v>3</v>
      </c>
      <c r="BL299" s="4">
        <v>55.23</v>
      </c>
      <c r="BM299" s="4">
        <v>8.2799999999999994</v>
      </c>
      <c r="BN299" s="4">
        <v>63.51</v>
      </c>
      <c r="BO299" s="4">
        <v>63.51</v>
      </c>
      <c r="BQ299" t="s">
        <v>708</v>
      </c>
      <c r="BR299" t="s">
        <v>320</v>
      </c>
      <c r="BS299" s="1">
        <v>45761</v>
      </c>
      <c r="BT299" s="2">
        <v>0.39861111111111114</v>
      </c>
      <c r="BU299" t="s">
        <v>954</v>
      </c>
      <c r="BV299" t="s">
        <v>74</v>
      </c>
      <c r="BY299">
        <v>11682.83</v>
      </c>
      <c r="BZ299" t="s">
        <v>79</v>
      </c>
      <c r="CA299" t="s">
        <v>955</v>
      </c>
      <c r="CC299" t="s">
        <v>78</v>
      </c>
      <c r="CD299">
        <v>7800</v>
      </c>
      <c r="CE299" t="s">
        <v>389</v>
      </c>
      <c r="CF299" s="1">
        <v>45762</v>
      </c>
      <c r="CI299">
        <v>1</v>
      </c>
      <c r="CJ299">
        <v>1</v>
      </c>
      <c r="CK299">
        <v>22</v>
      </c>
      <c r="CL299" t="s">
        <v>66</v>
      </c>
    </row>
    <row r="300" spans="1:90" x14ac:dyDescent="0.3">
      <c r="A300" t="s">
        <v>315</v>
      </c>
      <c r="B300" t="s">
        <v>316</v>
      </c>
      <c r="C300" t="s">
        <v>59</v>
      </c>
      <c r="E300" t="str">
        <f>"GAB2025542"</f>
        <v>GAB2025542</v>
      </c>
      <c r="F300" s="1">
        <v>45758</v>
      </c>
      <c r="G300">
        <v>202601</v>
      </c>
      <c r="H300" t="s">
        <v>77</v>
      </c>
      <c r="I300" t="s">
        <v>78</v>
      </c>
      <c r="J300" t="s">
        <v>317</v>
      </c>
      <c r="K300" t="s">
        <v>62</v>
      </c>
      <c r="L300" t="s">
        <v>295</v>
      </c>
      <c r="M300" t="s">
        <v>296</v>
      </c>
      <c r="N300" t="s">
        <v>988</v>
      </c>
      <c r="O300" t="s">
        <v>65</v>
      </c>
      <c r="P300" t="str">
        <f>"INV-00116942 CT093878         "</f>
        <v xml:space="preserve">INV-00116942 CT093878         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42.84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0</v>
      </c>
      <c r="AU300">
        <v>0</v>
      </c>
      <c r="AV300">
        <v>0</v>
      </c>
      <c r="AW300">
        <v>0</v>
      </c>
      <c r="AX300">
        <v>0</v>
      </c>
      <c r="AY300">
        <v>0</v>
      </c>
      <c r="AZ300">
        <v>0</v>
      </c>
      <c r="BA300">
        <v>0</v>
      </c>
      <c r="BB300">
        <v>0</v>
      </c>
      <c r="BC300">
        <v>0</v>
      </c>
      <c r="BD300">
        <v>0</v>
      </c>
      <c r="BE300">
        <v>0</v>
      </c>
      <c r="BF300">
        <v>0</v>
      </c>
      <c r="BG300">
        <v>0</v>
      </c>
      <c r="BH300">
        <v>1</v>
      </c>
      <c r="BI300">
        <v>0.7</v>
      </c>
      <c r="BJ300">
        <v>1.7</v>
      </c>
      <c r="BK300">
        <v>2</v>
      </c>
      <c r="BL300" s="4">
        <v>137</v>
      </c>
      <c r="BM300" s="4">
        <v>20.55</v>
      </c>
      <c r="BN300" s="4">
        <v>157.55000000000001</v>
      </c>
      <c r="BO300" s="4">
        <v>157.55000000000001</v>
      </c>
      <c r="BQ300" t="s">
        <v>1118</v>
      </c>
      <c r="BR300" t="s">
        <v>320</v>
      </c>
      <c r="BS300" s="1">
        <v>45763</v>
      </c>
      <c r="BT300" s="2">
        <v>0.61805555555555558</v>
      </c>
      <c r="BU300" t="s">
        <v>1119</v>
      </c>
      <c r="BV300" t="s">
        <v>66</v>
      </c>
      <c r="BY300">
        <v>8375.4</v>
      </c>
      <c r="BZ300" t="s">
        <v>79</v>
      </c>
      <c r="CC300" t="s">
        <v>296</v>
      </c>
      <c r="CD300">
        <v>1050</v>
      </c>
      <c r="CE300" t="s">
        <v>476</v>
      </c>
      <c r="CF300" s="1">
        <v>45763</v>
      </c>
      <c r="CI300">
        <v>1</v>
      </c>
      <c r="CJ300">
        <v>3</v>
      </c>
      <c r="CK300">
        <v>23</v>
      </c>
      <c r="CL300" t="s">
        <v>66</v>
      </c>
    </row>
    <row r="301" spans="1:90" x14ac:dyDescent="0.3">
      <c r="A301" t="s">
        <v>315</v>
      </c>
      <c r="B301" t="s">
        <v>316</v>
      </c>
      <c r="C301" t="s">
        <v>59</v>
      </c>
      <c r="E301" t="str">
        <f>"GAB2025543"</f>
        <v>GAB2025543</v>
      </c>
      <c r="F301" s="1">
        <v>45758</v>
      </c>
      <c r="G301">
        <v>202601</v>
      </c>
      <c r="H301" t="s">
        <v>77</v>
      </c>
      <c r="I301" t="s">
        <v>78</v>
      </c>
      <c r="J301" t="s">
        <v>317</v>
      </c>
      <c r="K301" t="s">
        <v>62</v>
      </c>
      <c r="L301" t="s">
        <v>95</v>
      </c>
      <c r="M301" t="s">
        <v>96</v>
      </c>
      <c r="N301" t="s">
        <v>723</v>
      </c>
      <c r="O301" t="s">
        <v>65</v>
      </c>
      <c r="P301" t="str">
        <f>"INV-00034632 031904           "</f>
        <v xml:space="preserve">INV-00034632 031904           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22.11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1</v>
      </c>
      <c r="BI301">
        <v>0.1</v>
      </c>
      <c r="BJ301">
        <v>1.9</v>
      </c>
      <c r="BK301">
        <v>2</v>
      </c>
      <c r="BL301" s="4">
        <v>70.709999999999994</v>
      </c>
      <c r="BM301" s="4">
        <v>10.61</v>
      </c>
      <c r="BN301" s="4">
        <v>81.319999999999993</v>
      </c>
      <c r="BO301" s="4">
        <v>81.319999999999993</v>
      </c>
      <c r="BQ301" t="s">
        <v>785</v>
      </c>
      <c r="BR301" t="s">
        <v>320</v>
      </c>
      <c r="BS301" s="1">
        <v>45761</v>
      </c>
      <c r="BT301" s="2">
        <v>0.27847222222222223</v>
      </c>
      <c r="BU301" t="s">
        <v>1120</v>
      </c>
      <c r="BV301" t="s">
        <v>74</v>
      </c>
      <c r="BY301">
        <v>9323.4</v>
      </c>
      <c r="BZ301" t="s">
        <v>79</v>
      </c>
      <c r="CA301" t="s">
        <v>725</v>
      </c>
      <c r="CC301" t="s">
        <v>96</v>
      </c>
      <c r="CD301">
        <v>2191</v>
      </c>
      <c r="CE301" t="s">
        <v>393</v>
      </c>
      <c r="CF301" s="1">
        <v>45761</v>
      </c>
      <c r="CI301">
        <v>1</v>
      </c>
      <c r="CJ301">
        <v>1</v>
      </c>
      <c r="CK301">
        <v>21</v>
      </c>
      <c r="CL301" t="s">
        <v>66</v>
      </c>
    </row>
    <row r="302" spans="1:90" x14ac:dyDescent="0.3">
      <c r="A302" t="s">
        <v>315</v>
      </c>
      <c r="B302" t="s">
        <v>316</v>
      </c>
      <c r="C302" t="s">
        <v>59</v>
      </c>
      <c r="E302" t="str">
        <f>"GAB2025544"</f>
        <v>GAB2025544</v>
      </c>
      <c r="F302" s="1">
        <v>45758</v>
      </c>
      <c r="G302">
        <v>202601</v>
      </c>
      <c r="H302" t="s">
        <v>77</v>
      </c>
      <c r="I302" t="s">
        <v>78</v>
      </c>
      <c r="J302" t="s">
        <v>317</v>
      </c>
      <c r="K302" t="s">
        <v>62</v>
      </c>
      <c r="L302" t="s">
        <v>129</v>
      </c>
      <c r="M302" t="s">
        <v>130</v>
      </c>
      <c r="N302" t="s">
        <v>1012</v>
      </c>
      <c r="O302" t="s">
        <v>65</v>
      </c>
      <c r="P302" t="str">
        <f>"INV-00116952 CT093895         "</f>
        <v xml:space="preserve">INV-00116952 CT093895         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>
        <v>0</v>
      </c>
      <c r="AF302">
        <v>0</v>
      </c>
      <c r="AG302">
        <v>0</v>
      </c>
      <c r="AH302">
        <v>0</v>
      </c>
      <c r="AI302">
        <v>0</v>
      </c>
      <c r="AJ302">
        <v>0</v>
      </c>
      <c r="AK302">
        <v>52.52</v>
      </c>
      <c r="AL302">
        <v>0</v>
      </c>
      <c r="AM302">
        <v>0</v>
      </c>
      <c r="AN302">
        <v>0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0</v>
      </c>
      <c r="AU302">
        <v>0</v>
      </c>
      <c r="AV302">
        <v>0</v>
      </c>
      <c r="AW302">
        <v>0</v>
      </c>
      <c r="AX302">
        <v>0</v>
      </c>
      <c r="AY302">
        <v>0</v>
      </c>
      <c r="AZ302">
        <v>0</v>
      </c>
      <c r="BA302">
        <v>0</v>
      </c>
      <c r="BB302">
        <v>0</v>
      </c>
      <c r="BC302">
        <v>0</v>
      </c>
      <c r="BD302">
        <v>0</v>
      </c>
      <c r="BE302">
        <v>0</v>
      </c>
      <c r="BF302">
        <v>0</v>
      </c>
      <c r="BG302">
        <v>0</v>
      </c>
      <c r="BH302">
        <v>1</v>
      </c>
      <c r="BI302">
        <v>0.2</v>
      </c>
      <c r="BJ302">
        <v>2.1</v>
      </c>
      <c r="BK302">
        <v>2.5</v>
      </c>
      <c r="BL302" s="4">
        <v>167.94</v>
      </c>
      <c r="BM302" s="4">
        <v>25.19</v>
      </c>
      <c r="BN302" s="4">
        <v>193.13</v>
      </c>
      <c r="BO302" s="4">
        <v>193.13</v>
      </c>
      <c r="BR302" t="s">
        <v>320</v>
      </c>
      <c r="BS302" s="1">
        <v>45761</v>
      </c>
      <c r="BT302" s="2">
        <v>0.64513888888888893</v>
      </c>
      <c r="BU302" t="s">
        <v>1121</v>
      </c>
      <c r="BV302" t="s">
        <v>74</v>
      </c>
      <c r="BY302">
        <v>10486.98</v>
      </c>
      <c r="BZ302" t="s">
        <v>79</v>
      </c>
      <c r="CA302" t="s">
        <v>216</v>
      </c>
      <c r="CC302" t="s">
        <v>130</v>
      </c>
      <c r="CD302">
        <v>4450</v>
      </c>
      <c r="CE302" t="s">
        <v>343</v>
      </c>
      <c r="CF302" s="1">
        <v>45762</v>
      </c>
      <c r="CI302">
        <v>2</v>
      </c>
      <c r="CJ302">
        <v>1</v>
      </c>
      <c r="CK302">
        <v>23</v>
      </c>
      <c r="CL302" t="s">
        <v>66</v>
      </c>
    </row>
    <row r="303" spans="1:90" x14ac:dyDescent="0.3">
      <c r="A303" t="s">
        <v>315</v>
      </c>
      <c r="B303" t="s">
        <v>316</v>
      </c>
      <c r="C303" t="s">
        <v>59</v>
      </c>
      <c r="E303" t="str">
        <f>"GAB2025545"</f>
        <v>GAB2025545</v>
      </c>
      <c r="F303" s="1">
        <v>45758</v>
      </c>
      <c r="G303">
        <v>202601</v>
      </c>
      <c r="H303" t="s">
        <v>77</v>
      </c>
      <c r="I303" t="s">
        <v>78</v>
      </c>
      <c r="J303" t="s">
        <v>317</v>
      </c>
      <c r="K303" t="s">
        <v>62</v>
      </c>
      <c r="L303" t="s">
        <v>95</v>
      </c>
      <c r="M303" t="s">
        <v>96</v>
      </c>
      <c r="N303" t="s">
        <v>1023</v>
      </c>
      <c r="O303" t="s">
        <v>65</v>
      </c>
      <c r="P303" t="str">
        <f>"INV-00116953 CT093898         "</f>
        <v xml:space="preserve">INV-00116953 CT093898         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>
        <v>0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22.11</v>
      </c>
      <c r="AL303">
        <v>0</v>
      </c>
      <c r="AM303">
        <v>0</v>
      </c>
      <c r="AN303">
        <v>0</v>
      </c>
      <c r="AO303">
        <v>0</v>
      </c>
      <c r="AP303">
        <v>0</v>
      </c>
      <c r="AQ303">
        <v>0</v>
      </c>
      <c r="AR303">
        <v>0</v>
      </c>
      <c r="AS303">
        <v>0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0</v>
      </c>
      <c r="BA303">
        <v>0</v>
      </c>
      <c r="BB303">
        <v>0</v>
      </c>
      <c r="BC303">
        <v>0</v>
      </c>
      <c r="BD303">
        <v>0</v>
      </c>
      <c r="BE303">
        <v>0</v>
      </c>
      <c r="BF303">
        <v>0</v>
      </c>
      <c r="BG303">
        <v>0</v>
      </c>
      <c r="BH303">
        <v>1</v>
      </c>
      <c r="BI303">
        <v>0.1</v>
      </c>
      <c r="BJ303">
        <v>1.6</v>
      </c>
      <c r="BK303">
        <v>2</v>
      </c>
      <c r="BL303" s="4">
        <v>70.709999999999994</v>
      </c>
      <c r="BM303" s="4">
        <v>10.61</v>
      </c>
      <c r="BN303" s="4">
        <v>81.319999999999993</v>
      </c>
      <c r="BO303" s="4">
        <v>81.319999999999993</v>
      </c>
      <c r="BQ303" t="s">
        <v>1024</v>
      </c>
      <c r="BR303" t="s">
        <v>320</v>
      </c>
      <c r="BS303" s="1">
        <v>45761</v>
      </c>
      <c r="BT303" s="2">
        <v>0.34652777777777777</v>
      </c>
      <c r="BU303" t="s">
        <v>1122</v>
      </c>
      <c r="BV303" t="s">
        <v>74</v>
      </c>
      <c r="BY303">
        <v>8178.02</v>
      </c>
      <c r="BZ303" t="s">
        <v>79</v>
      </c>
      <c r="CA303" t="s">
        <v>1123</v>
      </c>
      <c r="CC303" t="s">
        <v>96</v>
      </c>
      <c r="CD303">
        <v>2196</v>
      </c>
      <c r="CE303" t="s">
        <v>393</v>
      </c>
      <c r="CF303" s="1">
        <v>45762</v>
      </c>
      <c r="CI303">
        <v>1</v>
      </c>
      <c r="CJ303">
        <v>1</v>
      </c>
      <c r="CK303">
        <v>21</v>
      </c>
      <c r="CL303" t="s">
        <v>66</v>
      </c>
    </row>
    <row r="304" spans="1:90" x14ac:dyDescent="0.3">
      <c r="A304" t="s">
        <v>315</v>
      </c>
      <c r="B304" t="s">
        <v>316</v>
      </c>
      <c r="C304" t="s">
        <v>59</v>
      </c>
      <c r="E304" t="str">
        <f>"GAB2025546"</f>
        <v>GAB2025546</v>
      </c>
      <c r="F304" s="1">
        <v>45758</v>
      </c>
      <c r="G304">
        <v>202601</v>
      </c>
      <c r="H304" t="s">
        <v>77</v>
      </c>
      <c r="I304" t="s">
        <v>78</v>
      </c>
      <c r="J304" t="s">
        <v>317</v>
      </c>
      <c r="K304" t="s">
        <v>62</v>
      </c>
      <c r="L304" t="s">
        <v>1124</v>
      </c>
      <c r="M304" t="s">
        <v>1125</v>
      </c>
      <c r="N304" t="s">
        <v>1126</v>
      </c>
      <c r="O304" t="s">
        <v>65</v>
      </c>
      <c r="P304" t="str">
        <f>"INV-00116954 CT093883         "</f>
        <v xml:space="preserve">INV-00116954 CT093883         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31.1</v>
      </c>
      <c r="AL304">
        <v>0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0</v>
      </c>
      <c r="AU304">
        <v>0</v>
      </c>
      <c r="AV304">
        <v>0</v>
      </c>
      <c r="AW304">
        <v>0</v>
      </c>
      <c r="AX304">
        <v>0</v>
      </c>
      <c r="AY304">
        <v>0</v>
      </c>
      <c r="AZ304">
        <v>0</v>
      </c>
      <c r="BA304">
        <v>0</v>
      </c>
      <c r="BB304">
        <v>0</v>
      </c>
      <c r="BC304">
        <v>0</v>
      </c>
      <c r="BD304">
        <v>0</v>
      </c>
      <c r="BE304">
        <v>0</v>
      </c>
      <c r="BF304">
        <v>0</v>
      </c>
      <c r="BG304">
        <v>0</v>
      </c>
      <c r="BH304">
        <v>1</v>
      </c>
      <c r="BI304">
        <v>0.1</v>
      </c>
      <c r="BJ304">
        <v>1.7</v>
      </c>
      <c r="BK304">
        <v>2</v>
      </c>
      <c r="BL304" s="4">
        <v>99.45</v>
      </c>
      <c r="BM304" s="4">
        <v>14.92</v>
      </c>
      <c r="BN304" s="4">
        <v>114.37</v>
      </c>
      <c r="BO304" s="4">
        <v>114.37</v>
      </c>
      <c r="BQ304" t="s">
        <v>1127</v>
      </c>
      <c r="BR304" t="s">
        <v>320</v>
      </c>
      <c r="BS304" s="1">
        <v>45761</v>
      </c>
      <c r="BT304" s="2">
        <v>0.62847222222222221</v>
      </c>
      <c r="BU304" t="s">
        <v>305</v>
      </c>
      <c r="BV304" t="s">
        <v>74</v>
      </c>
      <c r="BY304">
        <v>8668.44</v>
      </c>
      <c r="BZ304" t="s">
        <v>79</v>
      </c>
      <c r="CA304" t="s">
        <v>1128</v>
      </c>
      <c r="CC304" t="s">
        <v>1125</v>
      </c>
      <c r="CD304">
        <v>7200</v>
      </c>
      <c r="CE304" t="s">
        <v>393</v>
      </c>
      <c r="CF304" s="1">
        <v>45762</v>
      </c>
      <c r="CI304">
        <v>2</v>
      </c>
      <c r="CJ304">
        <v>1</v>
      </c>
      <c r="CK304">
        <v>24</v>
      </c>
      <c r="CL304" t="s">
        <v>66</v>
      </c>
    </row>
    <row r="305" spans="1:90" x14ac:dyDescent="0.3">
      <c r="A305" t="s">
        <v>315</v>
      </c>
      <c r="B305" t="s">
        <v>316</v>
      </c>
      <c r="C305" t="s">
        <v>59</v>
      </c>
      <c r="E305" t="str">
        <f>"GAB2025547"</f>
        <v>GAB2025547</v>
      </c>
      <c r="F305" s="1">
        <v>45758</v>
      </c>
      <c r="G305">
        <v>202601</v>
      </c>
      <c r="H305" t="s">
        <v>77</v>
      </c>
      <c r="I305" t="s">
        <v>78</v>
      </c>
      <c r="J305" t="s">
        <v>317</v>
      </c>
      <c r="K305" t="s">
        <v>62</v>
      </c>
      <c r="L305" t="s">
        <v>72</v>
      </c>
      <c r="M305" t="s">
        <v>73</v>
      </c>
      <c r="N305" t="s">
        <v>687</v>
      </c>
      <c r="O305" t="s">
        <v>65</v>
      </c>
      <c r="P305" t="str">
        <f>"ATT:LEVENE                    "</f>
        <v xml:space="preserve">ATT:LEVENE                    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22.11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1</v>
      </c>
      <c r="BI305">
        <v>0.1</v>
      </c>
      <c r="BJ305">
        <v>1.8</v>
      </c>
      <c r="BK305">
        <v>2</v>
      </c>
      <c r="BL305" s="4">
        <v>70.709999999999994</v>
      </c>
      <c r="BM305" s="4">
        <v>10.61</v>
      </c>
      <c r="BN305" s="4">
        <v>81.319999999999993</v>
      </c>
      <c r="BO305" s="4">
        <v>81.319999999999993</v>
      </c>
      <c r="BQ305" t="s">
        <v>688</v>
      </c>
      <c r="BR305" t="s">
        <v>320</v>
      </c>
      <c r="BS305" s="1">
        <v>45761</v>
      </c>
      <c r="BT305" s="2">
        <v>0.65972222222222221</v>
      </c>
      <c r="BU305" t="s">
        <v>1129</v>
      </c>
      <c r="BV305" t="s">
        <v>74</v>
      </c>
      <c r="BY305">
        <v>8772.68</v>
      </c>
      <c r="BZ305" t="s">
        <v>79</v>
      </c>
      <c r="CC305" t="s">
        <v>73</v>
      </c>
      <c r="CD305">
        <v>3610</v>
      </c>
      <c r="CE305" t="s">
        <v>706</v>
      </c>
      <c r="CF305" s="1">
        <v>45762</v>
      </c>
      <c r="CI305">
        <v>2</v>
      </c>
      <c r="CJ305">
        <v>1</v>
      </c>
      <c r="CK305">
        <v>21</v>
      </c>
      <c r="CL305" t="s">
        <v>66</v>
      </c>
    </row>
    <row r="306" spans="1:90" x14ac:dyDescent="0.3">
      <c r="A306" t="s">
        <v>315</v>
      </c>
      <c r="B306" t="s">
        <v>316</v>
      </c>
      <c r="C306" t="s">
        <v>59</v>
      </c>
      <c r="E306" t="str">
        <f>"GAB2025548"</f>
        <v>GAB2025548</v>
      </c>
      <c r="F306" s="1">
        <v>45758</v>
      </c>
      <c r="G306">
        <v>202601</v>
      </c>
      <c r="H306" t="s">
        <v>77</v>
      </c>
      <c r="I306" t="s">
        <v>78</v>
      </c>
      <c r="J306" t="s">
        <v>317</v>
      </c>
      <c r="K306" t="s">
        <v>62</v>
      </c>
      <c r="L306" t="s">
        <v>77</v>
      </c>
      <c r="M306" t="s">
        <v>78</v>
      </c>
      <c r="N306" t="s">
        <v>1130</v>
      </c>
      <c r="O306" t="s">
        <v>65</v>
      </c>
      <c r="P306" t="str">
        <f>"inv-00034633 031948           "</f>
        <v xml:space="preserve">inv-00034633 031948           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17.27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1</v>
      </c>
      <c r="BI306">
        <v>0.2</v>
      </c>
      <c r="BJ306">
        <v>2.6</v>
      </c>
      <c r="BK306">
        <v>3</v>
      </c>
      <c r="BL306" s="4">
        <v>55.23</v>
      </c>
      <c r="BM306" s="4">
        <v>8.2799999999999994</v>
      </c>
      <c r="BN306" s="4">
        <v>63.51</v>
      </c>
      <c r="BO306" s="4">
        <v>63.51</v>
      </c>
      <c r="BQ306" t="s">
        <v>1131</v>
      </c>
      <c r="BR306" t="s">
        <v>320</v>
      </c>
      <c r="BS306" s="1">
        <v>45761</v>
      </c>
      <c r="BT306" s="2">
        <v>0.42708333333333331</v>
      </c>
      <c r="BU306" t="s">
        <v>1132</v>
      </c>
      <c r="BV306" t="s">
        <v>74</v>
      </c>
      <c r="BY306">
        <v>13081.75</v>
      </c>
      <c r="BZ306" t="s">
        <v>79</v>
      </c>
      <c r="CA306" t="s">
        <v>210</v>
      </c>
      <c r="CC306" t="s">
        <v>78</v>
      </c>
      <c r="CD306">
        <v>7708</v>
      </c>
      <c r="CE306" t="s">
        <v>1133</v>
      </c>
      <c r="CF306" s="1">
        <v>45762</v>
      </c>
      <c r="CI306">
        <v>1</v>
      </c>
      <c r="CJ306">
        <v>1</v>
      </c>
      <c r="CK306">
        <v>22</v>
      </c>
      <c r="CL306" t="s">
        <v>66</v>
      </c>
    </row>
    <row r="307" spans="1:90" x14ac:dyDescent="0.3">
      <c r="A307" t="s">
        <v>315</v>
      </c>
      <c r="B307" t="s">
        <v>316</v>
      </c>
      <c r="C307" t="s">
        <v>59</v>
      </c>
      <c r="E307" t="str">
        <f>"GAB2025549"</f>
        <v>GAB2025549</v>
      </c>
      <c r="F307" s="1">
        <v>45758</v>
      </c>
      <c r="G307">
        <v>202601</v>
      </c>
      <c r="H307" t="s">
        <v>77</v>
      </c>
      <c r="I307" t="s">
        <v>78</v>
      </c>
      <c r="J307" t="s">
        <v>317</v>
      </c>
      <c r="K307" t="s">
        <v>62</v>
      </c>
      <c r="L307" t="s">
        <v>158</v>
      </c>
      <c r="M307" t="s">
        <v>159</v>
      </c>
      <c r="N307" t="s">
        <v>1134</v>
      </c>
      <c r="O307" t="s">
        <v>65</v>
      </c>
      <c r="P307" t="str">
        <f>"INV-00034634 031949           "</f>
        <v xml:space="preserve">INV-00034634 031949           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>
        <v>0</v>
      </c>
      <c r="AF307">
        <v>0</v>
      </c>
      <c r="AG307">
        <v>0</v>
      </c>
      <c r="AH307">
        <v>0</v>
      </c>
      <c r="AI307">
        <v>0</v>
      </c>
      <c r="AJ307">
        <v>0</v>
      </c>
      <c r="AK307">
        <v>52.52</v>
      </c>
      <c r="AL307">
        <v>0</v>
      </c>
      <c r="AM307">
        <v>0</v>
      </c>
      <c r="AN307">
        <v>0</v>
      </c>
      <c r="AO307">
        <v>0</v>
      </c>
      <c r="AP307">
        <v>0</v>
      </c>
      <c r="AQ307">
        <v>0</v>
      </c>
      <c r="AR307">
        <v>0</v>
      </c>
      <c r="AS307">
        <v>0</v>
      </c>
      <c r="AT307">
        <v>0</v>
      </c>
      <c r="AU307">
        <v>0</v>
      </c>
      <c r="AV307">
        <v>0</v>
      </c>
      <c r="AW307">
        <v>0</v>
      </c>
      <c r="AX307">
        <v>0</v>
      </c>
      <c r="AY307">
        <v>0</v>
      </c>
      <c r="AZ307">
        <v>0</v>
      </c>
      <c r="BA307">
        <v>0</v>
      </c>
      <c r="BB307">
        <v>0</v>
      </c>
      <c r="BC307">
        <v>0</v>
      </c>
      <c r="BD307">
        <v>0</v>
      </c>
      <c r="BE307">
        <v>0</v>
      </c>
      <c r="BF307">
        <v>0</v>
      </c>
      <c r="BG307">
        <v>0</v>
      </c>
      <c r="BH307">
        <v>1</v>
      </c>
      <c r="BI307">
        <v>0.1</v>
      </c>
      <c r="BJ307">
        <v>2.4</v>
      </c>
      <c r="BK307">
        <v>2.5</v>
      </c>
      <c r="BL307" s="4">
        <v>167.94</v>
      </c>
      <c r="BM307" s="4">
        <v>25.19</v>
      </c>
      <c r="BN307" s="4">
        <v>193.13</v>
      </c>
      <c r="BO307" s="4">
        <v>193.13</v>
      </c>
      <c r="BR307" t="s">
        <v>320</v>
      </c>
      <c r="BS307" s="1">
        <v>45761</v>
      </c>
      <c r="BT307" s="2">
        <v>0.45555555555555555</v>
      </c>
      <c r="BU307" t="s">
        <v>1135</v>
      </c>
      <c r="BV307" t="s">
        <v>74</v>
      </c>
      <c r="BY307">
        <v>12232.32</v>
      </c>
      <c r="BZ307" t="s">
        <v>79</v>
      </c>
      <c r="CA307" t="s">
        <v>250</v>
      </c>
      <c r="CC307" t="s">
        <v>159</v>
      </c>
      <c r="CD307">
        <v>1739</v>
      </c>
      <c r="CE307" t="s">
        <v>343</v>
      </c>
      <c r="CF307" s="1">
        <v>45762</v>
      </c>
      <c r="CI307">
        <v>1</v>
      </c>
      <c r="CJ307">
        <v>1</v>
      </c>
      <c r="CK307">
        <v>23</v>
      </c>
      <c r="CL307" t="s">
        <v>66</v>
      </c>
    </row>
    <row r="308" spans="1:90" x14ac:dyDescent="0.3">
      <c r="A308" t="s">
        <v>315</v>
      </c>
      <c r="B308" t="s">
        <v>316</v>
      </c>
      <c r="C308" t="s">
        <v>59</v>
      </c>
      <c r="E308" t="str">
        <f>"GAB2025551"</f>
        <v>GAB2025551</v>
      </c>
      <c r="F308" s="1">
        <v>45758</v>
      </c>
      <c r="G308">
        <v>202601</v>
      </c>
      <c r="H308" t="s">
        <v>77</v>
      </c>
      <c r="I308" t="s">
        <v>78</v>
      </c>
      <c r="J308" t="s">
        <v>317</v>
      </c>
      <c r="K308" t="s">
        <v>62</v>
      </c>
      <c r="L308" t="s">
        <v>853</v>
      </c>
      <c r="M308" t="s">
        <v>854</v>
      </c>
      <c r="N308" t="s">
        <v>855</v>
      </c>
      <c r="O308" t="s">
        <v>65</v>
      </c>
      <c r="P308" t="str">
        <f>"INV-00116960 CT093896         "</f>
        <v xml:space="preserve">INV-00116960 CT093896         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52.52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0</v>
      </c>
      <c r="AU308">
        <v>0</v>
      </c>
      <c r="AV308">
        <v>0</v>
      </c>
      <c r="AW308">
        <v>0</v>
      </c>
      <c r="AX308">
        <v>0</v>
      </c>
      <c r="AY308">
        <v>0</v>
      </c>
      <c r="AZ308">
        <v>0</v>
      </c>
      <c r="BA308">
        <v>0</v>
      </c>
      <c r="BB308">
        <v>0</v>
      </c>
      <c r="BC308">
        <v>0</v>
      </c>
      <c r="BD308">
        <v>0</v>
      </c>
      <c r="BE308">
        <v>0</v>
      </c>
      <c r="BF308">
        <v>0</v>
      </c>
      <c r="BG308">
        <v>0</v>
      </c>
      <c r="BH308">
        <v>1</v>
      </c>
      <c r="BI308">
        <v>0.2</v>
      </c>
      <c r="BJ308">
        <v>2.5</v>
      </c>
      <c r="BK308">
        <v>2.5</v>
      </c>
      <c r="BL308" s="4">
        <v>167.94</v>
      </c>
      <c r="BM308" s="4">
        <v>25.19</v>
      </c>
      <c r="BN308" s="4">
        <v>193.13</v>
      </c>
      <c r="BO308" s="4">
        <v>193.13</v>
      </c>
      <c r="BQ308" t="s">
        <v>612</v>
      </c>
      <c r="BR308" t="s">
        <v>320</v>
      </c>
      <c r="BS308" s="1">
        <v>45762</v>
      </c>
      <c r="BT308" s="2">
        <v>0.51041666666666663</v>
      </c>
      <c r="BU308" t="s">
        <v>1136</v>
      </c>
      <c r="BV308" t="s">
        <v>74</v>
      </c>
      <c r="BY308">
        <v>12301.88</v>
      </c>
      <c r="BZ308" t="s">
        <v>79</v>
      </c>
      <c r="CA308" t="s">
        <v>857</v>
      </c>
      <c r="CC308" t="s">
        <v>854</v>
      </c>
      <c r="CD308">
        <v>3100</v>
      </c>
      <c r="CE308" t="s">
        <v>389</v>
      </c>
      <c r="CF308" s="1">
        <v>45763</v>
      </c>
      <c r="CI308">
        <v>2</v>
      </c>
      <c r="CJ308">
        <v>2</v>
      </c>
      <c r="CK308">
        <v>23</v>
      </c>
      <c r="CL308" t="s">
        <v>66</v>
      </c>
    </row>
    <row r="309" spans="1:90" x14ac:dyDescent="0.3">
      <c r="A309" t="s">
        <v>315</v>
      </c>
      <c r="B309" t="s">
        <v>316</v>
      </c>
      <c r="C309" t="s">
        <v>59</v>
      </c>
      <c r="E309" t="str">
        <f>"GAB2025552"</f>
        <v>GAB2025552</v>
      </c>
      <c r="F309" s="1">
        <v>45758</v>
      </c>
      <c r="G309">
        <v>202601</v>
      </c>
      <c r="H309" t="s">
        <v>77</v>
      </c>
      <c r="I309" t="s">
        <v>78</v>
      </c>
      <c r="J309" t="s">
        <v>317</v>
      </c>
      <c r="K309" t="s">
        <v>62</v>
      </c>
      <c r="L309" t="s">
        <v>95</v>
      </c>
      <c r="M309" t="s">
        <v>96</v>
      </c>
      <c r="N309" t="s">
        <v>1137</v>
      </c>
      <c r="O309" t="s">
        <v>65</v>
      </c>
      <c r="P309" t="str">
        <f>"INV-00116959 CT093885         "</f>
        <v xml:space="preserve">INV-00116959 CT093885         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  <c r="AE309">
        <v>0</v>
      </c>
      <c r="AF309">
        <v>0</v>
      </c>
      <c r="AG309">
        <v>0</v>
      </c>
      <c r="AH309">
        <v>0</v>
      </c>
      <c r="AI309">
        <v>0</v>
      </c>
      <c r="AJ309">
        <v>0</v>
      </c>
      <c r="AK309">
        <v>22.11</v>
      </c>
      <c r="AL309">
        <v>0</v>
      </c>
      <c r="AM309">
        <v>0</v>
      </c>
      <c r="AN309">
        <v>0</v>
      </c>
      <c r="AO309">
        <v>0</v>
      </c>
      <c r="AP309">
        <v>0</v>
      </c>
      <c r="AQ309">
        <v>0</v>
      </c>
      <c r="AR309">
        <v>0</v>
      </c>
      <c r="AS309">
        <v>0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0</v>
      </c>
      <c r="BA309">
        <v>0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1</v>
      </c>
      <c r="BI309">
        <v>0.5</v>
      </c>
      <c r="BJ309">
        <v>1.7</v>
      </c>
      <c r="BK309">
        <v>2</v>
      </c>
      <c r="BL309" s="4">
        <v>70.709999999999994</v>
      </c>
      <c r="BM309" s="4">
        <v>10.61</v>
      </c>
      <c r="BN309" s="4">
        <v>81.319999999999993</v>
      </c>
      <c r="BO309" s="4">
        <v>81.319999999999993</v>
      </c>
      <c r="BQ309" t="s">
        <v>1138</v>
      </c>
      <c r="BR309" t="s">
        <v>320</v>
      </c>
      <c r="BS309" s="1">
        <v>45761</v>
      </c>
      <c r="BT309" s="2">
        <v>0.39374999999999999</v>
      </c>
      <c r="BU309" t="s">
        <v>1139</v>
      </c>
      <c r="BV309" t="s">
        <v>74</v>
      </c>
      <c r="BY309">
        <v>8614.65</v>
      </c>
      <c r="BZ309" t="s">
        <v>79</v>
      </c>
      <c r="CA309" t="s">
        <v>561</v>
      </c>
      <c r="CC309" t="s">
        <v>96</v>
      </c>
      <c r="CD309">
        <v>2193</v>
      </c>
      <c r="CE309" t="s">
        <v>434</v>
      </c>
      <c r="CF309" s="1">
        <v>45761</v>
      </c>
      <c r="CI309">
        <v>1</v>
      </c>
      <c r="CJ309">
        <v>1</v>
      </c>
      <c r="CK309">
        <v>21</v>
      </c>
      <c r="CL309" t="s">
        <v>66</v>
      </c>
    </row>
    <row r="310" spans="1:90" x14ac:dyDescent="0.3">
      <c r="A310" t="s">
        <v>315</v>
      </c>
      <c r="B310" t="s">
        <v>316</v>
      </c>
      <c r="C310" t="s">
        <v>59</v>
      </c>
      <c r="E310" t="str">
        <f>"GAB2025553"</f>
        <v>GAB2025553</v>
      </c>
      <c r="F310" s="1">
        <v>45758</v>
      </c>
      <c r="G310">
        <v>202601</v>
      </c>
      <c r="H310" t="s">
        <v>77</v>
      </c>
      <c r="I310" t="s">
        <v>78</v>
      </c>
      <c r="J310" t="s">
        <v>317</v>
      </c>
      <c r="K310" t="s">
        <v>62</v>
      </c>
      <c r="L310" t="s">
        <v>183</v>
      </c>
      <c r="M310" t="s">
        <v>184</v>
      </c>
      <c r="N310" t="s">
        <v>1140</v>
      </c>
      <c r="O310" t="s">
        <v>65</v>
      </c>
      <c r="P310" t="str">
        <f>"INV-00116958 CT093900         "</f>
        <v xml:space="preserve">INV-00116958 CT093900         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0</v>
      </c>
      <c r="AK310">
        <v>62.19</v>
      </c>
      <c r="AL310">
        <v>0</v>
      </c>
      <c r="AM310">
        <v>0</v>
      </c>
      <c r="AN310">
        <v>0</v>
      </c>
      <c r="AO310">
        <v>0</v>
      </c>
      <c r="AP310">
        <v>0</v>
      </c>
      <c r="AQ310">
        <v>0</v>
      </c>
      <c r="AR310">
        <v>0</v>
      </c>
      <c r="AS310">
        <v>0</v>
      </c>
      <c r="AT310">
        <v>0</v>
      </c>
      <c r="AU310">
        <v>0</v>
      </c>
      <c r="AV310">
        <v>0</v>
      </c>
      <c r="AW310">
        <v>0</v>
      </c>
      <c r="AX310">
        <v>0</v>
      </c>
      <c r="AY310">
        <v>0</v>
      </c>
      <c r="AZ310">
        <v>0</v>
      </c>
      <c r="BA310">
        <v>0</v>
      </c>
      <c r="BB310">
        <v>0</v>
      </c>
      <c r="BC310">
        <v>0</v>
      </c>
      <c r="BD310">
        <v>0</v>
      </c>
      <c r="BE310">
        <v>0</v>
      </c>
      <c r="BF310">
        <v>0</v>
      </c>
      <c r="BG310">
        <v>0</v>
      </c>
      <c r="BH310">
        <v>1</v>
      </c>
      <c r="BI310">
        <v>1</v>
      </c>
      <c r="BJ310">
        <v>2.7</v>
      </c>
      <c r="BK310">
        <v>3</v>
      </c>
      <c r="BL310" s="4">
        <v>198.87</v>
      </c>
      <c r="BM310" s="4">
        <v>29.83</v>
      </c>
      <c r="BN310" s="4">
        <v>228.7</v>
      </c>
      <c r="BO310" s="4">
        <v>228.7</v>
      </c>
      <c r="BQ310" t="s">
        <v>1141</v>
      </c>
      <c r="BR310" t="s">
        <v>320</v>
      </c>
      <c r="BS310" s="1">
        <v>45762</v>
      </c>
      <c r="BT310" s="2">
        <v>0.5083333333333333</v>
      </c>
      <c r="BU310" t="s">
        <v>1142</v>
      </c>
      <c r="BV310" t="s">
        <v>74</v>
      </c>
      <c r="BY310">
        <v>13473.38</v>
      </c>
      <c r="BZ310" t="s">
        <v>79</v>
      </c>
      <c r="CA310" t="s">
        <v>185</v>
      </c>
      <c r="CC310" t="s">
        <v>184</v>
      </c>
      <c r="CD310" s="3" t="s">
        <v>186</v>
      </c>
      <c r="CE310" t="s">
        <v>1143</v>
      </c>
      <c r="CF310" s="1">
        <v>45763</v>
      </c>
      <c r="CI310">
        <v>2</v>
      </c>
      <c r="CJ310">
        <v>2</v>
      </c>
      <c r="CK310">
        <v>23</v>
      </c>
      <c r="CL310" t="s">
        <v>66</v>
      </c>
    </row>
    <row r="311" spans="1:90" x14ac:dyDescent="0.3">
      <c r="A311" t="s">
        <v>489</v>
      </c>
      <c r="B311" t="s">
        <v>316</v>
      </c>
      <c r="C311" t="s">
        <v>59</v>
      </c>
      <c r="E311" t="str">
        <f>"009944125762"</f>
        <v>009944125762</v>
      </c>
      <c r="F311" s="1">
        <v>45758</v>
      </c>
      <c r="G311">
        <v>202601</v>
      </c>
      <c r="H311" t="s">
        <v>546</v>
      </c>
      <c r="I311" t="s">
        <v>547</v>
      </c>
      <c r="J311" t="s">
        <v>450</v>
      </c>
      <c r="K311" t="s">
        <v>62</v>
      </c>
      <c r="L311" t="s">
        <v>91</v>
      </c>
      <c r="M311" t="s">
        <v>92</v>
      </c>
      <c r="N311" t="s">
        <v>450</v>
      </c>
      <c r="O311" t="s">
        <v>98</v>
      </c>
      <c r="P311" t="str">
        <f>"                              "</f>
        <v xml:space="preserve">                              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5.57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42.76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0</v>
      </c>
      <c r="AR311">
        <v>0</v>
      </c>
      <c r="AS311">
        <v>0</v>
      </c>
      <c r="AT311">
        <v>0</v>
      </c>
      <c r="AU311">
        <v>0</v>
      </c>
      <c r="AV311">
        <v>0</v>
      </c>
      <c r="AW311">
        <v>0</v>
      </c>
      <c r="AX311">
        <v>0</v>
      </c>
      <c r="AY311">
        <v>0</v>
      </c>
      <c r="AZ311">
        <v>0</v>
      </c>
      <c r="BA311">
        <v>0</v>
      </c>
      <c r="BB311">
        <v>0</v>
      </c>
      <c r="BC311">
        <v>0</v>
      </c>
      <c r="BD311">
        <v>0</v>
      </c>
      <c r="BE311">
        <v>0</v>
      </c>
      <c r="BF311">
        <v>0</v>
      </c>
      <c r="BG311">
        <v>0</v>
      </c>
      <c r="BH311">
        <v>1</v>
      </c>
      <c r="BI311">
        <v>3</v>
      </c>
      <c r="BJ311">
        <v>0.8</v>
      </c>
      <c r="BK311">
        <v>3</v>
      </c>
      <c r="BL311" s="4">
        <v>142.31</v>
      </c>
      <c r="BM311" s="4">
        <v>21.35</v>
      </c>
      <c r="BN311" s="4">
        <v>163.66</v>
      </c>
      <c r="BO311" s="4">
        <v>163.66</v>
      </c>
      <c r="BQ311" t="s">
        <v>979</v>
      </c>
      <c r="BR311" t="s">
        <v>1144</v>
      </c>
      <c r="BS311" s="1">
        <v>45761</v>
      </c>
      <c r="BT311" s="2">
        <v>0.37708333333333333</v>
      </c>
      <c r="BU311" t="s">
        <v>452</v>
      </c>
      <c r="BV311" t="s">
        <v>74</v>
      </c>
      <c r="BY311">
        <v>4000</v>
      </c>
      <c r="BZ311" t="s">
        <v>114</v>
      </c>
      <c r="CA311" t="s">
        <v>453</v>
      </c>
      <c r="CC311" t="s">
        <v>92</v>
      </c>
      <c r="CD311" s="3" t="s">
        <v>1145</v>
      </c>
      <c r="CE311" t="s">
        <v>76</v>
      </c>
      <c r="CF311" s="1">
        <v>45761</v>
      </c>
      <c r="CI311">
        <v>1</v>
      </c>
      <c r="CJ311">
        <v>1</v>
      </c>
      <c r="CK311">
        <v>41</v>
      </c>
      <c r="CL311" t="s">
        <v>66</v>
      </c>
    </row>
    <row r="312" spans="1:90" x14ac:dyDescent="0.3">
      <c r="A312" t="s">
        <v>315</v>
      </c>
      <c r="B312" t="s">
        <v>316</v>
      </c>
      <c r="C312" t="s">
        <v>59</v>
      </c>
      <c r="E312" t="str">
        <f>"080011489570"</f>
        <v>080011489570</v>
      </c>
      <c r="F312" s="1">
        <v>45761</v>
      </c>
      <c r="G312">
        <v>202601</v>
      </c>
      <c r="H312" t="s">
        <v>63</v>
      </c>
      <c r="I312" t="s">
        <v>64</v>
      </c>
      <c r="J312" t="s">
        <v>1146</v>
      </c>
      <c r="K312" t="s">
        <v>62</v>
      </c>
      <c r="L312" t="s">
        <v>89</v>
      </c>
      <c r="M312" t="s">
        <v>90</v>
      </c>
      <c r="N312" t="s">
        <v>1147</v>
      </c>
      <c r="O312" t="s">
        <v>65</v>
      </c>
      <c r="P312" t="str">
        <f>"-                             "</f>
        <v xml:space="preserve">-                             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0</v>
      </c>
      <c r="AI312">
        <v>0</v>
      </c>
      <c r="AJ312">
        <v>0</v>
      </c>
      <c r="AK312">
        <v>27.64</v>
      </c>
      <c r="AL312">
        <v>0</v>
      </c>
      <c r="AM312">
        <v>0</v>
      </c>
      <c r="AN312">
        <v>0</v>
      </c>
      <c r="AO312">
        <v>0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0</v>
      </c>
      <c r="AY312">
        <v>0</v>
      </c>
      <c r="AZ312">
        <v>0</v>
      </c>
      <c r="BA312">
        <v>0</v>
      </c>
      <c r="BB312">
        <v>0</v>
      </c>
      <c r="BC312">
        <v>0</v>
      </c>
      <c r="BD312">
        <v>0</v>
      </c>
      <c r="BE312">
        <v>0</v>
      </c>
      <c r="BF312">
        <v>0</v>
      </c>
      <c r="BG312">
        <v>0</v>
      </c>
      <c r="BH312">
        <v>1</v>
      </c>
      <c r="BI312">
        <v>2</v>
      </c>
      <c r="BJ312">
        <v>2.1</v>
      </c>
      <c r="BK312">
        <v>2.5</v>
      </c>
      <c r="BL312" s="4">
        <v>88.38</v>
      </c>
      <c r="BM312" s="4">
        <v>13.26</v>
      </c>
      <c r="BN312" s="4">
        <v>101.64</v>
      </c>
      <c r="BO312" s="4">
        <v>101.64</v>
      </c>
      <c r="BP312" t="s">
        <v>81</v>
      </c>
      <c r="BQ312" t="s">
        <v>1148</v>
      </c>
      <c r="BR312" t="s">
        <v>233</v>
      </c>
      <c r="BS312" s="1">
        <v>45763</v>
      </c>
      <c r="BT312" s="2">
        <v>0.38819444444444445</v>
      </c>
      <c r="BU312" t="s">
        <v>1149</v>
      </c>
      <c r="BV312" t="s">
        <v>74</v>
      </c>
      <c r="BY312">
        <v>10434</v>
      </c>
      <c r="BZ312" t="s">
        <v>79</v>
      </c>
      <c r="CA312" t="s">
        <v>677</v>
      </c>
      <c r="CC312" t="s">
        <v>90</v>
      </c>
      <c r="CD312">
        <v>4001</v>
      </c>
      <c r="CE312" t="s">
        <v>256</v>
      </c>
      <c r="CF312" s="1">
        <v>45764</v>
      </c>
      <c r="CI312">
        <v>2</v>
      </c>
      <c r="CJ312">
        <v>2</v>
      </c>
      <c r="CK312">
        <v>21</v>
      </c>
      <c r="CL312" t="s">
        <v>66</v>
      </c>
    </row>
    <row r="313" spans="1:90" x14ac:dyDescent="0.3">
      <c r="A313" t="s">
        <v>315</v>
      </c>
      <c r="B313" t="s">
        <v>316</v>
      </c>
      <c r="C313" t="s">
        <v>59</v>
      </c>
      <c r="E313" t="str">
        <f>"GAB2025554"</f>
        <v>GAB2025554</v>
      </c>
      <c r="F313" s="1">
        <v>45761</v>
      </c>
      <c r="G313">
        <v>202601</v>
      </c>
      <c r="H313" t="s">
        <v>77</v>
      </c>
      <c r="I313" t="s">
        <v>78</v>
      </c>
      <c r="J313" t="s">
        <v>317</v>
      </c>
      <c r="K313" t="s">
        <v>62</v>
      </c>
      <c r="L313" t="s">
        <v>102</v>
      </c>
      <c r="M313" t="s">
        <v>102</v>
      </c>
      <c r="N313" t="s">
        <v>462</v>
      </c>
      <c r="O313" t="s">
        <v>65</v>
      </c>
      <c r="P313" t="str">
        <f>"INV-00116966 CT093910         "</f>
        <v xml:space="preserve">INV-00116966 CT093910         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38.67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0</v>
      </c>
      <c r="AU313">
        <v>0</v>
      </c>
      <c r="AV313">
        <v>0</v>
      </c>
      <c r="AW313">
        <v>0</v>
      </c>
      <c r="AX313">
        <v>0</v>
      </c>
      <c r="AY313">
        <v>0</v>
      </c>
      <c r="AZ313">
        <v>0</v>
      </c>
      <c r="BA313">
        <v>0</v>
      </c>
      <c r="BB313">
        <v>0</v>
      </c>
      <c r="BC313">
        <v>0</v>
      </c>
      <c r="BD313">
        <v>0</v>
      </c>
      <c r="BE313">
        <v>0</v>
      </c>
      <c r="BF313">
        <v>0</v>
      </c>
      <c r="BG313">
        <v>0</v>
      </c>
      <c r="BH313">
        <v>1</v>
      </c>
      <c r="BI313">
        <v>0.2</v>
      </c>
      <c r="BJ313">
        <v>2.2999999999999998</v>
      </c>
      <c r="BK313">
        <v>2.5</v>
      </c>
      <c r="BL313" s="4">
        <v>123.66</v>
      </c>
      <c r="BM313" s="4">
        <v>18.55</v>
      </c>
      <c r="BN313" s="4">
        <v>142.21</v>
      </c>
      <c r="BO313" s="4">
        <v>142.21</v>
      </c>
      <c r="BQ313" t="s">
        <v>463</v>
      </c>
      <c r="BR313" t="s">
        <v>320</v>
      </c>
      <c r="BS313" s="1">
        <v>45762</v>
      </c>
      <c r="BT313" s="2">
        <v>0.41736111111111113</v>
      </c>
      <c r="BU313" t="s">
        <v>464</v>
      </c>
      <c r="BV313" t="s">
        <v>74</v>
      </c>
      <c r="BY313">
        <v>11720.94</v>
      </c>
      <c r="BZ313" t="s">
        <v>79</v>
      </c>
      <c r="CA313" t="s">
        <v>104</v>
      </c>
      <c r="CC313" t="s">
        <v>102</v>
      </c>
      <c r="CD313">
        <v>7646</v>
      </c>
      <c r="CE313" t="s">
        <v>565</v>
      </c>
      <c r="CF313" s="1">
        <v>45763</v>
      </c>
      <c r="CI313">
        <v>1</v>
      </c>
      <c r="CJ313">
        <v>1</v>
      </c>
      <c r="CK313">
        <v>24</v>
      </c>
      <c r="CL313" t="s">
        <v>66</v>
      </c>
    </row>
    <row r="314" spans="1:90" x14ac:dyDescent="0.3">
      <c r="A314" t="s">
        <v>315</v>
      </c>
      <c r="B314" t="s">
        <v>316</v>
      </c>
      <c r="C314" t="s">
        <v>59</v>
      </c>
      <c r="E314" t="str">
        <f>"GAB2025555"</f>
        <v>GAB2025555</v>
      </c>
      <c r="F314" s="1">
        <v>45761</v>
      </c>
      <c r="G314">
        <v>202601</v>
      </c>
      <c r="H314" t="s">
        <v>77</v>
      </c>
      <c r="I314" t="s">
        <v>78</v>
      </c>
      <c r="J314" t="s">
        <v>317</v>
      </c>
      <c r="K314" t="s">
        <v>62</v>
      </c>
      <c r="L314" t="s">
        <v>254</v>
      </c>
      <c r="M314" t="s">
        <v>255</v>
      </c>
      <c r="N314" t="s">
        <v>1028</v>
      </c>
      <c r="O314" t="s">
        <v>65</v>
      </c>
      <c r="P314" t="str">
        <f>"INV-00116967 CT093912         "</f>
        <v xml:space="preserve">INV-00116967 CT093912         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52.52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0</v>
      </c>
      <c r="AS314">
        <v>0</v>
      </c>
      <c r="AT314">
        <v>0</v>
      </c>
      <c r="AU314">
        <v>0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0</v>
      </c>
      <c r="BC314">
        <v>0</v>
      </c>
      <c r="BD314">
        <v>0</v>
      </c>
      <c r="BE314">
        <v>0</v>
      </c>
      <c r="BF314">
        <v>0</v>
      </c>
      <c r="BG314">
        <v>0</v>
      </c>
      <c r="BH314">
        <v>1</v>
      </c>
      <c r="BI314">
        <v>0.1</v>
      </c>
      <c r="BJ314">
        <v>2.5</v>
      </c>
      <c r="BK314">
        <v>2.5</v>
      </c>
      <c r="BL314" s="4">
        <v>167.94</v>
      </c>
      <c r="BM314" s="4">
        <v>25.19</v>
      </c>
      <c r="BN314" s="4">
        <v>193.13</v>
      </c>
      <c r="BO314" s="4">
        <v>193.13</v>
      </c>
      <c r="BQ314" t="s">
        <v>1150</v>
      </c>
      <c r="BR314" t="s">
        <v>320</v>
      </c>
      <c r="BS314" s="1">
        <v>45763</v>
      </c>
      <c r="BT314" s="2">
        <v>0.64583333333333337</v>
      </c>
      <c r="BU314" t="s">
        <v>1030</v>
      </c>
      <c r="BV314" t="s">
        <v>66</v>
      </c>
      <c r="BW314" t="s">
        <v>112</v>
      </c>
      <c r="BX314" t="s">
        <v>428</v>
      </c>
      <c r="BY314">
        <v>12407.58</v>
      </c>
      <c r="BZ314" t="s">
        <v>79</v>
      </c>
      <c r="CA314" t="s">
        <v>298</v>
      </c>
      <c r="CC314" t="s">
        <v>255</v>
      </c>
      <c r="CD314">
        <v>4420</v>
      </c>
      <c r="CE314" t="s">
        <v>393</v>
      </c>
      <c r="CF314" s="1">
        <v>45764</v>
      </c>
      <c r="CI314">
        <v>2</v>
      </c>
      <c r="CJ314">
        <v>2</v>
      </c>
      <c r="CK314">
        <v>23</v>
      </c>
      <c r="CL314" t="s">
        <v>66</v>
      </c>
    </row>
    <row r="315" spans="1:90" x14ac:dyDescent="0.3">
      <c r="A315" t="s">
        <v>315</v>
      </c>
      <c r="B315" t="s">
        <v>316</v>
      </c>
      <c r="C315" t="s">
        <v>59</v>
      </c>
      <c r="E315" t="str">
        <f>"GAB2025557"</f>
        <v>GAB2025557</v>
      </c>
      <c r="F315" s="1">
        <v>45761</v>
      </c>
      <c r="G315">
        <v>202601</v>
      </c>
      <c r="H315" t="s">
        <v>77</v>
      </c>
      <c r="I315" t="s">
        <v>78</v>
      </c>
      <c r="J315" t="s">
        <v>317</v>
      </c>
      <c r="K315" t="s">
        <v>62</v>
      </c>
      <c r="L315" t="s">
        <v>206</v>
      </c>
      <c r="M315" t="s">
        <v>207</v>
      </c>
      <c r="N315" t="s">
        <v>430</v>
      </c>
      <c r="O315" t="s">
        <v>65</v>
      </c>
      <c r="P315" t="str">
        <f>"INV-00116965 CT093906         "</f>
        <v xml:space="preserve">INV-00116965 CT093906         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22.11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1</v>
      </c>
      <c r="BI315">
        <v>0.2</v>
      </c>
      <c r="BJ315">
        <v>1.9</v>
      </c>
      <c r="BK315">
        <v>2</v>
      </c>
      <c r="BL315" s="4">
        <v>70.709999999999994</v>
      </c>
      <c r="BM315" s="4">
        <v>10.61</v>
      </c>
      <c r="BN315" s="4">
        <v>81.319999999999993</v>
      </c>
      <c r="BO315" s="4">
        <v>81.319999999999993</v>
      </c>
      <c r="BQ315" t="s">
        <v>577</v>
      </c>
      <c r="BR315" t="s">
        <v>320</v>
      </c>
      <c r="BS315" s="1">
        <v>45763</v>
      </c>
      <c r="BT315" s="2">
        <v>0.41319444444444442</v>
      </c>
      <c r="BU315" t="s">
        <v>167</v>
      </c>
      <c r="BV315" t="s">
        <v>74</v>
      </c>
      <c r="BY315">
        <v>9596.16</v>
      </c>
      <c r="BZ315" t="s">
        <v>79</v>
      </c>
      <c r="CA315" t="s">
        <v>433</v>
      </c>
      <c r="CC315" t="s">
        <v>207</v>
      </c>
      <c r="CD315" s="3" t="s">
        <v>287</v>
      </c>
      <c r="CE315" t="s">
        <v>393</v>
      </c>
      <c r="CF315" s="1">
        <v>45763</v>
      </c>
      <c r="CI315">
        <v>2</v>
      </c>
      <c r="CJ315">
        <v>2</v>
      </c>
      <c r="CK315">
        <v>21</v>
      </c>
      <c r="CL315" t="s">
        <v>66</v>
      </c>
    </row>
    <row r="316" spans="1:90" x14ac:dyDescent="0.3">
      <c r="A316" t="s">
        <v>315</v>
      </c>
      <c r="B316" t="s">
        <v>316</v>
      </c>
      <c r="C316" t="s">
        <v>59</v>
      </c>
      <c r="E316" t="str">
        <f>"GAB2025559"</f>
        <v>GAB2025559</v>
      </c>
      <c r="F316" s="1">
        <v>45761</v>
      </c>
      <c r="G316">
        <v>202601</v>
      </c>
      <c r="H316" t="s">
        <v>77</v>
      </c>
      <c r="I316" t="s">
        <v>78</v>
      </c>
      <c r="J316" t="s">
        <v>317</v>
      </c>
      <c r="K316" t="s">
        <v>62</v>
      </c>
      <c r="L316" t="s">
        <v>131</v>
      </c>
      <c r="M316" t="s">
        <v>132</v>
      </c>
      <c r="N316" t="s">
        <v>1151</v>
      </c>
      <c r="O316" t="s">
        <v>65</v>
      </c>
      <c r="P316" t="str">
        <f>"INV-00116975 CT093915         "</f>
        <v xml:space="preserve">INV-00116975 CT093915         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42.84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0</v>
      </c>
      <c r="BA316">
        <v>0</v>
      </c>
      <c r="BB316">
        <v>0</v>
      </c>
      <c r="BC316">
        <v>0</v>
      </c>
      <c r="BD316">
        <v>0</v>
      </c>
      <c r="BE316">
        <v>0</v>
      </c>
      <c r="BF316">
        <v>0</v>
      </c>
      <c r="BG316">
        <v>0</v>
      </c>
      <c r="BH316">
        <v>1</v>
      </c>
      <c r="BI316">
        <v>0.5</v>
      </c>
      <c r="BJ316">
        <v>1.7</v>
      </c>
      <c r="BK316">
        <v>2</v>
      </c>
      <c r="BL316" s="4">
        <v>137</v>
      </c>
      <c r="BM316" s="4">
        <v>20.55</v>
      </c>
      <c r="BN316" s="4">
        <v>157.55000000000001</v>
      </c>
      <c r="BO316" s="4">
        <v>157.55000000000001</v>
      </c>
      <c r="BR316" t="s">
        <v>320</v>
      </c>
      <c r="BS316" s="1">
        <v>45763</v>
      </c>
      <c r="BT316" s="2">
        <v>0.3611111111111111</v>
      </c>
      <c r="BU316" t="s">
        <v>1152</v>
      </c>
      <c r="BV316" t="s">
        <v>74</v>
      </c>
      <c r="BY316">
        <v>8453.76</v>
      </c>
      <c r="BZ316" t="s">
        <v>79</v>
      </c>
      <c r="CA316" t="s">
        <v>388</v>
      </c>
      <c r="CC316" t="s">
        <v>132</v>
      </c>
      <c r="CD316" s="3" t="s">
        <v>188</v>
      </c>
      <c r="CE316" t="s">
        <v>586</v>
      </c>
      <c r="CF316" s="1">
        <v>45764</v>
      </c>
      <c r="CI316">
        <v>2</v>
      </c>
      <c r="CJ316">
        <v>2</v>
      </c>
      <c r="CK316">
        <v>23</v>
      </c>
      <c r="CL316" t="s">
        <v>66</v>
      </c>
    </row>
    <row r="317" spans="1:90" x14ac:dyDescent="0.3">
      <c r="A317" t="s">
        <v>315</v>
      </c>
      <c r="B317" t="s">
        <v>316</v>
      </c>
      <c r="C317" t="s">
        <v>59</v>
      </c>
      <c r="E317" t="str">
        <f>"GAB2025560"</f>
        <v>GAB2025560</v>
      </c>
      <c r="F317" s="1">
        <v>45761</v>
      </c>
      <c r="G317">
        <v>202601</v>
      </c>
      <c r="H317" t="s">
        <v>77</v>
      </c>
      <c r="I317" t="s">
        <v>78</v>
      </c>
      <c r="J317" t="s">
        <v>317</v>
      </c>
      <c r="K317" t="s">
        <v>62</v>
      </c>
      <c r="L317" t="s">
        <v>419</v>
      </c>
      <c r="M317" t="s">
        <v>420</v>
      </c>
      <c r="N317" t="s">
        <v>914</v>
      </c>
      <c r="O317" t="s">
        <v>65</v>
      </c>
      <c r="P317" t="str">
        <f>"INV-00116971 CT093914         "</f>
        <v xml:space="preserve">INV-00116971 CT093914         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0</v>
      </c>
      <c r="AK317">
        <v>62.19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0</v>
      </c>
      <c r="AU317">
        <v>0</v>
      </c>
      <c r="AV317">
        <v>0</v>
      </c>
      <c r="AW317">
        <v>0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0</v>
      </c>
      <c r="BE317">
        <v>0</v>
      </c>
      <c r="BF317">
        <v>0</v>
      </c>
      <c r="BG317">
        <v>0</v>
      </c>
      <c r="BH317">
        <v>1</v>
      </c>
      <c r="BI317">
        <v>0.1</v>
      </c>
      <c r="BJ317">
        <v>2.6</v>
      </c>
      <c r="BK317">
        <v>3</v>
      </c>
      <c r="BL317" s="4">
        <v>198.87</v>
      </c>
      <c r="BM317" s="4">
        <v>29.83</v>
      </c>
      <c r="BN317" s="4">
        <v>228.7</v>
      </c>
      <c r="BO317" s="4">
        <v>228.7</v>
      </c>
      <c r="BQ317" t="s">
        <v>915</v>
      </c>
      <c r="BR317" t="s">
        <v>320</v>
      </c>
      <c r="BS317" s="1">
        <v>45763</v>
      </c>
      <c r="BT317" s="2">
        <v>0.58125000000000004</v>
      </c>
      <c r="BU317" t="s">
        <v>1153</v>
      </c>
      <c r="BV317" t="s">
        <v>66</v>
      </c>
      <c r="BW317" t="s">
        <v>197</v>
      </c>
      <c r="BX317" t="s">
        <v>285</v>
      </c>
      <c r="BY317">
        <v>12787.5</v>
      </c>
      <c r="BZ317" t="s">
        <v>79</v>
      </c>
      <c r="CA317" t="s">
        <v>424</v>
      </c>
      <c r="CC317" t="s">
        <v>420</v>
      </c>
      <c r="CD317" s="3" t="s">
        <v>425</v>
      </c>
      <c r="CE317" t="s">
        <v>393</v>
      </c>
      <c r="CF317" s="1">
        <v>45763</v>
      </c>
      <c r="CI317">
        <v>2</v>
      </c>
      <c r="CJ317">
        <v>2</v>
      </c>
      <c r="CK317">
        <v>23</v>
      </c>
      <c r="CL317" t="s">
        <v>66</v>
      </c>
    </row>
    <row r="318" spans="1:90" x14ac:dyDescent="0.3">
      <c r="A318" t="s">
        <v>315</v>
      </c>
      <c r="B318" t="s">
        <v>316</v>
      </c>
      <c r="C318" t="s">
        <v>59</v>
      </c>
      <c r="E318" t="str">
        <f>"GAB2025561"</f>
        <v>GAB2025561</v>
      </c>
      <c r="F318" s="1">
        <v>45761</v>
      </c>
      <c r="G318">
        <v>202601</v>
      </c>
      <c r="H318" t="s">
        <v>77</v>
      </c>
      <c r="I318" t="s">
        <v>78</v>
      </c>
      <c r="J318" t="s">
        <v>317</v>
      </c>
      <c r="K318" t="s">
        <v>62</v>
      </c>
      <c r="L318" t="s">
        <v>86</v>
      </c>
      <c r="M318" t="s">
        <v>87</v>
      </c>
      <c r="N318" t="s">
        <v>654</v>
      </c>
      <c r="O318" t="s">
        <v>65</v>
      </c>
      <c r="P318" t="str">
        <f>"INV-00116972 CT093909         "</f>
        <v xml:space="preserve">INV-00116972 CT093909         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17.27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1</v>
      </c>
      <c r="BI318">
        <v>0.1</v>
      </c>
      <c r="BJ318">
        <v>2</v>
      </c>
      <c r="BK318">
        <v>2</v>
      </c>
      <c r="BL318" s="4">
        <v>55.23</v>
      </c>
      <c r="BM318" s="4">
        <v>8.2799999999999994</v>
      </c>
      <c r="BN318" s="4">
        <v>63.51</v>
      </c>
      <c r="BO318" s="4">
        <v>63.51</v>
      </c>
      <c r="BQ318" t="s">
        <v>655</v>
      </c>
      <c r="BR318" t="s">
        <v>320</v>
      </c>
      <c r="BS318" s="1">
        <v>45762</v>
      </c>
      <c r="BT318" s="2">
        <v>0.5180555555555556</v>
      </c>
      <c r="BU318" t="s">
        <v>1154</v>
      </c>
      <c r="BV318" t="s">
        <v>74</v>
      </c>
      <c r="BY318">
        <v>10204.25</v>
      </c>
      <c r="BZ318" t="s">
        <v>79</v>
      </c>
      <c r="CA318" t="s">
        <v>88</v>
      </c>
      <c r="CC318" t="s">
        <v>87</v>
      </c>
      <c r="CD318">
        <v>7600</v>
      </c>
      <c r="CE318" t="s">
        <v>393</v>
      </c>
      <c r="CF318" s="1">
        <v>45763</v>
      </c>
      <c r="CI318">
        <v>1</v>
      </c>
      <c r="CJ318">
        <v>1</v>
      </c>
      <c r="CK318">
        <v>22</v>
      </c>
      <c r="CL318" t="s">
        <v>66</v>
      </c>
    </row>
    <row r="319" spans="1:90" x14ac:dyDescent="0.3">
      <c r="A319" t="s">
        <v>315</v>
      </c>
      <c r="B319" t="s">
        <v>316</v>
      </c>
      <c r="C319" t="s">
        <v>59</v>
      </c>
      <c r="E319" t="str">
        <f>"GAB2025562"</f>
        <v>GAB2025562</v>
      </c>
      <c r="F319" s="1">
        <v>45761</v>
      </c>
      <c r="G319">
        <v>202601</v>
      </c>
      <c r="H319" t="s">
        <v>77</v>
      </c>
      <c r="I319" t="s">
        <v>78</v>
      </c>
      <c r="J319" t="s">
        <v>317</v>
      </c>
      <c r="K319" t="s">
        <v>62</v>
      </c>
      <c r="L319" t="s">
        <v>77</v>
      </c>
      <c r="M319" t="s">
        <v>78</v>
      </c>
      <c r="N319" t="s">
        <v>1155</v>
      </c>
      <c r="O319" t="s">
        <v>65</v>
      </c>
      <c r="P319" t="str">
        <f>"INV-00116974 CT093911         "</f>
        <v xml:space="preserve">INV-00116974 CT093911         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  <c r="AD319">
        <v>0</v>
      </c>
      <c r="AE319">
        <v>0</v>
      </c>
      <c r="AF319">
        <v>0</v>
      </c>
      <c r="AG319">
        <v>0</v>
      </c>
      <c r="AH319">
        <v>0</v>
      </c>
      <c r="AI319">
        <v>0</v>
      </c>
      <c r="AJ319">
        <v>0</v>
      </c>
      <c r="AK319">
        <v>17.27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1</v>
      </c>
      <c r="BI319">
        <v>0.1</v>
      </c>
      <c r="BJ319">
        <v>2.4</v>
      </c>
      <c r="BK319">
        <v>3</v>
      </c>
      <c r="BL319" s="4">
        <v>55.23</v>
      </c>
      <c r="BM319" s="4">
        <v>8.2799999999999994</v>
      </c>
      <c r="BN319" s="4">
        <v>63.51</v>
      </c>
      <c r="BO319" s="4">
        <v>63.51</v>
      </c>
      <c r="BQ319" t="s">
        <v>1156</v>
      </c>
      <c r="BR319" t="s">
        <v>320</v>
      </c>
      <c r="BS319" s="1">
        <v>45762</v>
      </c>
      <c r="BT319" s="2">
        <v>0.39027777777777778</v>
      </c>
      <c r="BU319" t="s">
        <v>286</v>
      </c>
      <c r="BV319" t="s">
        <v>74</v>
      </c>
      <c r="BY319">
        <v>12010.6</v>
      </c>
      <c r="BZ319" t="s">
        <v>79</v>
      </c>
      <c r="CA319" t="s">
        <v>175</v>
      </c>
      <c r="CC319" t="s">
        <v>78</v>
      </c>
      <c r="CD319">
        <v>7441</v>
      </c>
      <c r="CE319" t="s">
        <v>393</v>
      </c>
      <c r="CF319" s="1">
        <v>45763</v>
      </c>
      <c r="CI319">
        <v>1</v>
      </c>
      <c r="CJ319">
        <v>1</v>
      </c>
      <c r="CK319">
        <v>22</v>
      </c>
      <c r="CL319" t="s">
        <v>66</v>
      </c>
    </row>
    <row r="320" spans="1:90" x14ac:dyDescent="0.3">
      <c r="A320" t="s">
        <v>315</v>
      </c>
      <c r="B320" t="s">
        <v>316</v>
      </c>
      <c r="C320" t="s">
        <v>59</v>
      </c>
      <c r="E320" t="str">
        <f>"GAB2025563"</f>
        <v>GAB2025563</v>
      </c>
      <c r="F320" s="1">
        <v>45761</v>
      </c>
      <c r="G320">
        <v>202601</v>
      </c>
      <c r="H320" t="s">
        <v>77</v>
      </c>
      <c r="I320" t="s">
        <v>78</v>
      </c>
      <c r="J320" t="s">
        <v>317</v>
      </c>
      <c r="K320" t="s">
        <v>62</v>
      </c>
      <c r="L320" t="s">
        <v>95</v>
      </c>
      <c r="M320" t="s">
        <v>96</v>
      </c>
      <c r="N320" t="s">
        <v>795</v>
      </c>
      <c r="O320" t="s">
        <v>65</v>
      </c>
      <c r="P320" t="str">
        <f>"INV-00034679 031972           "</f>
        <v xml:space="preserve">INV-00034679 031972           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22.11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1</v>
      </c>
      <c r="BI320">
        <v>0.1</v>
      </c>
      <c r="BJ320">
        <v>2</v>
      </c>
      <c r="BK320">
        <v>2</v>
      </c>
      <c r="BL320" s="4">
        <v>70.709999999999994</v>
      </c>
      <c r="BM320" s="4">
        <v>10.61</v>
      </c>
      <c r="BN320" s="4">
        <v>81.319999999999993</v>
      </c>
      <c r="BO320" s="4">
        <v>81.319999999999993</v>
      </c>
      <c r="BQ320" t="s">
        <v>796</v>
      </c>
      <c r="BR320" t="s">
        <v>320</v>
      </c>
      <c r="BS320" s="1">
        <v>45762</v>
      </c>
      <c r="BT320" s="2">
        <v>0.3263888888888889</v>
      </c>
      <c r="BU320" t="s">
        <v>1157</v>
      </c>
      <c r="BV320" t="s">
        <v>74</v>
      </c>
      <c r="BY320">
        <v>10054.799999999999</v>
      </c>
      <c r="BZ320" t="s">
        <v>79</v>
      </c>
      <c r="CA320" t="s">
        <v>798</v>
      </c>
      <c r="CC320" t="s">
        <v>96</v>
      </c>
      <c r="CD320">
        <v>2192</v>
      </c>
      <c r="CE320" t="s">
        <v>393</v>
      </c>
      <c r="CF320" s="1">
        <v>45763</v>
      </c>
      <c r="CI320">
        <v>1</v>
      </c>
      <c r="CJ320">
        <v>1</v>
      </c>
      <c r="CK320">
        <v>21</v>
      </c>
      <c r="CL320" t="s">
        <v>66</v>
      </c>
    </row>
    <row r="321" spans="1:90" x14ac:dyDescent="0.3">
      <c r="A321" t="s">
        <v>315</v>
      </c>
      <c r="B321" t="s">
        <v>316</v>
      </c>
      <c r="C321" t="s">
        <v>59</v>
      </c>
      <c r="E321" t="str">
        <f>"GAB2025566"</f>
        <v>GAB2025566</v>
      </c>
      <c r="F321" s="1">
        <v>45761</v>
      </c>
      <c r="G321">
        <v>202601</v>
      </c>
      <c r="H321" t="s">
        <v>77</v>
      </c>
      <c r="I321" t="s">
        <v>78</v>
      </c>
      <c r="J321" t="s">
        <v>317</v>
      </c>
      <c r="K321" t="s">
        <v>62</v>
      </c>
      <c r="L321" t="s">
        <v>180</v>
      </c>
      <c r="M321" t="s">
        <v>181</v>
      </c>
      <c r="N321" t="s">
        <v>1158</v>
      </c>
      <c r="O321" t="s">
        <v>65</v>
      </c>
      <c r="P321" t="str">
        <f>"INV-00034669 031956           "</f>
        <v xml:space="preserve">INV-00034669 031956           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0</v>
      </c>
      <c r="AI321">
        <v>0</v>
      </c>
      <c r="AJ321">
        <v>0</v>
      </c>
      <c r="AK321">
        <v>22.11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1</v>
      </c>
      <c r="BI321">
        <v>0.1</v>
      </c>
      <c r="BJ321">
        <v>2</v>
      </c>
      <c r="BK321">
        <v>2</v>
      </c>
      <c r="BL321" s="4">
        <v>70.709999999999994</v>
      </c>
      <c r="BM321" s="4">
        <v>10.61</v>
      </c>
      <c r="BN321" s="4">
        <v>81.319999999999993</v>
      </c>
      <c r="BO321" s="4">
        <v>81.319999999999993</v>
      </c>
      <c r="BQ321" t="s">
        <v>612</v>
      </c>
      <c r="BR321" t="s">
        <v>320</v>
      </c>
      <c r="BS321" s="1">
        <v>45762</v>
      </c>
      <c r="BT321" s="2">
        <v>0.41319444444444442</v>
      </c>
      <c r="BU321" t="s">
        <v>122</v>
      </c>
      <c r="BV321" t="s">
        <v>74</v>
      </c>
      <c r="BY321">
        <v>10032</v>
      </c>
      <c r="BZ321" t="s">
        <v>79</v>
      </c>
      <c r="CA321" t="s">
        <v>592</v>
      </c>
      <c r="CC321" t="s">
        <v>181</v>
      </c>
      <c r="CD321">
        <v>1559</v>
      </c>
      <c r="CE321" t="s">
        <v>393</v>
      </c>
      <c r="CF321" s="1">
        <v>45763</v>
      </c>
      <c r="CI321">
        <v>1</v>
      </c>
      <c r="CJ321">
        <v>1</v>
      </c>
      <c r="CK321">
        <v>21</v>
      </c>
      <c r="CL321" t="s">
        <v>66</v>
      </c>
    </row>
    <row r="322" spans="1:90" x14ac:dyDescent="0.3">
      <c r="A322" t="s">
        <v>315</v>
      </c>
      <c r="B322" t="s">
        <v>316</v>
      </c>
      <c r="C322" t="s">
        <v>59</v>
      </c>
      <c r="E322" t="str">
        <f>"GAB2025567"</f>
        <v>GAB2025567</v>
      </c>
      <c r="F322" s="1">
        <v>45761</v>
      </c>
      <c r="G322">
        <v>202601</v>
      </c>
      <c r="H322" t="s">
        <v>77</v>
      </c>
      <c r="I322" t="s">
        <v>78</v>
      </c>
      <c r="J322" t="s">
        <v>317</v>
      </c>
      <c r="K322" t="s">
        <v>62</v>
      </c>
      <c r="L322" t="s">
        <v>72</v>
      </c>
      <c r="M322" t="s">
        <v>73</v>
      </c>
      <c r="N322" t="s">
        <v>687</v>
      </c>
      <c r="O322" t="s">
        <v>65</v>
      </c>
      <c r="P322" t="str">
        <f>"PREETHUM LEVENE PLEASE CONTACT"</f>
        <v>PREETHUM LEVENE PLEASE CONTACT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33.159999999999997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1</v>
      </c>
      <c r="BI322">
        <v>0.2</v>
      </c>
      <c r="BJ322">
        <v>2.7</v>
      </c>
      <c r="BK322">
        <v>3</v>
      </c>
      <c r="BL322" s="4">
        <v>106.04</v>
      </c>
      <c r="BM322" s="4">
        <v>15.91</v>
      </c>
      <c r="BN322" s="4">
        <v>121.95</v>
      </c>
      <c r="BO322" s="4">
        <v>121.95</v>
      </c>
      <c r="BQ322" t="s">
        <v>492</v>
      </c>
      <c r="BR322" t="s">
        <v>320</v>
      </c>
      <c r="BS322" s="1">
        <v>45763</v>
      </c>
      <c r="BT322" s="2">
        <v>0.39374999999999999</v>
      </c>
      <c r="BU322" t="s">
        <v>492</v>
      </c>
      <c r="BV322" t="s">
        <v>74</v>
      </c>
      <c r="BY322">
        <v>13720</v>
      </c>
      <c r="BZ322" t="s">
        <v>79</v>
      </c>
      <c r="CC322" t="s">
        <v>73</v>
      </c>
      <c r="CD322">
        <v>3610</v>
      </c>
      <c r="CE322" t="s">
        <v>706</v>
      </c>
      <c r="CF322" s="1">
        <v>45764</v>
      </c>
      <c r="CI322">
        <v>2</v>
      </c>
      <c r="CJ322">
        <v>2</v>
      </c>
      <c r="CK322">
        <v>21</v>
      </c>
      <c r="CL322" t="s">
        <v>66</v>
      </c>
    </row>
    <row r="323" spans="1:90" x14ac:dyDescent="0.3">
      <c r="A323" t="s">
        <v>315</v>
      </c>
      <c r="B323" t="s">
        <v>316</v>
      </c>
      <c r="C323" t="s">
        <v>59</v>
      </c>
      <c r="E323" t="str">
        <f>"GAB2025569"</f>
        <v>GAB2025569</v>
      </c>
      <c r="F323" s="1">
        <v>45761</v>
      </c>
      <c r="G323">
        <v>202601</v>
      </c>
      <c r="H323" t="s">
        <v>77</v>
      </c>
      <c r="I323" t="s">
        <v>78</v>
      </c>
      <c r="J323" t="s">
        <v>317</v>
      </c>
      <c r="K323" t="s">
        <v>62</v>
      </c>
      <c r="L323" t="s">
        <v>245</v>
      </c>
      <c r="M323" t="s">
        <v>246</v>
      </c>
      <c r="N323" t="s">
        <v>583</v>
      </c>
      <c r="O323" t="s">
        <v>65</v>
      </c>
      <c r="P323" t="str">
        <f>"INV-00116981 CT093921         "</f>
        <v xml:space="preserve">INV-00116981 CT093921         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0</v>
      </c>
      <c r="AK323">
        <v>52.52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0</v>
      </c>
      <c r="BA323">
        <v>0</v>
      </c>
      <c r="BB323">
        <v>0</v>
      </c>
      <c r="BC323">
        <v>0</v>
      </c>
      <c r="BD323">
        <v>0</v>
      </c>
      <c r="BE323">
        <v>0</v>
      </c>
      <c r="BF323">
        <v>0</v>
      </c>
      <c r="BG323">
        <v>0</v>
      </c>
      <c r="BH323">
        <v>1</v>
      </c>
      <c r="BI323">
        <v>1.1000000000000001</v>
      </c>
      <c r="BJ323">
        <v>2.4</v>
      </c>
      <c r="BK323">
        <v>2.5</v>
      </c>
      <c r="BL323" s="4">
        <v>167.94</v>
      </c>
      <c r="BM323" s="4">
        <v>25.19</v>
      </c>
      <c r="BN323" s="4">
        <v>193.13</v>
      </c>
      <c r="BO323" s="4">
        <v>193.13</v>
      </c>
      <c r="BQ323" t="s">
        <v>584</v>
      </c>
      <c r="BR323" t="s">
        <v>320</v>
      </c>
      <c r="BS323" s="1">
        <v>45763</v>
      </c>
      <c r="BT323" s="2">
        <v>0.41666666666666669</v>
      </c>
      <c r="BU323" t="s">
        <v>125</v>
      </c>
      <c r="BV323" t="s">
        <v>74</v>
      </c>
      <c r="BY323">
        <v>11877.5</v>
      </c>
      <c r="BZ323" t="s">
        <v>79</v>
      </c>
      <c r="CA323" t="s">
        <v>247</v>
      </c>
      <c r="CC323" t="s">
        <v>246</v>
      </c>
      <c r="CD323">
        <v>9700</v>
      </c>
      <c r="CE323" t="s">
        <v>1159</v>
      </c>
      <c r="CF323" s="1">
        <v>45763</v>
      </c>
      <c r="CI323">
        <v>2</v>
      </c>
      <c r="CJ323">
        <v>2</v>
      </c>
      <c r="CK323">
        <v>23</v>
      </c>
      <c r="CL323" t="s">
        <v>66</v>
      </c>
    </row>
    <row r="324" spans="1:90" x14ac:dyDescent="0.3">
      <c r="A324" t="s">
        <v>315</v>
      </c>
      <c r="B324" t="s">
        <v>316</v>
      </c>
      <c r="C324" t="s">
        <v>59</v>
      </c>
      <c r="E324" t="str">
        <f>"GAB2025570"</f>
        <v>GAB2025570</v>
      </c>
      <c r="F324" s="1">
        <v>45761</v>
      </c>
      <c r="G324">
        <v>202601</v>
      </c>
      <c r="H324" t="s">
        <v>77</v>
      </c>
      <c r="I324" t="s">
        <v>78</v>
      </c>
      <c r="J324" t="s">
        <v>317</v>
      </c>
      <c r="K324" t="s">
        <v>62</v>
      </c>
      <c r="L324" t="s">
        <v>68</v>
      </c>
      <c r="M324" t="s">
        <v>69</v>
      </c>
      <c r="N324" t="s">
        <v>390</v>
      </c>
      <c r="O324" t="s">
        <v>65</v>
      </c>
      <c r="P324" t="str">
        <f>"INV-00034683 031990           "</f>
        <v xml:space="preserve">INV-00034683 031990           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22.11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1</v>
      </c>
      <c r="BI324">
        <v>0.1</v>
      </c>
      <c r="BJ324">
        <v>2</v>
      </c>
      <c r="BK324">
        <v>2</v>
      </c>
      <c r="BL324" s="4">
        <v>70.709999999999994</v>
      </c>
      <c r="BM324" s="4">
        <v>10.61</v>
      </c>
      <c r="BN324" s="4">
        <v>81.319999999999993</v>
      </c>
      <c r="BO324" s="4">
        <v>81.319999999999993</v>
      </c>
      <c r="BQ324" t="s">
        <v>1160</v>
      </c>
      <c r="BR324" t="s">
        <v>320</v>
      </c>
      <c r="BS324" s="1">
        <v>45762</v>
      </c>
      <c r="BT324" s="2">
        <v>0.39097222222222222</v>
      </c>
      <c r="BU324" t="s">
        <v>173</v>
      </c>
      <c r="BV324" t="s">
        <v>74</v>
      </c>
      <c r="BY324">
        <v>10149.42</v>
      </c>
      <c r="BZ324" t="s">
        <v>79</v>
      </c>
      <c r="CA324" t="s">
        <v>294</v>
      </c>
      <c r="CC324" t="s">
        <v>69</v>
      </c>
      <c r="CD324">
        <v>1416</v>
      </c>
      <c r="CE324" t="s">
        <v>393</v>
      </c>
      <c r="CF324" s="1">
        <v>45763</v>
      </c>
      <c r="CI324">
        <v>1</v>
      </c>
      <c r="CJ324">
        <v>1</v>
      </c>
      <c r="CK324">
        <v>21</v>
      </c>
      <c r="CL324" t="s">
        <v>66</v>
      </c>
    </row>
    <row r="325" spans="1:90" x14ac:dyDescent="0.3">
      <c r="A325" t="s">
        <v>315</v>
      </c>
      <c r="B325" t="s">
        <v>316</v>
      </c>
      <c r="C325" t="s">
        <v>59</v>
      </c>
      <c r="E325" t="str">
        <f>"GAB2025571"</f>
        <v>GAB2025571</v>
      </c>
      <c r="F325" s="1">
        <v>45761</v>
      </c>
      <c r="G325">
        <v>202601</v>
      </c>
      <c r="H325" t="s">
        <v>77</v>
      </c>
      <c r="I325" t="s">
        <v>78</v>
      </c>
      <c r="J325" t="s">
        <v>317</v>
      </c>
      <c r="K325" t="s">
        <v>62</v>
      </c>
      <c r="L325" t="s">
        <v>158</v>
      </c>
      <c r="M325" t="s">
        <v>159</v>
      </c>
      <c r="N325" t="s">
        <v>1134</v>
      </c>
      <c r="O325" t="s">
        <v>65</v>
      </c>
      <c r="P325" t="str">
        <f>"INV-00034684 031991           "</f>
        <v xml:space="preserve">INV-00034684 031991           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62.19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1</v>
      </c>
      <c r="BI325">
        <v>0.2</v>
      </c>
      <c r="BJ325">
        <v>2.6</v>
      </c>
      <c r="BK325">
        <v>3</v>
      </c>
      <c r="BL325" s="4">
        <v>198.87</v>
      </c>
      <c r="BM325" s="4">
        <v>29.83</v>
      </c>
      <c r="BN325" s="4">
        <v>228.7</v>
      </c>
      <c r="BO325" s="4">
        <v>228.7</v>
      </c>
      <c r="BR325" t="s">
        <v>320</v>
      </c>
      <c r="BS325" s="1">
        <v>45764</v>
      </c>
      <c r="BT325" s="2">
        <v>0.41666666666666669</v>
      </c>
      <c r="BU325" t="s">
        <v>308</v>
      </c>
      <c r="BV325" t="s">
        <v>66</v>
      </c>
      <c r="BY325">
        <v>13011.46</v>
      </c>
      <c r="BZ325" t="s">
        <v>79</v>
      </c>
      <c r="CA325" t="s">
        <v>607</v>
      </c>
      <c r="CC325" t="s">
        <v>159</v>
      </c>
      <c r="CD325">
        <v>1739</v>
      </c>
      <c r="CE325" t="s">
        <v>389</v>
      </c>
      <c r="CI325">
        <v>1</v>
      </c>
      <c r="CJ325">
        <v>3</v>
      </c>
      <c r="CK325">
        <v>23</v>
      </c>
      <c r="CL325" t="s">
        <v>66</v>
      </c>
    </row>
    <row r="326" spans="1:90" x14ac:dyDescent="0.3">
      <c r="A326" t="s">
        <v>315</v>
      </c>
      <c r="B326" t="s">
        <v>316</v>
      </c>
      <c r="C326" t="s">
        <v>59</v>
      </c>
      <c r="E326" t="str">
        <f>"GAB2025572"</f>
        <v>GAB2025572</v>
      </c>
      <c r="F326" s="1">
        <v>45761</v>
      </c>
      <c r="G326">
        <v>202601</v>
      </c>
      <c r="H326" t="s">
        <v>77</v>
      </c>
      <c r="I326" t="s">
        <v>78</v>
      </c>
      <c r="J326" t="s">
        <v>317</v>
      </c>
      <c r="K326" t="s">
        <v>62</v>
      </c>
      <c r="L326" t="s">
        <v>89</v>
      </c>
      <c r="M326" t="s">
        <v>90</v>
      </c>
      <c r="N326" t="s">
        <v>1161</v>
      </c>
      <c r="O326" t="s">
        <v>65</v>
      </c>
      <c r="P326" t="str">
        <f>"INV-00116984 CT093925         "</f>
        <v xml:space="preserve">INV-00116984 CT093925         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27.64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1</v>
      </c>
      <c r="BI326">
        <v>0.2</v>
      </c>
      <c r="BJ326">
        <v>2.1</v>
      </c>
      <c r="BK326">
        <v>2.5</v>
      </c>
      <c r="BL326" s="4">
        <v>88.38</v>
      </c>
      <c r="BM326" s="4">
        <v>13.26</v>
      </c>
      <c r="BN326" s="4">
        <v>101.64</v>
      </c>
      <c r="BO326" s="4">
        <v>101.64</v>
      </c>
      <c r="BQ326" t="s">
        <v>1162</v>
      </c>
      <c r="BR326" t="s">
        <v>320</v>
      </c>
      <c r="BS326" s="1">
        <v>45763</v>
      </c>
      <c r="BT326" s="2">
        <v>0.42569444444444443</v>
      </c>
      <c r="BU326" t="s">
        <v>1163</v>
      </c>
      <c r="BV326" t="s">
        <v>74</v>
      </c>
      <c r="BY326">
        <v>10348.07</v>
      </c>
      <c r="BZ326" t="s">
        <v>79</v>
      </c>
      <c r="CA326" t="s">
        <v>249</v>
      </c>
      <c r="CC326" t="s">
        <v>90</v>
      </c>
      <c r="CD326">
        <v>4001</v>
      </c>
      <c r="CE326" t="s">
        <v>343</v>
      </c>
      <c r="CF326" s="1">
        <v>45764</v>
      </c>
      <c r="CI326">
        <v>2</v>
      </c>
      <c r="CJ326">
        <v>2</v>
      </c>
      <c r="CK326">
        <v>21</v>
      </c>
      <c r="CL326" t="s">
        <v>66</v>
      </c>
    </row>
    <row r="327" spans="1:90" x14ac:dyDescent="0.3">
      <c r="A327" t="s">
        <v>315</v>
      </c>
      <c r="B327" t="s">
        <v>316</v>
      </c>
      <c r="C327" t="s">
        <v>59</v>
      </c>
      <c r="E327" t="str">
        <f>"GAB2025573"</f>
        <v>GAB2025573</v>
      </c>
      <c r="F327" s="1">
        <v>45761</v>
      </c>
      <c r="G327">
        <v>202601</v>
      </c>
      <c r="H327" t="s">
        <v>77</v>
      </c>
      <c r="I327" t="s">
        <v>78</v>
      </c>
      <c r="J327" t="s">
        <v>317</v>
      </c>
      <c r="K327" t="s">
        <v>62</v>
      </c>
      <c r="L327" t="s">
        <v>89</v>
      </c>
      <c r="M327" t="s">
        <v>90</v>
      </c>
      <c r="N327" t="s">
        <v>1164</v>
      </c>
      <c r="O327" t="s">
        <v>65</v>
      </c>
      <c r="P327" t="str">
        <f>"INV-00116985 CT093926         "</f>
        <v xml:space="preserve">INV-00116985 CT093926         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27.64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1</v>
      </c>
      <c r="BI327">
        <v>0.2</v>
      </c>
      <c r="BJ327">
        <v>2.2999999999999998</v>
      </c>
      <c r="BK327">
        <v>2.5</v>
      </c>
      <c r="BL327" s="4">
        <v>88.38</v>
      </c>
      <c r="BM327" s="4">
        <v>13.26</v>
      </c>
      <c r="BN327" s="4">
        <v>101.64</v>
      </c>
      <c r="BO327" s="4">
        <v>101.64</v>
      </c>
      <c r="BQ327" t="s">
        <v>225</v>
      </c>
      <c r="BR327" t="s">
        <v>320</v>
      </c>
      <c r="BS327" s="1">
        <v>45763</v>
      </c>
      <c r="BT327" s="2">
        <v>0.43680555555555556</v>
      </c>
      <c r="BU327" t="s">
        <v>251</v>
      </c>
      <c r="BV327" t="s">
        <v>74</v>
      </c>
      <c r="BY327">
        <v>11534.67</v>
      </c>
      <c r="BZ327" t="s">
        <v>79</v>
      </c>
      <c r="CA327" t="s">
        <v>249</v>
      </c>
      <c r="CC327" t="s">
        <v>90</v>
      </c>
      <c r="CD327">
        <v>4001</v>
      </c>
      <c r="CE327" t="s">
        <v>343</v>
      </c>
      <c r="CF327" s="1">
        <v>45764</v>
      </c>
      <c r="CI327">
        <v>2</v>
      </c>
      <c r="CJ327">
        <v>2</v>
      </c>
      <c r="CK327">
        <v>21</v>
      </c>
      <c r="CL327" t="s">
        <v>66</v>
      </c>
    </row>
    <row r="328" spans="1:90" x14ac:dyDescent="0.3">
      <c r="A328" t="s">
        <v>315</v>
      </c>
      <c r="B328" t="s">
        <v>316</v>
      </c>
      <c r="C328" t="s">
        <v>59</v>
      </c>
      <c r="E328" t="str">
        <f>"GAB2025574"</f>
        <v>GAB2025574</v>
      </c>
      <c r="F328" s="1">
        <v>45761</v>
      </c>
      <c r="G328">
        <v>202601</v>
      </c>
      <c r="H328" t="s">
        <v>77</v>
      </c>
      <c r="I328" t="s">
        <v>78</v>
      </c>
      <c r="J328" t="s">
        <v>317</v>
      </c>
      <c r="K328" t="s">
        <v>62</v>
      </c>
      <c r="L328" t="s">
        <v>295</v>
      </c>
      <c r="M328" t="s">
        <v>296</v>
      </c>
      <c r="N328" t="s">
        <v>1165</v>
      </c>
      <c r="O328" t="s">
        <v>65</v>
      </c>
      <c r="P328" t="str">
        <f>"INV-00034702 032001           "</f>
        <v xml:space="preserve">INV-00034702 032001           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42.84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1</v>
      </c>
      <c r="BI328">
        <v>0.1</v>
      </c>
      <c r="BJ328">
        <v>2</v>
      </c>
      <c r="BK328">
        <v>2</v>
      </c>
      <c r="BL328" s="4">
        <v>137</v>
      </c>
      <c r="BM328" s="4">
        <v>20.55</v>
      </c>
      <c r="BN328" s="4">
        <v>157.55000000000001</v>
      </c>
      <c r="BO328" s="4">
        <v>157.55000000000001</v>
      </c>
      <c r="BQ328" t="s">
        <v>746</v>
      </c>
      <c r="BR328" t="s">
        <v>320</v>
      </c>
      <c r="BS328" s="1">
        <v>45763</v>
      </c>
      <c r="BT328" s="2">
        <v>0.43611111111111112</v>
      </c>
      <c r="BU328" t="s">
        <v>199</v>
      </c>
      <c r="BV328" t="s">
        <v>66</v>
      </c>
      <c r="BY328">
        <v>9778.86</v>
      </c>
      <c r="BZ328" t="s">
        <v>79</v>
      </c>
      <c r="CA328" t="s">
        <v>297</v>
      </c>
      <c r="CC328" t="s">
        <v>296</v>
      </c>
      <c r="CD328">
        <v>1035</v>
      </c>
      <c r="CE328" t="s">
        <v>393</v>
      </c>
      <c r="CF328" s="1">
        <v>45763</v>
      </c>
      <c r="CI328">
        <v>1</v>
      </c>
      <c r="CJ328">
        <v>2</v>
      </c>
      <c r="CK328">
        <v>23</v>
      </c>
      <c r="CL328" t="s">
        <v>66</v>
      </c>
    </row>
    <row r="329" spans="1:90" x14ac:dyDescent="0.3">
      <c r="A329" t="s">
        <v>315</v>
      </c>
      <c r="B329" t="s">
        <v>316</v>
      </c>
      <c r="C329" t="s">
        <v>59</v>
      </c>
      <c r="E329" t="str">
        <f>"RGAB2025429"</f>
        <v>RGAB2025429</v>
      </c>
      <c r="F329" s="1">
        <v>45761</v>
      </c>
      <c r="G329">
        <v>202601</v>
      </c>
      <c r="H329" t="s">
        <v>95</v>
      </c>
      <c r="I329" t="s">
        <v>96</v>
      </c>
      <c r="J329" t="s">
        <v>878</v>
      </c>
      <c r="K329" t="s">
        <v>62</v>
      </c>
      <c r="L329" t="s">
        <v>95</v>
      </c>
      <c r="M329" t="s">
        <v>96</v>
      </c>
      <c r="N329" t="s">
        <v>1166</v>
      </c>
      <c r="O329" t="s">
        <v>98</v>
      </c>
      <c r="P329" t="str">
        <f>"INV-00116812 CT093760         "</f>
        <v xml:space="preserve">INV-00116812 CT093760         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5.57</v>
      </c>
      <c r="AD329">
        <v>0</v>
      </c>
      <c r="AE329">
        <v>0</v>
      </c>
      <c r="AF329">
        <v>0</v>
      </c>
      <c r="AG329">
        <v>0</v>
      </c>
      <c r="AH329">
        <v>0</v>
      </c>
      <c r="AI329">
        <v>0</v>
      </c>
      <c r="AJ329">
        <v>0</v>
      </c>
      <c r="AK329">
        <v>60.41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16.739999999999998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2</v>
      </c>
      <c r="BI329">
        <v>8.5</v>
      </c>
      <c r="BJ329">
        <v>25</v>
      </c>
      <c r="BK329">
        <v>25</v>
      </c>
      <c r="BL329" s="4">
        <v>215.5</v>
      </c>
      <c r="BM329" s="4">
        <v>32.33</v>
      </c>
      <c r="BN329" s="4">
        <v>247.83</v>
      </c>
      <c r="BO329" s="4">
        <v>247.83</v>
      </c>
      <c r="BQ329" s="3" t="s">
        <v>1167</v>
      </c>
      <c r="BR329" t="s">
        <v>879</v>
      </c>
      <c r="BS329" s="1">
        <v>45762</v>
      </c>
      <c r="BT329" s="2">
        <v>0.4375</v>
      </c>
      <c r="BU329" t="s">
        <v>1168</v>
      </c>
      <c r="BV329" t="s">
        <v>74</v>
      </c>
      <c r="BY329">
        <v>124999.32</v>
      </c>
      <c r="BZ329" t="s">
        <v>26</v>
      </c>
      <c r="CC329" t="s">
        <v>96</v>
      </c>
      <c r="CD329">
        <v>1818</v>
      </c>
      <c r="CE329" t="s">
        <v>1169</v>
      </c>
      <c r="CF329" s="1">
        <v>45763</v>
      </c>
      <c r="CI329">
        <v>0</v>
      </c>
      <c r="CJ329">
        <v>0</v>
      </c>
      <c r="CK329">
        <v>41</v>
      </c>
      <c r="CL329" t="s">
        <v>66</v>
      </c>
    </row>
    <row r="330" spans="1:90" x14ac:dyDescent="0.3">
      <c r="A330" t="s">
        <v>315</v>
      </c>
      <c r="B330" t="s">
        <v>316</v>
      </c>
      <c r="C330" t="s">
        <v>59</v>
      </c>
      <c r="E330" t="str">
        <f>"GAB2025556"</f>
        <v>GAB2025556</v>
      </c>
      <c r="F330" s="1">
        <v>45761</v>
      </c>
      <c r="G330">
        <v>202601</v>
      </c>
      <c r="H330" t="s">
        <v>77</v>
      </c>
      <c r="I330" t="s">
        <v>78</v>
      </c>
      <c r="J330" t="s">
        <v>317</v>
      </c>
      <c r="K330" t="s">
        <v>62</v>
      </c>
      <c r="L330" t="s">
        <v>77</v>
      </c>
      <c r="M330" t="s">
        <v>78</v>
      </c>
      <c r="N330" t="s">
        <v>867</v>
      </c>
      <c r="O330" t="s">
        <v>98</v>
      </c>
      <c r="P330" t="str">
        <f>"INV-00116968 CT093907         "</f>
        <v xml:space="preserve">INV-00116968 CT093907         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5.57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33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0</v>
      </c>
      <c r="BA330">
        <v>0</v>
      </c>
      <c r="BB330">
        <v>0</v>
      </c>
      <c r="BC330">
        <v>0</v>
      </c>
      <c r="BD330">
        <v>0</v>
      </c>
      <c r="BE330">
        <v>0</v>
      </c>
      <c r="BF330">
        <v>0</v>
      </c>
      <c r="BG330">
        <v>0</v>
      </c>
      <c r="BH330">
        <v>1</v>
      </c>
      <c r="BI330">
        <v>2.4</v>
      </c>
      <c r="BJ330">
        <v>6.6</v>
      </c>
      <c r="BK330">
        <v>7</v>
      </c>
      <c r="BL330" s="4">
        <v>111.09</v>
      </c>
      <c r="BM330" s="4">
        <v>16.66</v>
      </c>
      <c r="BN330" s="4">
        <v>127.75</v>
      </c>
      <c r="BO330" s="4">
        <v>127.75</v>
      </c>
      <c r="BQ330" t="s">
        <v>702</v>
      </c>
      <c r="BR330" t="s">
        <v>320</v>
      </c>
      <c r="BS330" s="1">
        <v>45762</v>
      </c>
      <c r="BT330" s="2">
        <v>0.4777777777777778</v>
      </c>
      <c r="BU330" t="s">
        <v>868</v>
      </c>
      <c r="BV330" t="s">
        <v>74</v>
      </c>
      <c r="BY330">
        <v>32760</v>
      </c>
      <c r="CA330" t="s">
        <v>704</v>
      </c>
      <c r="CC330" t="s">
        <v>78</v>
      </c>
      <c r="CD330">
        <v>7550</v>
      </c>
      <c r="CE330" t="s">
        <v>322</v>
      </c>
      <c r="CF330" s="1">
        <v>45763</v>
      </c>
      <c r="CI330">
        <v>1</v>
      </c>
      <c r="CJ330">
        <v>1</v>
      </c>
      <c r="CK330">
        <v>42</v>
      </c>
      <c r="CL330" t="s">
        <v>66</v>
      </c>
    </row>
    <row r="331" spans="1:90" x14ac:dyDescent="0.3">
      <c r="A331" t="s">
        <v>315</v>
      </c>
      <c r="B331" t="s">
        <v>316</v>
      </c>
      <c r="C331" t="s">
        <v>59</v>
      </c>
      <c r="E331" t="str">
        <f>"GAB2025558"</f>
        <v>GAB2025558</v>
      </c>
      <c r="F331" s="1">
        <v>45761</v>
      </c>
      <c r="G331">
        <v>202601</v>
      </c>
      <c r="H331" t="s">
        <v>77</v>
      </c>
      <c r="I331" t="s">
        <v>78</v>
      </c>
      <c r="J331" t="s">
        <v>317</v>
      </c>
      <c r="K331" t="s">
        <v>62</v>
      </c>
      <c r="L331" t="s">
        <v>142</v>
      </c>
      <c r="M331" t="s">
        <v>143</v>
      </c>
      <c r="N331" t="s">
        <v>1116</v>
      </c>
      <c r="O331" t="s">
        <v>98</v>
      </c>
      <c r="P331" t="str">
        <f>"INV-00116946 CT093881         "</f>
        <v xml:space="preserve">INV-00116946 CT093881         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5.57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106.32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2</v>
      </c>
      <c r="BI331">
        <v>20.399999999999999</v>
      </c>
      <c r="BJ331">
        <v>50.6</v>
      </c>
      <c r="BK331">
        <v>51</v>
      </c>
      <c r="BL331" s="4">
        <v>345.55</v>
      </c>
      <c r="BM331" s="4">
        <v>51.83</v>
      </c>
      <c r="BN331" s="4">
        <v>397.38</v>
      </c>
      <c r="BO331" s="4">
        <v>397.38</v>
      </c>
      <c r="BQ331" t="s">
        <v>262</v>
      </c>
      <c r="BR331" t="s">
        <v>320</v>
      </c>
      <c r="BS331" s="1">
        <v>45763</v>
      </c>
      <c r="BT331" s="2">
        <v>0.34513888888888888</v>
      </c>
      <c r="BU331" t="s">
        <v>351</v>
      </c>
      <c r="BV331" t="s">
        <v>74</v>
      </c>
      <c r="BY331">
        <v>252996.11</v>
      </c>
      <c r="CA331" t="s">
        <v>545</v>
      </c>
      <c r="CC331" t="s">
        <v>143</v>
      </c>
      <c r="CD331" s="3" t="s">
        <v>144</v>
      </c>
      <c r="CE331" t="s">
        <v>322</v>
      </c>
      <c r="CF331" s="1">
        <v>45763</v>
      </c>
      <c r="CI331">
        <v>3</v>
      </c>
      <c r="CJ331">
        <v>2</v>
      </c>
      <c r="CK331">
        <v>41</v>
      </c>
      <c r="CL331" t="s">
        <v>66</v>
      </c>
    </row>
    <row r="332" spans="1:90" x14ac:dyDescent="0.3">
      <c r="A332" t="s">
        <v>315</v>
      </c>
      <c r="B332" t="s">
        <v>316</v>
      </c>
      <c r="C332" t="s">
        <v>59</v>
      </c>
      <c r="E332" t="str">
        <f>"GAB2025565"</f>
        <v>GAB2025565</v>
      </c>
      <c r="F332" s="1">
        <v>45761</v>
      </c>
      <c r="G332">
        <v>202601</v>
      </c>
      <c r="H332" t="s">
        <v>77</v>
      </c>
      <c r="I332" t="s">
        <v>78</v>
      </c>
      <c r="J332" t="s">
        <v>317</v>
      </c>
      <c r="K332" t="s">
        <v>62</v>
      </c>
      <c r="L332" t="s">
        <v>72</v>
      </c>
      <c r="M332" t="s">
        <v>73</v>
      </c>
      <c r="N332" t="s">
        <v>1170</v>
      </c>
      <c r="O332" t="s">
        <v>98</v>
      </c>
      <c r="P332" t="str">
        <f>"INV-00116976 00116973 CT093904"</f>
        <v>INV-00116976 00116973 CT093904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5.57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0</v>
      </c>
      <c r="AJ332">
        <v>0</v>
      </c>
      <c r="AK332">
        <v>42.76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1</v>
      </c>
      <c r="BI332">
        <v>2.6</v>
      </c>
      <c r="BJ332">
        <v>6</v>
      </c>
      <c r="BK332">
        <v>6</v>
      </c>
      <c r="BL332" s="4">
        <v>142.31</v>
      </c>
      <c r="BM332" s="4">
        <v>21.35</v>
      </c>
      <c r="BN332" s="4">
        <v>163.66</v>
      </c>
      <c r="BO332" s="4">
        <v>163.66</v>
      </c>
      <c r="BQ332" t="s">
        <v>1171</v>
      </c>
      <c r="BR332" t="s">
        <v>320</v>
      </c>
      <c r="BS332" s="1">
        <v>45763</v>
      </c>
      <c r="BT332" s="2">
        <v>0.48819444444444443</v>
      </c>
      <c r="BU332" t="s">
        <v>1172</v>
      </c>
      <c r="BV332" t="s">
        <v>74</v>
      </c>
      <c r="BY332">
        <v>29930.04</v>
      </c>
      <c r="CA332" t="s">
        <v>75</v>
      </c>
      <c r="CC332" t="s">
        <v>73</v>
      </c>
      <c r="CD332">
        <v>3610</v>
      </c>
      <c r="CE332" t="s">
        <v>322</v>
      </c>
      <c r="CF332" s="1">
        <v>45764</v>
      </c>
      <c r="CI332">
        <v>3</v>
      </c>
      <c r="CJ332">
        <v>2</v>
      </c>
      <c r="CK332">
        <v>41</v>
      </c>
      <c r="CL332" t="s">
        <v>66</v>
      </c>
    </row>
    <row r="333" spans="1:90" x14ac:dyDescent="0.3">
      <c r="A333" t="s">
        <v>315</v>
      </c>
      <c r="B333" t="s">
        <v>316</v>
      </c>
      <c r="C333" t="s">
        <v>59</v>
      </c>
      <c r="E333" t="str">
        <f>"GAB2025568"</f>
        <v>GAB2025568</v>
      </c>
      <c r="F333" s="1">
        <v>45761</v>
      </c>
      <c r="G333">
        <v>202601</v>
      </c>
      <c r="H333" t="s">
        <v>77</v>
      </c>
      <c r="I333" t="s">
        <v>78</v>
      </c>
      <c r="J333" t="s">
        <v>317</v>
      </c>
      <c r="K333" t="s">
        <v>62</v>
      </c>
      <c r="L333" t="s">
        <v>546</v>
      </c>
      <c r="M333" t="s">
        <v>547</v>
      </c>
      <c r="N333" t="s">
        <v>1173</v>
      </c>
      <c r="O333" t="s">
        <v>98</v>
      </c>
      <c r="P333" t="str">
        <f>"INV-00116980 CT093890         "</f>
        <v xml:space="preserve">INV-00116980 CT093890         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5.57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42.76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1</v>
      </c>
      <c r="BI333">
        <v>1.5</v>
      </c>
      <c r="BJ333">
        <v>3</v>
      </c>
      <c r="BK333">
        <v>3</v>
      </c>
      <c r="BL333" s="4">
        <v>142.31</v>
      </c>
      <c r="BM333" s="4">
        <v>21.35</v>
      </c>
      <c r="BN333" s="4">
        <v>163.66</v>
      </c>
      <c r="BO333" s="4">
        <v>163.66</v>
      </c>
      <c r="BQ333" t="s">
        <v>1174</v>
      </c>
      <c r="BR333" t="s">
        <v>320</v>
      </c>
      <c r="BS333" s="1">
        <v>45763</v>
      </c>
      <c r="BT333" s="2">
        <v>0.4861111111111111</v>
      </c>
      <c r="BU333" t="s">
        <v>1175</v>
      </c>
      <c r="BV333" t="s">
        <v>74</v>
      </c>
      <c r="BY333">
        <v>14762.48</v>
      </c>
      <c r="CC333" t="s">
        <v>547</v>
      </c>
      <c r="CD333">
        <v>9301</v>
      </c>
      <c r="CE333" t="s">
        <v>755</v>
      </c>
      <c r="CF333" s="1">
        <v>45764</v>
      </c>
      <c r="CI333">
        <v>4</v>
      </c>
      <c r="CJ333">
        <v>2</v>
      </c>
      <c r="CK333">
        <v>41</v>
      </c>
      <c r="CL333" t="s">
        <v>66</v>
      </c>
    </row>
    <row r="334" spans="1:90" x14ac:dyDescent="0.3">
      <c r="A334" t="s">
        <v>315</v>
      </c>
      <c r="B334" t="s">
        <v>316</v>
      </c>
      <c r="C334" t="s">
        <v>59</v>
      </c>
      <c r="E334" t="str">
        <f>"009945075995"</f>
        <v>009945075995</v>
      </c>
      <c r="F334" s="1">
        <v>45761</v>
      </c>
      <c r="G334">
        <v>202601</v>
      </c>
      <c r="H334" t="s">
        <v>142</v>
      </c>
      <c r="I334" t="s">
        <v>143</v>
      </c>
      <c r="J334" t="s">
        <v>490</v>
      </c>
      <c r="K334" t="s">
        <v>62</v>
      </c>
      <c r="L334" t="s">
        <v>546</v>
      </c>
      <c r="M334" t="s">
        <v>547</v>
      </c>
      <c r="N334" t="s">
        <v>491</v>
      </c>
      <c r="O334" t="s">
        <v>65</v>
      </c>
      <c r="P334" t="str">
        <f>"NA                            "</f>
        <v xml:space="preserve">NA                            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22.11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0</v>
      </c>
      <c r="AY334">
        <v>0</v>
      </c>
      <c r="AZ334">
        <v>0</v>
      </c>
      <c r="BA334">
        <v>0</v>
      </c>
      <c r="BB334">
        <v>0</v>
      </c>
      <c r="BC334">
        <v>0</v>
      </c>
      <c r="BD334">
        <v>0</v>
      </c>
      <c r="BE334">
        <v>0</v>
      </c>
      <c r="BF334">
        <v>0</v>
      </c>
      <c r="BG334">
        <v>0</v>
      </c>
      <c r="BH334">
        <v>1</v>
      </c>
      <c r="BI334">
        <v>1</v>
      </c>
      <c r="BJ334">
        <v>0.2</v>
      </c>
      <c r="BK334">
        <v>1</v>
      </c>
      <c r="BL334" s="4">
        <v>70.709999999999994</v>
      </c>
      <c r="BM334" s="4">
        <v>10.61</v>
      </c>
      <c r="BN334" s="4">
        <v>81.319999999999993</v>
      </c>
      <c r="BO334" s="4">
        <v>81.319999999999993</v>
      </c>
      <c r="BQ334" t="s">
        <v>671</v>
      </c>
      <c r="BR334" t="s">
        <v>973</v>
      </c>
      <c r="BS334" s="1">
        <v>45764</v>
      </c>
      <c r="BT334" s="2">
        <v>0.49305555555555558</v>
      </c>
      <c r="BU334" t="s">
        <v>1176</v>
      </c>
      <c r="BV334" t="s">
        <v>66</v>
      </c>
      <c r="BW334" t="s">
        <v>292</v>
      </c>
      <c r="BX334" t="s">
        <v>531</v>
      </c>
      <c r="BY334">
        <v>1200</v>
      </c>
      <c r="BZ334" t="s">
        <v>79</v>
      </c>
      <c r="CC334" t="s">
        <v>547</v>
      </c>
      <c r="CD334">
        <v>9300</v>
      </c>
      <c r="CE334" t="s">
        <v>236</v>
      </c>
      <c r="CF334" s="1">
        <v>45764</v>
      </c>
      <c r="CI334">
        <v>1</v>
      </c>
      <c r="CJ334">
        <v>3</v>
      </c>
      <c r="CK334">
        <v>21</v>
      </c>
      <c r="CL334" t="s">
        <v>66</v>
      </c>
    </row>
    <row r="335" spans="1:90" x14ac:dyDescent="0.3">
      <c r="A335" t="s">
        <v>315</v>
      </c>
      <c r="B335" t="s">
        <v>316</v>
      </c>
      <c r="C335" t="s">
        <v>59</v>
      </c>
      <c r="E335" t="str">
        <f>"009945075994"</f>
        <v>009945075994</v>
      </c>
      <c r="F335" s="1">
        <v>45761</v>
      </c>
      <c r="G335">
        <v>202601</v>
      </c>
      <c r="H335" t="s">
        <v>142</v>
      </c>
      <c r="I335" t="s">
        <v>143</v>
      </c>
      <c r="J335" t="s">
        <v>490</v>
      </c>
      <c r="K335" t="s">
        <v>62</v>
      </c>
      <c r="L335" t="s">
        <v>89</v>
      </c>
      <c r="M335" t="s">
        <v>90</v>
      </c>
      <c r="N335" t="s">
        <v>491</v>
      </c>
      <c r="O335" t="s">
        <v>65</v>
      </c>
      <c r="P335" t="str">
        <f>"NA                            "</f>
        <v xml:space="preserve">NA                            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22.11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1</v>
      </c>
      <c r="BI335">
        <v>1</v>
      </c>
      <c r="BJ335">
        <v>0.2</v>
      </c>
      <c r="BK335">
        <v>1</v>
      </c>
      <c r="BL335" s="4">
        <v>70.709999999999994</v>
      </c>
      <c r="BM335" s="4">
        <v>10.61</v>
      </c>
      <c r="BN335" s="4">
        <v>81.319999999999993</v>
      </c>
      <c r="BO335" s="4">
        <v>81.319999999999993</v>
      </c>
      <c r="BQ335" t="s">
        <v>1177</v>
      </c>
      <c r="BR335" t="s">
        <v>1178</v>
      </c>
      <c r="BS335" s="1">
        <v>45763</v>
      </c>
      <c r="BT335" s="2">
        <v>0.5</v>
      </c>
      <c r="BU335" t="s">
        <v>1179</v>
      </c>
      <c r="BV335" t="s">
        <v>66</v>
      </c>
      <c r="BW335" t="s">
        <v>311</v>
      </c>
      <c r="BX335" t="s">
        <v>113</v>
      </c>
      <c r="BY335">
        <v>1200</v>
      </c>
      <c r="BZ335" t="s">
        <v>79</v>
      </c>
      <c r="CC335" t="s">
        <v>90</v>
      </c>
      <c r="CD335">
        <v>4000</v>
      </c>
      <c r="CE335" t="s">
        <v>236</v>
      </c>
      <c r="CF335" s="1">
        <v>45764</v>
      </c>
      <c r="CI335">
        <v>1</v>
      </c>
      <c r="CJ335">
        <v>2</v>
      </c>
      <c r="CK335">
        <v>21</v>
      </c>
      <c r="CL335" t="s">
        <v>66</v>
      </c>
    </row>
    <row r="336" spans="1:90" x14ac:dyDescent="0.3">
      <c r="A336" t="s">
        <v>315</v>
      </c>
      <c r="B336" t="s">
        <v>316</v>
      </c>
      <c r="C336" t="s">
        <v>59</v>
      </c>
      <c r="E336" t="str">
        <f>"009945075997"</f>
        <v>009945075997</v>
      </c>
      <c r="F336" s="1">
        <v>45761</v>
      </c>
      <c r="G336">
        <v>202601</v>
      </c>
      <c r="H336" t="s">
        <v>142</v>
      </c>
      <c r="I336" t="s">
        <v>143</v>
      </c>
      <c r="J336" t="s">
        <v>490</v>
      </c>
      <c r="K336" t="s">
        <v>62</v>
      </c>
      <c r="L336" t="s">
        <v>206</v>
      </c>
      <c r="M336" t="s">
        <v>207</v>
      </c>
      <c r="N336" t="s">
        <v>1180</v>
      </c>
      <c r="O336" t="s">
        <v>65</v>
      </c>
      <c r="P336" t="str">
        <f>"NA                            "</f>
        <v xml:space="preserve">NA                            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22.11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1</v>
      </c>
      <c r="BI336">
        <v>1</v>
      </c>
      <c r="BJ336">
        <v>0.2</v>
      </c>
      <c r="BK336">
        <v>1</v>
      </c>
      <c r="BL336" s="4">
        <v>70.709999999999994</v>
      </c>
      <c r="BM336" s="4">
        <v>10.61</v>
      </c>
      <c r="BN336" s="4">
        <v>81.319999999999993</v>
      </c>
      <c r="BO336" s="4">
        <v>81.319999999999993</v>
      </c>
      <c r="BQ336" t="s">
        <v>1181</v>
      </c>
      <c r="BR336" t="s">
        <v>973</v>
      </c>
      <c r="BS336" s="1">
        <v>45763</v>
      </c>
      <c r="BT336" s="2">
        <v>0.42499999999999999</v>
      </c>
      <c r="BU336" t="s">
        <v>1182</v>
      </c>
      <c r="BV336" t="s">
        <v>66</v>
      </c>
      <c r="BY336">
        <v>1200</v>
      </c>
      <c r="BZ336" t="s">
        <v>79</v>
      </c>
      <c r="CA336" t="s">
        <v>208</v>
      </c>
      <c r="CC336" t="s">
        <v>207</v>
      </c>
      <c r="CD336" s="3" t="s">
        <v>287</v>
      </c>
      <c r="CE336" t="s">
        <v>236</v>
      </c>
      <c r="CF336" s="1">
        <v>45763</v>
      </c>
      <c r="CI336">
        <v>1</v>
      </c>
      <c r="CJ336">
        <v>2</v>
      </c>
      <c r="CK336">
        <v>21</v>
      </c>
      <c r="CL336" t="s">
        <v>66</v>
      </c>
    </row>
    <row r="337" spans="1:90" x14ac:dyDescent="0.3">
      <c r="A337" t="s">
        <v>315</v>
      </c>
      <c r="B337" t="s">
        <v>316</v>
      </c>
      <c r="C337" t="s">
        <v>59</v>
      </c>
      <c r="E337" t="str">
        <f>"009945075996"</f>
        <v>009945075996</v>
      </c>
      <c r="F337" s="1">
        <v>45761</v>
      </c>
      <c r="G337">
        <v>202601</v>
      </c>
      <c r="H337" t="s">
        <v>142</v>
      </c>
      <c r="I337" t="s">
        <v>143</v>
      </c>
      <c r="J337" t="s">
        <v>490</v>
      </c>
      <c r="K337" t="s">
        <v>62</v>
      </c>
      <c r="L337" t="s">
        <v>100</v>
      </c>
      <c r="M337" t="s">
        <v>101</v>
      </c>
      <c r="N337" t="s">
        <v>450</v>
      </c>
      <c r="O337" t="s">
        <v>65</v>
      </c>
      <c r="P337" t="str">
        <f>"NA                            "</f>
        <v xml:space="preserve">NA                            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22.11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1</v>
      </c>
      <c r="BI337">
        <v>1</v>
      </c>
      <c r="BJ337">
        <v>0.2</v>
      </c>
      <c r="BK337">
        <v>1</v>
      </c>
      <c r="BL337" s="4">
        <v>70.709999999999994</v>
      </c>
      <c r="BM337" s="4">
        <v>10.61</v>
      </c>
      <c r="BN337" s="4">
        <v>81.319999999999993</v>
      </c>
      <c r="BO337" s="4">
        <v>81.319999999999993</v>
      </c>
      <c r="BQ337" t="s">
        <v>1183</v>
      </c>
      <c r="BR337" t="s">
        <v>672</v>
      </c>
      <c r="BS337" t="s">
        <v>81</v>
      </c>
      <c r="BY337">
        <v>1200</v>
      </c>
      <c r="BZ337" t="s">
        <v>79</v>
      </c>
      <c r="CC337" t="s">
        <v>101</v>
      </c>
      <c r="CD337">
        <v>6000</v>
      </c>
      <c r="CE337" t="s">
        <v>236</v>
      </c>
      <c r="CI337">
        <v>1</v>
      </c>
      <c r="CJ337" t="s">
        <v>81</v>
      </c>
      <c r="CK337">
        <v>21</v>
      </c>
      <c r="CL337" t="s">
        <v>66</v>
      </c>
    </row>
    <row r="338" spans="1:90" x14ac:dyDescent="0.3">
      <c r="A338" t="s">
        <v>315</v>
      </c>
      <c r="B338" t="s">
        <v>316</v>
      </c>
      <c r="C338" t="s">
        <v>59</v>
      </c>
      <c r="E338" t="str">
        <f>"009945075998"</f>
        <v>009945075998</v>
      </c>
      <c r="F338" s="1">
        <v>45761</v>
      </c>
      <c r="G338">
        <v>202601</v>
      </c>
      <c r="H338" t="s">
        <v>142</v>
      </c>
      <c r="I338" t="s">
        <v>143</v>
      </c>
      <c r="J338" t="s">
        <v>490</v>
      </c>
      <c r="K338" t="s">
        <v>62</v>
      </c>
      <c r="L338" t="s">
        <v>77</v>
      </c>
      <c r="M338" t="s">
        <v>78</v>
      </c>
      <c r="N338" t="s">
        <v>491</v>
      </c>
      <c r="O338" t="s">
        <v>98</v>
      </c>
      <c r="P338" t="str">
        <f>"NA                            "</f>
        <v xml:space="preserve">NA                            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5.57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42.76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1</v>
      </c>
      <c r="BI338">
        <v>7</v>
      </c>
      <c r="BJ338">
        <v>9.6999999999999993</v>
      </c>
      <c r="BK338">
        <v>10</v>
      </c>
      <c r="BL338" s="4">
        <v>142.31</v>
      </c>
      <c r="BM338" s="4">
        <v>21.35</v>
      </c>
      <c r="BN338" s="4">
        <v>163.66</v>
      </c>
      <c r="BO338" s="4">
        <v>163.66</v>
      </c>
      <c r="BQ338" t="s">
        <v>1184</v>
      </c>
      <c r="BR338" t="s">
        <v>979</v>
      </c>
      <c r="BS338" t="s">
        <v>81</v>
      </c>
      <c r="BY338">
        <v>48510</v>
      </c>
      <c r="BZ338" t="s">
        <v>114</v>
      </c>
      <c r="CC338" t="s">
        <v>78</v>
      </c>
      <c r="CD338">
        <v>7460</v>
      </c>
      <c r="CE338" t="s">
        <v>236</v>
      </c>
      <c r="CI338">
        <v>3</v>
      </c>
      <c r="CJ338" t="s">
        <v>81</v>
      </c>
      <c r="CK338">
        <v>41</v>
      </c>
      <c r="CL338" t="s">
        <v>66</v>
      </c>
    </row>
    <row r="339" spans="1:90" x14ac:dyDescent="0.3">
      <c r="A339" t="s">
        <v>315</v>
      </c>
      <c r="B339" t="s">
        <v>316</v>
      </c>
      <c r="C339" t="s">
        <v>59</v>
      </c>
      <c r="E339" t="str">
        <f>"009944125763"</f>
        <v>009944125763</v>
      </c>
      <c r="F339" s="1">
        <v>45761</v>
      </c>
      <c r="G339">
        <v>202601</v>
      </c>
      <c r="H339" t="s">
        <v>546</v>
      </c>
      <c r="I339" t="s">
        <v>547</v>
      </c>
      <c r="J339" t="s">
        <v>450</v>
      </c>
      <c r="K339" t="s">
        <v>62</v>
      </c>
      <c r="L339" t="s">
        <v>142</v>
      </c>
      <c r="M339" t="s">
        <v>143</v>
      </c>
      <c r="N339" t="s">
        <v>450</v>
      </c>
      <c r="O339" t="s">
        <v>65</v>
      </c>
      <c r="P339" t="str">
        <f>"                              "</f>
        <v xml:space="preserve">                              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27.64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1</v>
      </c>
      <c r="BI339">
        <v>2</v>
      </c>
      <c r="BJ339">
        <v>2.4</v>
      </c>
      <c r="BK339">
        <v>2.5</v>
      </c>
      <c r="BL339" s="4">
        <v>88.38</v>
      </c>
      <c r="BM339" s="4">
        <v>13.26</v>
      </c>
      <c r="BN339" s="4">
        <v>101.64</v>
      </c>
      <c r="BO339" s="4">
        <v>101.64</v>
      </c>
      <c r="BQ339" t="s">
        <v>979</v>
      </c>
      <c r="BR339" t="s">
        <v>671</v>
      </c>
      <c r="BS339" s="1">
        <v>45762</v>
      </c>
      <c r="BT339" s="2">
        <v>0.35902777777777778</v>
      </c>
      <c r="BU339" t="s">
        <v>1185</v>
      </c>
      <c r="BV339" t="s">
        <v>74</v>
      </c>
      <c r="BY339">
        <v>12000</v>
      </c>
      <c r="BZ339" t="s">
        <v>79</v>
      </c>
      <c r="CA339" t="s">
        <v>453</v>
      </c>
      <c r="CC339" t="s">
        <v>143</v>
      </c>
      <c r="CD339" s="3" t="s">
        <v>499</v>
      </c>
      <c r="CE339" t="s">
        <v>76</v>
      </c>
      <c r="CF339" s="1">
        <v>45762</v>
      </c>
      <c r="CI339">
        <v>1</v>
      </c>
      <c r="CJ339">
        <v>1</v>
      </c>
      <c r="CK339">
        <v>21</v>
      </c>
      <c r="CL339" t="s">
        <v>66</v>
      </c>
    </row>
    <row r="340" spans="1:90" x14ac:dyDescent="0.3">
      <c r="A340" t="s">
        <v>315</v>
      </c>
      <c r="B340" t="s">
        <v>316</v>
      </c>
      <c r="C340" t="s">
        <v>59</v>
      </c>
      <c r="E340" t="str">
        <f>"009944624809"</f>
        <v>009944624809</v>
      </c>
      <c r="F340" s="1">
        <v>45762</v>
      </c>
      <c r="G340">
        <v>202601</v>
      </c>
      <c r="H340" t="s">
        <v>142</v>
      </c>
      <c r="I340" t="s">
        <v>143</v>
      </c>
      <c r="J340" t="s">
        <v>490</v>
      </c>
      <c r="K340" t="s">
        <v>62</v>
      </c>
      <c r="L340" t="s">
        <v>237</v>
      </c>
      <c r="M340" t="s">
        <v>238</v>
      </c>
      <c r="N340" t="s">
        <v>1186</v>
      </c>
      <c r="O340" t="s">
        <v>65</v>
      </c>
      <c r="P340" t="str">
        <f>"NA                            "</f>
        <v xml:space="preserve">NA                            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42.84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1</v>
      </c>
      <c r="BI340">
        <v>1</v>
      </c>
      <c r="BJ340">
        <v>0.2</v>
      </c>
      <c r="BK340">
        <v>1</v>
      </c>
      <c r="BL340" s="4">
        <v>137</v>
      </c>
      <c r="BM340" s="4">
        <v>20.55</v>
      </c>
      <c r="BN340" s="4">
        <v>157.55000000000001</v>
      </c>
      <c r="BO340" s="4">
        <v>157.55000000000001</v>
      </c>
      <c r="BQ340" t="s">
        <v>1187</v>
      </c>
      <c r="BR340" t="s">
        <v>1188</v>
      </c>
      <c r="BS340" s="1">
        <v>45763</v>
      </c>
      <c r="BT340" s="2">
        <v>0.60416666666666663</v>
      </c>
      <c r="BU340" t="s">
        <v>135</v>
      </c>
      <c r="BV340" t="s">
        <v>74</v>
      </c>
      <c r="BY340">
        <v>1200</v>
      </c>
      <c r="BZ340" t="s">
        <v>79</v>
      </c>
      <c r="CA340" t="s">
        <v>277</v>
      </c>
      <c r="CC340" t="s">
        <v>238</v>
      </c>
      <c r="CD340">
        <v>3370</v>
      </c>
      <c r="CE340" t="s">
        <v>76</v>
      </c>
      <c r="CF340" s="1">
        <v>45764</v>
      </c>
      <c r="CI340">
        <v>2</v>
      </c>
      <c r="CJ340">
        <v>1</v>
      </c>
      <c r="CK340">
        <v>23</v>
      </c>
      <c r="CL340" t="s">
        <v>66</v>
      </c>
    </row>
    <row r="341" spans="1:90" x14ac:dyDescent="0.3">
      <c r="A341" t="s">
        <v>315</v>
      </c>
      <c r="B341" t="s">
        <v>316</v>
      </c>
      <c r="C341" t="s">
        <v>59</v>
      </c>
      <c r="E341" t="str">
        <f>"009945075993"</f>
        <v>009945075993</v>
      </c>
      <c r="F341" s="1">
        <v>45762</v>
      </c>
      <c r="G341">
        <v>202601</v>
      </c>
      <c r="H341" t="s">
        <v>142</v>
      </c>
      <c r="I341" t="s">
        <v>143</v>
      </c>
      <c r="J341" t="s">
        <v>490</v>
      </c>
      <c r="K341" t="s">
        <v>62</v>
      </c>
      <c r="L341" t="s">
        <v>77</v>
      </c>
      <c r="M341" t="s">
        <v>78</v>
      </c>
      <c r="N341" t="s">
        <v>750</v>
      </c>
      <c r="O341" t="s">
        <v>65</v>
      </c>
      <c r="P341" t="str">
        <f>"NA                            "</f>
        <v xml:space="preserve">NA                            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22.11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0</v>
      </c>
      <c r="BA341">
        <v>0</v>
      </c>
      <c r="BB341">
        <v>0</v>
      </c>
      <c r="BC341">
        <v>0</v>
      </c>
      <c r="BD341">
        <v>0</v>
      </c>
      <c r="BE341">
        <v>0</v>
      </c>
      <c r="BF341">
        <v>0</v>
      </c>
      <c r="BG341">
        <v>0</v>
      </c>
      <c r="BH341">
        <v>1</v>
      </c>
      <c r="BI341">
        <v>1</v>
      </c>
      <c r="BJ341">
        <v>1.8</v>
      </c>
      <c r="BK341">
        <v>2</v>
      </c>
      <c r="BL341" s="4">
        <v>70.709999999999994</v>
      </c>
      <c r="BM341" s="4">
        <v>10.61</v>
      </c>
      <c r="BN341" s="4">
        <v>81.319999999999993</v>
      </c>
      <c r="BO341" s="4">
        <v>81.319999999999993</v>
      </c>
      <c r="BQ341" t="s">
        <v>1189</v>
      </c>
      <c r="BR341" t="s">
        <v>1178</v>
      </c>
      <c r="BS341" s="1">
        <v>45763</v>
      </c>
      <c r="BT341" s="2">
        <v>0.4375</v>
      </c>
      <c r="BU341" t="s">
        <v>263</v>
      </c>
      <c r="BV341" t="s">
        <v>74</v>
      </c>
      <c r="BY341">
        <v>8800</v>
      </c>
      <c r="BZ341" t="s">
        <v>79</v>
      </c>
      <c r="CA341" t="s">
        <v>193</v>
      </c>
      <c r="CC341" t="s">
        <v>78</v>
      </c>
      <c r="CD341">
        <v>7460</v>
      </c>
      <c r="CE341" t="s">
        <v>76</v>
      </c>
      <c r="CF341" s="1">
        <v>45764</v>
      </c>
      <c r="CI341">
        <v>1</v>
      </c>
      <c r="CJ341">
        <v>1</v>
      </c>
      <c r="CK341">
        <v>21</v>
      </c>
      <c r="CL341" t="s">
        <v>66</v>
      </c>
    </row>
    <row r="342" spans="1:90" x14ac:dyDescent="0.3">
      <c r="A342" t="s">
        <v>315</v>
      </c>
      <c r="B342" t="s">
        <v>316</v>
      </c>
      <c r="C342" t="s">
        <v>59</v>
      </c>
      <c r="E342" t="str">
        <f>"GAB2025575"</f>
        <v>GAB2025575</v>
      </c>
      <c r="F342" s="1">
        <v>45762</v>
      </c>
      <c r="G342">
        <v>202601</v>
      </c>
      <c r="H342" t="s">
        <v>77</v>
      </c>
      <c r="I342" t="s">
        <v>78</v>
      </c>
      <c r="J342" t="s">
        <v>317</v>
      </c>
      <c r="K342" t="s">
        <v>62</v>
      </c>
      <c r="L342" t="s">
        <v>91</v>
      </c>
      <c r="M342" t="s">
        <v>92</v>
      </c>
      <c r="N342" t="s">
        <v>1190</v>
      </c>
      <c r="O342" t="s">
        <v>65</v>
      </c>
      <c r="P342" t="str">
        <f>"INV-00034721 031953           "</f>
        <v xml:space="preserve">INV-00034721 031953           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27.64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0</v>
      </c>
      <c r="AU342">
        <v>0</v>
      </c>
      <c r="AV342">
        <v>0</v>
      </c>
      <c r="AW342">
        <v>0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0</v>
      </c>
      <c r="BE342">
        <v>0</v>
      </c>
      <c r="BF342">
        <v>0</v>
      </c>
      <c r="BG342">
        <v>0</v>
      </c>
      <c r="BH342">
        <v>1</v>
      </c>
      <c r="BI342">
        <v>0.2</v>
      </c>
      <c r="BJ342">
        <v>2.2999999999999998</v>
      </c>
      <c r="BK342">
        <v>2.5</v>
      </c>
      <c r="BL342" s="4">
        <v>88.38</v>
      </c>
      <c r="BM342" s="4">
        <v>13.26</v>
      </c>
      <c r="BN342" s="4">
        <v>101.64</v>
      </c>
      <c r="BO342" s="4">
        <v>101.64</v>
      </c>
      <c r="BQ342" t="s">
        <v>612</v>
      </c>
      <c r="BR342" t="s">
        <v>320</v>
      </c>
      <c r="BS342" s="1">
        <v>45763</v>
      </c>
      <c r="BT342" s="2">
        <v>0.43819444444444444</v>
      </c>
      <c r="BU342" t="s">
        <v>1191</v>
      </c>
      <c r="BV342" t="s">
        <v>66</v>
      </c>
      <c r="BW342" t="s">
        <v>71</v>
      </c>
      <c r="BX342" t="s">
        <v>198</v>
      </c>
      <c r="BY342">
        <v>11529.39</v>
      </c>
      <c r="BZ342" t="s">
        <v>79</v>
      </c>
      <c r="CA342" t="s">
        <v>844</v>
      </c>
      <c r="CC342" t="s">
        <v>92</v>
      </c>
      <c r="CD342" s="3" t="s">
        <v>94</v>
      </c>
      <c r="CE342" t="s">
        <v>1192</v>
      </c>
      <c r="CF342" s="1">
        <v>45763</v>
      </c>
      <c r="CI342">
        <v>1</v>
      </c>
      <c r="CJ342">
        <v>1</v>
      </c>
      <c r="CK342">
        <v>21</v>
      </c>
      <c r="CL342" t="s">
        <v>66</v>
      </c>
    </row>
    <row r="343" spans="1:90" x14ac:dyDescent="0.3">
      <c r="A343" t="s">
        <v>315</v>
      </c>
      <c r="B343" t="s">
        <v>316</v>
      </c>
      <c r="C343" t="s">
        <v>59</v>
      </c>
      <c r="E343" t="str">
        <f>"GAB2025576"</f>
        <v>GAB2025576</v>
      </c>
      <c r="F343" s="1">
        <v>45762</v>
      </c>
      <c r="G343">
        <v>202601</v>
      </c>
      <c r="H343" t="s">
        <v>77</v>
      </c>
      <c r="I343" t="s">
        <v>78</v>
      </c>
      <c r="J343" t="s">
        <v>317</v>
      </c>
      <c r="K343" t="s">
        <v>62</v>
      </c>
      <c r="L343" t="s">
        <v>63</v>
      </c>
      <c r="M343" t="s">
        <v>64</v>
      </c>
      <c r="N343" t="s">
        <v>336</v>
      </c>
      <c r="O343" t="s">
        <v>65</v>
      </c>
      <c r="P343" t="str">
        <f>"INV-00116991 CT093934         "</f>
        <v xml:space="preserve">INV-00116991 CT093934         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22.11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1</v>
      </c>
      <c r="BI343">
        <v>0.7</v>
      </c>
      <c r="BJ343">
        <v>1.7</v>
      </c>
      <c r="BK343">
        <v>2</v>
      </c>
      <c r="BL343" s="4">
        <v>70.709999999999994</v>
      </c>
      <c r="BM343" s="4">
        <v>10.61</v>
      </c>
      <c r="BN343" s="4">
        <v>81.319999999999993</v>
      </c>
      <c r="BO343" s="4">
        <v>81.319999999999993</v>
      </c>
      <c r="BR343" t="s">
        <v>320</v>
      </c>
      <c r="BS343" s="1">
        <v>45763</v>
      </c>
      <c r="BT343" s="2">
        <v>0.4777777777777778</v>
      </c>
      <c r="BU343" t="s">
        <v>1193</v>
      </c>
      <c r="BV343" t="s">
        <v>66</v>
      </c>
      <c r="BY343">
        <v>8446.68</v>
      </c>
      <c r="BZ343" t="s">
        <v>79</v>
      </c>
      <c r="CA343" t="s">
        <v>299</v>
      </c>
      <c r="CC343" t="s">
        <v>64</v>
      </c>
      <c r="CD343">
        <v>5200</v>
      </c>
      <c r="CE343" t="s">
        <v>1194</v>
      </c>
      <c r="CF343" s="1">
        <v>45763</v>
      </c>
      <c r="CI343">
        <v>1</v>
      </c>
      <c r="CJ343">
        <v>1</v>
      </c>
      <c r="CK343">
        <v>21</v>
      </c>
      <c r="CL343" t="s">
        <v>66</v>
      </c>
    </row>
    <row r="344" spans="1:90" x14ac:dyDescent="0.3">
      <c r="A344" t="s">
        <v>315</v>
      </c>
      <c r="B344" t="s">
        <v>316</v>
      </c>
      <c r="C344" t="s">
        <v>59</v>
      </c>
      <c r="E344" t="str">
        <f>"GAB2025577"</f>
        <v>GAB2025577</v>
      </c>
      <c r="F344" s="1">
        <v>45762</v>
      </c>
      <c r="G344">
        <v>202601</v>
      </c>
      <c r="H344" t="s">
        <v>77</v>
      </c>
      <c r="I344" t="s">
        <v>78</v>
      </c>
      <c r="J344" t="s">
        <v>317</v>
      </c>
      <c r="K344" t="s">
        <v>62</v>
      </c>
      <c r="L344" t="s">
        <v>77</v>
      </c>
      <c r="M344" t="s">
        <v>78</v>
      </c>
      <c r="N344" t="s">
        <v>1195</v>
      </c>
      <c r="O344" t="s">
        <v>65</v>
      </c>
      <c r="P344" t="str">
        <f>"INV-00116992 CT093928         "</f>
        <v xml:space="preserve">INV-00116992 CT093928         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17.27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1</v>
      </c>
      <c r="BI344">
        <v>0.2</v>
      </c>
      <c r="BJ344">
        <v>1.9</v>
      </c>
      <c r="BK344">
        <v>2</v>
      </c>
      <c r="BL344" s="4">
        <v>55.23</v>
      </c>
      <c r="BM344" s="4">
        <v>8.2799999999999994</v>
      </c>
      <c r="BN344" s="4">
        <v>63.51</v>
      </c>
      <c r="BO344" s="4">
        <v>63.51</v>
      </c>
      <c r="BQ344" t="s">
        <v>1196</v>
      </c>
      <c r="BR344" t="s">
        <v>320</v>
      </c>
      <c r="BS344" s="1">
        <v>45763</v>
      </c>
      <c r="BT344" s="2">
        <v>0.51944444444444449</v>
      </c>
      <c r="BU344" t="s">
        <v>1197</v>
      </c>
      <c r="BV344" t="s">
        <v>66</v>
      </c>
      <c r="BW344" t="s">
        <v>177</v>
      </c>
      <c r="BX344" t="s">
        <v>461</v>
      </c>
      <c r="BY344">
        <v>9334.32</v>
      </c>
      <c r="BZ344" t="s">
        <v>79</v>
      </c>
      <c r="CC344" t="s">
        <v>78</v>
      </c>
      <c r="CD344">
        <v>8001</v>
      </c>
      <c r="CE344" t="s">
        <v>1192</v>
      </c>
      <c r="CF344" s="1">
        <v>45764</v>
      </c>
      <c r="CI344">
        <v>1</v>
      </c>
      <c r="CJ344">
        <v>1</v>
      </c>
      <c r="CK344">
        <v>22</v>
      </c>
      <c r="CL344" t="s">
        <v>66</v>
      </c>
    </row>
    <row r="345" spans="1:90" x14ac:dyDescent="0.3">
      <c r="A345" t="s">
        <v>315</v>
      </c>
      <c r="B345" t="s">
        <v>316</v>
      </c>
      <c r="C345" t="s">
        <v>59</v>
      </c>
      <c r="E345" t="str">
        <f>"GAB2025578"</f>
        <v>GAB2025578</v>
      </c>
      <c r="F345" s="1">
        <v>45762</v>
      </c>
      <c r="G345">
        <v>202601</v>
      </c>
      <c r="H345" t="s">
        <v>77</v>
      </c>
      <c r="I345" t="s">
        <v>78</v>
      </c>
      <c r="J345" t="s">
        <v>317</v>
      </c>
      <c r="K345" t="s">
        <v>62</v>
      </c>
      <c r="L345" t="s">
        <v>260</v>
      </c>
      <c r="M345" t="s">
        <v>261</v>
      </c>
      <c r="N345" t="s">
        <v>726</v>
      </c>
      <c r="O345" t="s">
        <v>65</v>
      </c>
      <c r="P345" t="str">
        <f>"INV-00116988 CT093931         "</f>
        <v xml:space="preserve">INV-00116988 CT093931         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27.64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1</v>
      </c>
      <c r="BI345">
        <v>0.3</v>
      </c>
      <c r="BJ345">
        <v>2.2999999999999998</v>
      </c>
      <c r="BK345">
        <v>2.5</v>
      </c>
      <c r="BL345" s="4">
        <v>88.38</v>
      </c>
      <c r="BM345" s="4">
        <v>13.26</v>
      </c>
      <c r="BN345" s="4">
        <v>101.64</v>
      </c>
      <c r="BO345" s="4">
        <v>101.64</v>
      </c>
      <c r="BR345" t="s">
        <v>320</v>
      </c>
      <c r="BS345" s="1">
        <v>45763</v>
      </c>
      <c r="BT345" s="2">
        <v>0.3923611111111111</v>
      </c>
      <c r="BU345" t="s">
        <v>1198</v>
      </c>
      <c r="BV345" t="s">
        <v>74</v>
      </c>
      <c r="BY345">
        <v>11340</v>
      </c>
      <c r="BZ345" t="s">
        <v>79</v>
      </c>
      <c r="CA345" t="s">
        <v>268</v>
      </c>
      <c r="CC345" t="s">
        <v>261</v>
      </c>
      <c r="CD345">
        <v>2146</v>
      </c>
      <c r="CE345" t="s">
        <v>1199</v>
      </c>
      <c r="CF345" s="1">
        <v>45763</v>
      </c>
      <c r="CI345">
        <v>1</v>
      </c>
      <c r="CJ345">
        <v>1</v>
      </c>
      <c r="CK345">
        <v>21</v>
      </c>
      <c r="CL345" t="s">
        <v>66</v>
      </c>
    </row>
    <row r="346" spans="1:90" x14ac:dyDescent="0.3">
      <c r="A346" t="s">
        <v>315</v>
      </c>
      <c r="B346" t="s">
        <v>316</v>
      </c>
      <c r="C346" t="s">
        <v>59</v>
      </c>
      <c r="E346" t="str">
        <f>"GAB2025579"</f>
        <v>GAB2025579</v>
      </c>
      <c r="F346" s="1">
        <v>45762</v>
      </c>
      <c r="G346">
        <v>202601</v>
      </c>
      <c r="H346" t="s">
        <v>77</v>
      </c>
      <c r="I346" t="s">
        <v>78</v>
      </c>
      <c r="J346" t="s">
        <v>317</v>
      </c>
      <c r="K346" t="s">
        <v>62</v>
      </c>
      <c r="L346" t="s">
        <v>160</v>
      </c>
      <c r="M346" t="s">
        <v>161</v>
      </c>
      <c r="N346" t="s">
        <v>566</v>
      </c>
      <c r="O346" t="s">
        <v>65</v>
      </c>
      <c r="P346" t="str">
        <f>"INV-00116989 CT093932         "</f>
        <v xml:space="preserve">INV-00116989 CT093932         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42.84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1</v>
      </c>
      <c r="BI346">
        <v>0.1</v>
      </c>
      <c r="BJ346">
        <v>1.8</v>
      </c>
      <c r="BK346">
        <v>2</v>
      </c>
      <c r="BL346" s="4">
        <v>137</v>
      </c>
      <c r="BM346" s="4">
        <v>20.55</v>
      </c>
      <c r="BN346" s="4">
        <v>157.55000000000001</v>
      </c>
      <c r="BO346" s="4">
        <v>157.55000000000001</v>
      </c>
      <c r="BQ346" t="s">
        <v>567</v>
      </c>
      <c r="BR346" t="s">
        <v>320</v>
      </c>
      <c r="BS346" s="1">
        <v>45763</v>
      </c>
      <c r="BT346" s="2">
        <v>0.37361111111111112</v>
      </c>
      <c r="BU346" t="s">
        <v>568</v>
      </c>
      <c r="BV346" t="s">
        <v>74</v>
      </c>
      <c r="BY346">
        <v>8816.3700000000008</v>
      </c>
      <c r="BZ346" t="s">
        <v>79</v>
      </c>
      <c r="CA346" t="s">
        <v>569</v>
      </c>
      <c r="CC346" t="s">
        <v>161</v>
      </c>
      <c r="CD346">
        <v>1900</v>
      </c>
      <c r="CE346" t="s">
        <v>1199</v>
      </c>
      <c r="CF346" s="1">
        <v>45763</v>
      </c>
      <c r="CI346">
        <v>1</v>
      </c>
      <c r="CJ346">
        <v>1</v>
      </c>
      <c r="CK346">
        <v>23</v>
      </c>
      <c r="CL346" t="s">
        <v>66</v>
      </c>
    </row>
    <row r="347" spans="1:90" x14ac:dyDescent="0.3">
      <c r="A347" t="s">
        <v>315</v>
      </c>
      <c r="B347" t="s">
        <v>316</v>
      </c>
      <c r="C347" t="s">
        <v>59</v>
      </c>
      <c r="E347" t="str">
        <f>"GAB2025580"</f>
        <v>GAB2025580</v>
      </c>
      <c r="F347" s="1">
        <v>45762</v>
      </c>
      <c r="G347">
        <v>202601</v>
      </c>
      <c r="H347" t="s">
        <v>77</v>
      </c>
      <c r="I347" t="s">
        <v>78</v>
      </c>
      <c r="J347" t="s">
        <v>317</v>
      </c>
      <c r="K347" t="s">
        <v>62</v>
      </c>
      <c r="L347" t="s">
        <v>95</v>
      </c>
      <c r="M347" t="s">
        <v>96</v>
      </c>
      <c r="N347" t="s">
        <v>664</v>
      </c>
      <c r="O347" t="s">
        <v>65</v>
      </c>
      <c r="P347" t="str">
        <f>"INV-00116995 CT093951         "</f>
        <v xml:space="preserve">INV-00116995 CT093951         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27.64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</v>
      </c>
      <c r="BI347">
        <v>0.2</v>
      </c>
      <c r="BJ347">
        <v>2.5</v>
      </c>
      <c r="BK347">
        <v>2.5</v>
      </c>
      <c r="BL347" s="4">
        <v>88.38</v>
      </c>
      <c r="BM347" s="4">
        <v>13.26</v>
      </c>
      <c r="BN347" s="4">
        <v>101.64</v>
      </c>
      <c r="BO347" s="4">
        <v>101.64</v>
      </c>
      <c r="BQ347" t="s">
        <v>665</v>
      </c>
      <c r="BR347" t="s">
        <v>320</v>
      </c>
      <c r="BS347" s="1">
        <v>45763</v>
      </c>
      <c r="BT347" s="2">
        <v>0.40555555555555556</v>
      </c>
      <c r="BU347" t="s">
        <v>1200</v>
      </c>
      <c r="BV347" t="s">
        <v>74</v>
      </c>
      <c r="BY347">
        <v>12728.83</v>
      </c>
      <c r="BZ347" t="s">
        <v>79</v>
      </c>
      <c r="CA347" t="s">
        <v>445</v>
      </c>
      <c r="CC347" t="s">
        <v>96</v>
      </c>
      <c r="CD347">
        <v>2021</v>
      </c>
      <c r="CE347" t="s">
        <v>1201</v>
      </c>
      <c r="CF347" s="1">
        <v>45763</v>
      </c>
      <c r="CI347">
        <v>1</v>
      </c>
      <c r="CJ347">
        <v>1</v>
      </c>
      <c r="CK347">
        <v>21</v>
      </c>
      <c r="CL347" t="s">
        <v>66</v>
      </c>
    </row>
    <row r="348" spans="1:90" x14ac:dyDescent="0.3">
      <c r="A348" t="s">
        <v>315</v>
      </c>
      <c r="B348" t="s">
        <v>316</v>
      </c>
      <c r="C348" t="s">
        <v>59</v>
      </c>
      <c r="E348" t="str">
        <f>"GAB2025581"</f>
        <v>GAB2025581</v>
      </c>
      <c r="F348" s="1">
        <v>45762</v>
      </c>
      <c r="G348">
        <v>202601</v>
      </c>
      <c r="H348" t="s">
        <v>77</v>
      </c>
      <c r="I348" t="s">
        <v>78</v>
      </c>
      <c r="J348" t="s">
        <v>317</v>
      </c>
      <c r="K348" t="s">
        <v>62</v>
      </c>
      <c r="L348" t="s">
        <v>419</v>
      </c>
      <c r="M348" t="s">
        <v>420</v>
      </c>
      <c r="N348" t="s">
        <v>421</v>
      </c>
      <c r="O348" t="s">
        <v>65</v>
      </c>
      <c r="P348" t="str">
        <f>"INV-00116997 CT093949         "</f>
        <v xml:space="preserve">INV-00116997 CT093949         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62.19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0</v>
      </c>
      <c r="AU348">
        <v>0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0</v>
      </c>
      <c r="BE348">
        <v>0</v>
      </c>
      <c r="BF348">
        <v>0</v>
      </c>
      <c r="BG348">
        <v>0</v>
      </c>
      <c r="BH348">
        <v>1</v>
      </c>
      <c r="BI348">
        <v>0.4</v>
      </c>
      <c r="BJ348">
        <v>2.6</v>
      </c>
      <c r="BK348">
        <v>3</v>
      </c>
      <c r="BL348" s="4">
        <v>198.87</v>
      </c>
      <c r="BM348" s="4">
        <v>29.83</v>
      </c>
      <c r="BN348" s="4">
        <v>228.7</v>
      </c>
      <c r="BO348" s="4">
        <v>228.7</v>
      </c>
      <c r="BQ348" t="s">
        <v>722</v>
      </c>
      <c r="BR348" t="s">
        <v>320</v>
      </c>
      <c r="BS348" s="1">
        <v>45764</v>
      </c>
      <c r="BT348" s="2">
        <v>0.4236111111111111</v>
      </c>
      <c r="BU348" t="s">
        <v>423</v>
      </c>
      <c r="BV348" t="s">
        <v>74</v>
      </c>
      <c r="BY348">
        <v>13240.08</v>
      </c>
      <c r="BZ348" t="s">
        <v>79</v>
      </c>
      <c r="CA348" t="s">
        <v>424</v>
      </c>
      <c r="CC348" t="s">
        <v>420</v>
      </c>
      <c r="CD348" s="3" t="s">
        <v>425</v>
      </c>
      <c r="CE348" t="s">
        <v>1202</v>
      </c>
      <c r="CF348" s="1">
        <v>45764</v>
      </c>
      <c r="CI348">
        <v>2</v>
      </c>
      <c r="CJ348">
        <v>2</v>
      </c>
      <c r="CK348">
        <v>23</v>
      </c>
      <c r="CL348" t="s">
        <v>66</v>
      </c>
    </row>
    <row r="349" spans="1:90" x14ac:dyDescent="0.3">
      <c r="A349" t="s">
        <v>315</v>
      </c>
      <c r="B349" t="s">
        <v>316</v>
      </c>
      <c r="C349" t="s">
        <v>59</v>
      </c>
      <c r="E349" t="str">
        <f>"GAB2025582"</f>
        <v>GAB2025582</v>
      </c>
      <c r="F349" s="1">
        <v>45762</v>
      </c>
      <c r="G349">
        <v>202601</v>
      </c>
      <c r="H349" t="s">
        <v>77</v>
      </c>
      <c r="I349" t="s">
        <v>78</v>
      </c>
      <c r="J349" t="s">
        <v>317</v>
      </c>
      <c r="K349" t="s">
        <v>62</v>
      </c>
      <c r="L349" t="s">
        <v>77</v>
      </c>
      <c r="M349" t="s">
        <v>78</v>
      </c>
      <c r="N349" t="s">
        <v>707</v>
      </c>
      <c r="O349" t="s">
        <v>65</v>
      </c>
      <c r="P349" t="str">
        <f>"INV-00117000 CT093948         "</f>
        <v xml:space="preserve">INV-00117000 CT093948         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17.27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1</v>
      </c>
      <c r="BI349">
        <v>0.2</v>
      </c>
      <c r="BJ349">
        <v>1.9</v>
      </c>
      <c r="BK349">
        <v>2</v>
      </c>
      <c r="BL349" s="4">
        <v>55.23</v>
      </c>
      <c r="BM349" s="4">
        <v>8.2799999999999994</v>
      </c>
      <c r="BN349" s="4">
        <v>63.51</v>
      </c>
      <c r="BO349" s="4">
        <v>63.51</v>
      </c>
      <c r="BQ349" t="s">
        <v>708</v>
      </c>
      <c r="BR349" t="s">
        <v>320</v>
      </c>
      <c r="BS349" s="1">
        <v>45763</v>
      </c>
      <c r="BT349" s="2">
        <v>0.4375</v>
      </c>
      <c r="BU349" t="s">
        <v>954</v>
      </c>
      <c r="BV349" t="s">
        <v>74</v>
      </c>
      <c r="BY349">
        <v>9680.1200000000008</v>
      </c>
      <c r="BZ349" t="s">
        <v>79</v>
      </c>
      <c r="CA349" t="s">
        <v>813</v>
      </c>
      <c r="CC349" t="s">
        <v>78</v>
      </c>
      <c r="CD349">
        <v>7800</v>
      </c>
      <c r="CE349" t="s">
        <v>1192</v>
      </c>
      <c r="CF349" s="1">
        <v>45764</v>
      </c>
      <c r="CI349">
        <v>1</v>
      </c>
      <c r="CJ349">
        <v>1</v>
      </c>
      <c r="CK349">
        <v>22</v>
      </c>
      <c r="CL349" t="s">
        <v>66</v>
      </c>
    </row>
    <row r="350" spans="1:90" x14ac:dyDescent="0.3">
      <c r="A350" t="s">
        <v>315</v>
      </c>
      <c r="B350" t="s">
        <v>316</v>
      </c>
      <c r="C350" t="s">
        <v>59</v>
      </c>
      <c r="E350" t="str">
        <f>"GAB2025583"</f>
        <v>GAB2025583</v>
      </c>
      <c r="F350" s="1">
        <v>45762</v>
      </c>
      <c r="G350">
        <v>202601</v>
      </c>
      <c r="H350" t="s">
        <v>77</v>
      </c>
      <c r="I350" t="s">
        <v>78</v>
      </c>
      <c r="J350" t="s">
        <v>317</v>
      </c>
      <c r="K350" t="s">
        <v>62</v>
      </c>
      <c r="L350" t="s">
        <v>91</v>
      </c>
      <c r="M350" t="s">
        <v>92</v>
      </c>
      <c r="N350" t="s">
        <v>617</v>
      </c>
      <c r="O350" t="s">
        <v>65</v>
      </c>
      <c r="P350" t="str">
        <f>"INV-00117001 CT093950         "</f>
        <v xml:space="preserve">INV-00117001 CT093950         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27.64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1</v>
      </c>
      <c r="BI350">
        <v>0.2</v>
      </c>
      <c r="BJ350">
        <v>2.4</v>
      </c>
      <c r="BK350">
        <v>2.5</v>
      </c>
      <c r="BL350" s="4">
        <v>88.38</v>
      </c>
      <c r="BM350" s="4">
        <v>13.26</v>
      </c>
      <c r="BN350" s="4">
        <v>101.64</v>
      </c>
      <c r="BO350" s="4">
        <v>101.64</v>
      </c>
      <c r="BQ350" t="s">
        <v>618</v>
      </c>
      <c r="BR350" t="s">
        <v>320</v>
      </c>
      <c r="BS350" s="1">
        <v>45763</v>
      </c>
      <c r="BT350" s="2">
        <v>0.45833333333333331</v>
      </c>
      <c r="BU350" t="s">
        <v>1203</v>
      </c>
      <c r="BV350" t="s">
        <v>66</v>
      </c>
      <c r="BW350" t="s">
        <v>71</v>
      </c>
      <c r="BX350" t="s">
        <v>257</v>
      </c>
      <c r="BY350">
        <v>12027.75</v>
      </c>
      <c r="BZ350" t="s">
        <v>79</v>
      </c>
      <c r="CA350" t="s">
        <v>1204</v>
      </c>
      <c r="CC350" t="s">
        <v>92</v>
      </c>
      <c r="CD350" s="3" t="s">
        <v>94</v>
      </c>
      <c r="CE350" t="s">
        <v>1201</v>
      </c>
      <c r="CF350" s="1">
        <v>45763</v>
      </c>
      <c r="CI350">
        <v>1</v>
      </c>
      <c r="CJ350">
        <v>1</v>
      </c>
      <c r="CK350">
        <v>21</v>
      </c>
      <c r="CL350" t="s">
        <v>66</v>
      </c>
    </row>
    <row r="351" spans="1:90" x14ac:dyDescent="0.3">
      <c r="A351" t="s">
        <v>315</v>
      </c>
      <c r="B351" t="s">
        <v>316</v>
      </c>
      <c r="C351" t="s">
        <v>59</v>
      </c>
      <c r="E351" t="str">
        <f>"GAB2025584"</f>
        <v>GAB2025584</v>
      </c>
      <c r="F351" s="1">
        <v>45762</v>
      </c>
      <c r="G351">
        <v>202601</v>
      </c>
      <c r="H351" t="s">
        <v>77</v>
      </c>
      <c r="I351" t="s">
        <v>78</v>
      </c>
      <c r="J351" t="s">
        <v>317</v>
      </c>
      <c r="K351" t="s">
        <v>62</v>
      </c>
      <c r="L351" t="s">
        <v>77</v>
      </c>
      <c r="M351" t="s">
        <v>78</v>
      </c>
      <c r="N351" t="s">
        <v>1083</v>
      </c>
      <c r="O351" t="s">
        <v>65</v>
      </c>
      <c r="P351" t="str">
        <f>"INV-00117002 CT093953         "</f>
        <v xml:space="preserve">INV-00117002 CT093953         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0</v>
      </c>
      <c r="AG351">
        <v>0</v>
      </c>
      <c r="AH351">
        <v>0</v>
      </c>
      <c r="AI351">
        <v>0</v>
      </c>
      <c r="AJ351">
        <v>0</v>
      </c>
      <c r="AK351">
        <v>17.27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1</v>
      </c>
      <c r="BI351">
        <v>0.3</v>
      </c>
      <c r="BJ351">
        <v>2.2000000000000002</v>
      </c>
      <c r="BK351">
        <v>3</v>
      </c>
      <c r="BL351" s="4">
        <v>55.23</v>
      </c>
      <c r="BM351" s="4">
        <v>8.2799999999999994</v>
      </c>
      <c r="BN351" s="4">
        <v>63.51</v>
      </c>
      <c r="BO351" s="4">
        <v>63.51</v>
      </c>
      <c r="BQ351" t="s">
        <v>460</v>
      </c>
      <c r="BR351" t="s">
        <v>320</v>
      </c>
      <c r="BS351" s="1">
        <v>45763</v>
      </c>
      <c r="BT351" s="2">
        <v>0.42916666666666664</v>
      </c>
      <c r="BU351" t="s">
        <v>1205</v>
      </c>
      <c r="BV351" t="s">
        <v>74</v>
      </c>
      <c r="BY351">
        <v>10820.52</v>
      </c>
      <c r="BZ351" t="s">
        <v>79</v>
      </c>
      <c r="CC351" t="s">
        <v>78</v>
      </c>
      <c r="CD351">
        <v>7806</v>
      </c>
      <c r="CE351" t="s">
        <v>1202</v>
      </c>
      <c r="CF351" s="1">
        <v>45764</v>
      </c>
      <c r="CI351">
        <v>1</v>
      </c>
      <c r="CJ351">
        <v>1</v>
      </c>
      <c r="CK351">
        <v>22</v>
      </c>
      <c r="CL351" t="s">
        <v>66</v>
      </c>
    </row>
    <row r="352" spans="1:90" x14ac:dyDescent="0.3">
      <c r="A352" t="s">
        <v>315</v>
      </c>
      <c r="B352" t="s">
        <v>316</v>
      </c>
      <c r="C352" t="s">
        <v>59</v>
      </c>
      <c r="E352" t="str">
        <f>"GAB2025585"</f>
        <v>GAB2025585</v>
      </c>
      <c r="F352" s="1">
        <v>45762</v>
      </c>
      <c r="G352">
        <v>202601</v>
      </c>
      <c r="H352" t="s">
        <v>77</v>
      </c>
      <c r="I352" t="s">
        <v>78</v>
      </c>
      <c r="J352" t="s">
        <v>317</v>
      </c>
      <c r="K352" t="s">
        <v>62</v>
      </c>
      <c r="L352" t="s">
        <v>95</v>
      </c>
      <c r="M352" t="s">
        <v>96</v>
      </c>
      <c r="N352" t="s">
        <v>1206</v>
      </c>
      <c r="O352" t="s">
        <v>65</v>
      </c>
      <c r="P352" t="str">
        <f>"INV-00034719 032000           "</f>
        <v xml:space="preserve">INV-00034719 032000           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27.64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1</v>
      </c>
      <c r="BI352">
        <v>0.1</v>
      </c>
      <c r="BJ352">
        <v>2.2000000000000002</v>
      </c>
      <c r="BK352">
        <v>2.5</v>
      </c>
      <c r="BL352" s="4">
        <v>88.38</v>
      </c>
      <c r="BM352" s="4">
        <v>13.26</v>
      </c>
      <c r="BN352" s="4">
        <v>101.64</v>
      </c>
      <c r="BO352" s="4">
        <v>101.64</v>
      </c>
      <c r="BQ352" t="s">
        <v>1207</v>
      </c>
      <c r="BR352" t="s">
        <v>320</v>
      </c>
      <c r="BS352" s="1">
        <v>45763</v>
      </c>
      <c r="BT352" s="2">
        <v>0.3972222222222222</v>
      </c>
      <c r="BU352" t="s">
        <v>1208</v>
      </c>
      <c r="BV352" t="s">
        <v>74</v>
      </c>
      <c r="BY352">
        <v>10848.98</v>
      </c>
      <c r="BZ352" t="s">
        <v>79</v>
      </c>
      <c r="CA352" t="s">
        <v>301</v>
      </c>
      <c r="CC352" t="s">
        <v>96</v>
      </c>
      <c r="CD352">
        <v>2047</v>
      </c>
      <c r="CE352" t="s">
        <v>1199</v>
      </c>
      <c r="CF352" s="1">
        <v>45763</v>
      </c>
      <c r="CI352">
        <v>1</v>
      </c>
      <c r="CJ352">
        <v>1</v>
      </c>
      <c r="CK352">
        <v>21</v>
      </c>
      <c r="CL352" t="s">
        <v>66</v>
      </c>
    </row>
    <row r="353" spans="1:90" x14ac:dyDescent="0.3">
      <c r="A353" t="s">
        <v>315</v>
      </c>
      <c r="B353" t="s">
        <v>316</v>
      </c>
      <c r="C353" t="s">
        <v>59</v>
      </c>
      <c r="E353" t="str">
        <f>"GAB2025587"</f>
        <v>GAB2025587</v>
      </c>
      <c r="F353" s="1">
        <v>45762</v>
      </c>
      <c r="G353">
        <v>202601</v>
      </c>
      <c r="H353" t="s">
        <v>77</v>
      </c>
      <c r="I353" t="s">
        <v>78</v>
      </c>
      <c r="J353" t="s">
        <v>317</v>
      </c>
      <c r="K353" t="s">
        <v>62</v>
      </c>
      <c r="L353" t="s">
        <v>470</v>
      </c>
      <c r="M353" t="s">
        <v>471</v>
      </c>
      <c r="N353" t="s">
        <v>1209</v>
      </c>
      <c r="O353" t="s">
        <v>65</v>
      </c>
      <c r="P353" t="str">
        <f>"INV-00117007 CT093957         "</f>
        <v xml:space="preserve">INV-00117007 CT093957         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52.52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16.739999999999998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1</v>
      </c>
      <c r="BI353">
        <v>0.4</v>
      </c>
      <c r="BJ353">
        <v>2.4</v>
      </c>
      <c r="BK353">
        <v>2.5</v>
      </c>
      <c r="BL353" s="4">
        <v>184.68</v>
      </c>
      <c r="BM353" s="4">
        <v>27.7</v>
      </c>
      <c r="BN353" s="4">
        <v>212.38</v>
      </c>
      <c r="BO353" s="4">
        <v>212.38</v>
      </c>
      <c r="BQ353" t="s">
        <v>473</v>
      </c>
      <c r="BR353" t="s">
        <v>320</v>
      </c>
      <c r="BS353" s="1">
        <v>45764</v>
      </c>
      <c r="BT353" s="2">
        <v>0.43541666666666667</v>
      </c>
      <c r="BU353" t="s">
        <v>1210</v>
      </c>
      <c r="BV353" t="s">
        <v>74</v>
      </c>
      <c r="BY353">
        <v>12011.16</v>
      </c>
      <c r="BZ353" t="s">
        <v>97</v>
      </c>
      <c r="CA353" t="s">
        <v>1211</v>
      </c>
      <c r="CC353" t="s">
        <v>471</v>
      </c>
      <c r="CD353">
        <v>2745</v>
      </c>
      <c r="CE353" t="s">
        <v>1212</v>
      </c>
      <c r="CI353">
        <v>2</v>
      </c>
      <c r="CJ353">
        <v>2</v>
      </c>
      <c r="CK353">
        <v>23</v>
      </c>
      <c r="CL353" t="s">
        <v>66</v>
      </c>
    </row>
    <row r="354" spans="1:90" x14ac:dyDescent="0.3">
      <c r="A354" t="s">
        <v>315</v>
      </c>
      <c r="B354" t="s">
        <v>316</v>
      </c>
      <c r="C354" t="s">
        <v>59</v>
      </c>
      <c r="E354" t="str">
        <f>"GAB2025588"</f>
        <v>GAB2025588</v>
      </c>
      <c r="F354" s="1">
        <v>45762</v>
      </c>
      <c r="G354">
        <v>202601</v>
      </c>
      <c r="H354" t="s">
        <v>77</v>
      </c>
      <c r="I354" t="s">
        <v>78</v>
      </c>
      <c r="J354" t="s">
        <v>317</v>
      </c>
      <c r="K354" t="s">
        <v>62</v>
      </c>
      <c r="L354" t="s">
        <v>158</v>
      </c>
      <c r="M354" t="s">
        <v>159</v>
      </c>
      <c r="N354" t="s">
        <v>1213</v>
      </c>
      <c r="O354" t="s">
        <v>65</v>
      </c>
      <c r="P354" t="str">
        <f>"INV-00117008 CT093958         "</f>
        <v xml:space="preserve">INV-00117008 CT093958         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42.84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1</v>
      </c>
      <c r="BI354">
        <v>0.5</v>
      </c>
      <c r="BJ354">
        <v>1.7</v>
      </c>
      <c r="BK354">
        <v>2</v>
      </c>
      <c r="BL354" s="4">
        <v>137</v>
      </c>
      <c r="BM354" s="4">
        <v>20.55</v>
      </c>
      <c r="BN354" s="4">
        <v>157.55000000000001</v>
      </c>
      <c r="BO354" s="4">
        <v>157.55000000000001</v>
      </c>
      <c r="BQ354" t="s">
        <v>1214</v>
      </c>
      <c r="BR354" t="s">
        <v>320</v>
      </c>
      <c r="BS354" s="1">
        <v>45763</v>
      </c>
      <c r="BT354" s="2">
        <v>0.57638888888888884</v>
      </c>
      <c r="BU354" t="s">
        <v>1215</v>
      </c>
      <c r="BV354" t="s">
        <v>66</v>
      </c>
      <c r="BW354" t="s">
        <v>71</v>
      </c>
      <c r="BX354" t="s">
        <v>267</v>
      </c>
      <c r="BY354">
        <v>8388.27</v>
      </c>
      <c r="BZ354" t="s">
        <v>79</v>
      </c>
      <c r="CA354" t="s">
        <v>250</v>
      </c>
      <c r="CC354" t="s">
        <v>159</v>
      </c>
      <c r="CD354">
        <v>1739</v>
      </c>
      <c r="CE354" t="s">
        <v>1216</v>
      </c>
      <c r="CF354" s="1">
        <v>45764</v>
      </c>
      <c r="CI354">
        <v>1</v>
      </c>
      <c r="CJ354">
        <v>1</v>
      </c>
      <c r="CK354">
        <v>23</v>
      </c>
      <c r="CL354" t="s">
        <v>66</v>
      </c>
    </row>
    <row r="355" spans="1:90" x14ac:dyDescent="0.3">
      <c r="A355" t="s">
        <v>315</v>
      </c>
      <c r="B355" t="s">
        <v>316</v>
      </c>
      <c r="C355" t="s">
        <v>59</v>
      </c>
      <c r="E355" t="str">
        <f>"GAB2025589"</f>
        <v>GAB2025589</v>
      </c>
      <c r="F355" s="1">
        <v>45762</v>
      </c>
      <c r="G355">
        <v>202601</v>
      </c>
      <c r="H355" t="s">
        <v>77</v>
      </c>
      <c r="I355" t="s">
        <v>78</v>
      </c>
      <c r="J355" t="s">
        <v>317</v>
      </c>
      <c r="K355" t="s">
        <v>62</v>
      </c>
      <c r="L355" t="s">
        <v>546</v>
      </c>
      <c r="M355" t="s">
        <v>547</v>
      </c>
      <c r="N355" t="s">
        <v>1217</v>
      </c>
      <c r="O355" t="s">
        <v>65</v>
      </c>
      <c r="P355" t="str">
        <f>"INV-00117004 CT093939         "</f>
        <v xml:space="preserve">INV-00117004 CT093939         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160.21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1</v>
      </c>
      <c r="BI355">
        <v>3.9</v>
      </c>
      <c r="BJ355">
        <v>14.3</v>
      </c>
      <c r="BK355">
        <v>14.5</v>
      </c>
      <c r="BL355" s="4">
        <v>512.30999999999995</v>
      </c>
      <c r="BM355" s="4">
        <v>76.849999999999994</v>
      </c>
      <c r="BN355" s="4">
        <v>589.16</v>
      </c>
      <c r="BO355" s="4">
        <v>589.16</v>
      </c>
      <c r="BQ355" t="s">
        <v>1218</v>
      </c>
      <c r="BR355" t="s">
        <v>320</v>
      </c>
      <c r="BS355" s="1">
        <v>45764</v>
      </c>
      <c r="BT355" s="2">
        <v>0.5</v>
      </c>
      <c r="BU355" t="s">
        <v>266</v>
      </c>
      <c r="BV355" t="s">
        <v>66</v>
      </c>
      <c r="BW355" t="s">
        <v>292</v>
      </c>
      <c r="BX355" t="s">
        <v>531</v>
      </c>
      <c r="BY355">
        <v>71557.5</v>
      </c>
      <c r="BZ355" t="s">
        <v>79</v>
      </c>
      <c r="CC355" t="s">
        <v>547</v>
      </c>
      <c r="CD355">
        <v>9301</v>
      </c>
      <c r="CE355" t="s">
        <v>1169</v>
      </c>
      <c r="CI355">
        <v>2</v>
      </c>
      <c r="CJ355">
        <v>2</v>
      </c>
      <c r="CK355">
        <v>21</v>
      </c>
      <c r="CL355" t="s">
        <v>66</v>
      </c>
    </row>
    <row r="356" spans="1:90" x14ac:dyDescent="0.3">
      <c r="A356" t="s">
        <v>315</v>
      </c>
      <c r="B356" t="s">
        <v>316</v>
      </c>
      <c r="C356" t="s">
        <v>59</v>
      </c>
      <c r="E356" t="str">
        <f>"GAB2025590"</f>
        <v>GAB2025590</v>
      </c>
      <c r="F356" s="1">
        <v>45762</v>
      </c>
      <c r="G356">
        <v>202601</v>
      </c>
      <c r="H356" t="s">
        <v>77</v>
      </c>
      <c r="I356" t="s">
        <v>78</v>
      </c>
      <c r="J356" t="s">
        <v>317</v>
      </c>
      <c r="K356" t="s">
        <v>62</v>
      </c>
      <c r="L356" t="s">
        <v>202</v>
      </c>
      <c r="M356" t="s">
        <v>203</v>
      </c>
      <c r="N356" t="s">
        <v>1219</v>
      </c>
      <c r="O356" t="s">
        <v>65</v>
      </c>
      <c r="P356" t="str">
        <f>"INV-00117005 CT093956         "</f>
        <v xml:space="preserve">INV-00117005 CT093956         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0</v>
      </c>
      <c r="Z356">
        <v>0</v>
      </c>
      <c r="AA356">
        <v>0</v>
      </c>
      <c r="AB356">
        <v>0</v>
      </c>
      <c r="AC356">
        <v>0</v>
      </c>
      <c r="AD356">
        <v>0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0</v>
      </c>
      <c r="AK356">
        <v>52.52</v>
      </c>
      <c r="AL356">
        <v>0</v>
      </c>
      <c r="AM356">
        <v>0</v>
      </c>
      <c r="AN356">
        <v>0</v>
      </c>
      <c r="AO356">
        <v>0</v>
      </c>
      <c r="AP356">
        <v>0</v>
      </c>
      <c r="AQ356">
        <v>0</v>
      </c>
      <c r="AR356">
        <v>0</v>
      </c>
      <c r="AS356">
        <v>0</v>
      </c>
      <c r="AT356">
        <v>0</v>
      </c>
      <c r="AU356">
        <v>0</v>
      </c>
      <c r="AV356">
        <v>0</v>
      </c>
      <c r="AW356">
        <v>0</v>
      </c>
      <c r="AX356">
        <v>0</v>
      </c>
      <c r="AY356">
        <v>0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0</v>
      </c>
      <c r="BG356">
        <v>0</v>
      </c>
      <c r="BH356">
        <v>1</v>
      </c>
      <c r="BI356">
        <v>0.2</v>
      </c>
      <c r="BJ356">
        <v>2.5</v>
      </c>
      <c r="BK356">
        <v>2.5</v>
      </c>
      <c r="BL356" s="4">
        <v>167.94</v>
      </c>
      <c r="BM356" s="4">
        <v>25.19</v>
      </c>
      <c r="BN356" s="4">
        <v>193.13</v>
      </c>
      <c r="BO356" s="4">
        <v>193.13</v>
      </c>
      <c r="BR356" t="s">
        <v>320</v>
      </c>
      <c r="BS356" t="s">
        <v>81</v>
      </c>
      <c r="BY356">
        <v>12721.28</v>
      </c>
      <c r="BZ356" t="s">
        <v>79</v>
      </c>
      <c r="CC356" t="s">
        <v>203</v>
      </c>
      <c r="CD356">
        <v>4180</v>
      </c>
      <c r="CE356" t="s">
        <v>1220</v>
      </c>
      <c r="CI356">
        <v>2</v>
      </c>
      <c r="CJ356" t="s">
        <v>81</v>
      </c>
      <c r="CK356">
        <v>23</v>
      </c>
      <c r="CL356" t="s">
        <v>66</v>
      </c>
    </row>
    <row r="357" spans="1:90" x14ac:dyDescent="0.3">
      <c r="A357" t="s">
        <v>315</v>
      </c>
      <c r="B357" t="s">
        <v>316</v>
      </c>
      <c r="C357" t="s">
        <v>59</v>
      </c>
      <c r="E357" t="str">
        <f>"GAB2025591"</f>
        <v>GAB2025591</v>
      </c>
      <c r="F357" s="1">
        <v>45762</v>
      </c>
      <c r="G357">
        <v>202601</v>
      </c>
      <c r="H357" t="s">
        <v>77</v>
      </c>
      <c r="I357" t="s">
        <v>78</v>
      </c>
      <c r="J357" t="s">
        <v>317</v>
      </c>
      <c r="K357" t="s">
        <v>62</v>
      </c>
      <c r="L357" t="s">
        <v>100</v>
      </c>
      <c r="M357" t="s">
        <v>101</v>
      </c>
      <c r="N357" t="s">
        <v>1221</v>
      </c>
      <c r="O357" t="s">
        <v>65</v>
      </c>
      <c r="P357" t="str">
        <f>"INV-00117006 CT093919         "</f>
        <v xml:space="preserve">INV-00117006 CT093919         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27.64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1</v>
      </c>
      <c r="BI357">
        <v>0.1</v>
      </c>
      <c r="BJ357">
        <v>2.4</v>
      </c>
      <c r="BK357">
        <v>2.5</v>
      </c>
      <c r="BL357" s="4">
        <v>88.38</v>
      </c>
      <c r="BM357" s="4">
        <v>13.26</v>
      </c>
      <c r="BN357" s="4">
        <v>101.64</v>
      </c>
      <c r="BO357" s="4">
        <v>101.64</v>
      </c>
      <c r="BQ357" t="s">
        <v>1222</v>
      </c>
      <c r="BR357" t="s">
        <v>320</v>
      </c>
      <c r="BS357" t="s">
        <v>81</v>
      </c>
      <c r="BY357">
        <v>11842.59</v>
      </c>
      <c r="BZ357" t="s">
        <v>79</v>
      </c>
      <c r="CC357" t="s">
        <v>101</v>
      </c>
      <c r="CD357">
        <v>6001</v>
      </c>
      <c r="CE357" t="s">
        <v>1199</v>
      </c>
      <c r="CI357">
        <v>2</v>
      </c>
      <c r="CJ357" t="s">
        <v>81</v>
      </c>
      <c r="CK357">
        <v>21</v>
      </c>
      <c r="CL357" t="s">
        <v>66</v>
      </c>
    </row>
    <row r="358" spans="1:90" x14ac:dyDescent="0.3">
      <c r="A358" t="s">
        <v>315</v>
      </c>
      <c r="B358" t="s">
        <v>316</v>
      </c>
      <c r="C358" t="s">
        <v>59</v>
      </c>
      <c r="E358" t="str">
        <f>"GAB2025592"</f>
        <v>GAB2025592</v>
      </c>
      <c r="F358" s="1">
        <v>45762</v>
      </c>
      <c r="G358">
        <v>202601</v>
      </c>
      <c r="H358" t="s">
        <v>77</v>
      </c>
      <c r="I358" t="s">
        <v>78</v>
      </c>
      <c r="J358" t="s">
        <v>317</v>
      </c>
      <c r="K358" t="s">
        <v>62</v>
      </c>
      <c r="L358" t="s">
        <v>154</v>
      </c>
      <c r="M358" t="s">
        <v>155</v>
      </c>
      <c r="N358" t="s">
        <v>960</v>
      </c>
      <c r="O358" t="s">
        <v>65</v>
      </c>
      <c r="P358" t="str">
        <f>"INV-00117012 CT093960         "</f>
        <v xml:space="preserve">INV-00117012 CT093960         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52.52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1</v>
      </c>
      <c r="BI358">
        <v>0.4</v>
      </c>
      <c r="BJ358">
        <v>2.2999999999999998</v>
      </c>
      <c r="BK358">
        <v>2.5</v>
      </c>
      <c r="BL358" s="4">
        <v>167.94</v>
      </c>
      <c r="BM358" s="4">
        <v>25.19</v>
      </c>
      <c r="BN358" s="4">
        <v>193.13</v>
      </c>
      <c r="BO358" s="4">
        <v>193.13</v>
      </c>
      <c r="BQ358" t="s">
        <v>961</v>
      </c>
      <c r="BR358" t="s">
        <v>320</v>
      </c>
      <c r="BS358" t="s">
        <v>81</v>
      </c>
      <c r="BY358">
        <v>11365.83</v>
      </c>
      <c r="BZ358" t="s">
        <v>79</v>
      </c>
      <c r="CC358" t="s">
        <v>155</v>
      </c>
      <c r="CD358">
        <v>8800</v>
      </c>
      <c r="CE358" t="s">
        <v>1202</v>
      </c>
      <c r="CI358">
        <v>3</v>
      </c>
      <c r="CJ358" t="s">
        <v>81</v>
      </c>
      <c r="CK358">
        <v>23</v>
      </c>
      <c r="CL358" t="s">
        <v>66</v>
      </c>
    </row>
    <row r="359" spans="1:90" x14ac:dyDescent="0.3">
      <c r="A359" t="s">
        <v>315</v>
      </c>
      <c r="B359" t="s">
        <v>316</v>
      </c>
      <c r="C359" t="s">
        <v>59</v>
      </c>
      <c r="E359" t="str">
        <f>"GAB2025593"</f>
        <v>GAB2025593</v>
      </c>
      <c r="F359" s="1">
        <v>45762</v>
      </c>
      <c r="G359">
        <v>202601</v>
      </c>
      <c r="H359" t="s">
        <v>77</v>
      </c>
      <c r="I359" t="s">
        <v>78</v>
      </c>
      <c r="J359" t="s">
        <v>317</v>
      </c>
      <c r="K359" t="s">
        <v>62</v>
      </c>
      <c r="L359" t="s">
        <v>194</v>
      </c>
      <c r="M359" t="s">
        <v>195</v>
      </c>
      <c r="N359" t="s">
        <v>570</v>
      </c>
      <c r="O359" t="s">
        <v>65</v>
      </c>
      <c r="P359" t="str">
        <f>"INV-00117014 CT093965         "</f>
        <v xml:space="preserve">INV-00117014 CT093965         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22.11</v>
      </c>
      <c r="AL359">
        <v>0</v>
      </c>
      <c r="AM359">
        <v>0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0</v>
      </c>
      <c r="BA359">
        <v>0</v>
      </c>
      <c r="BB359">
        <v>0</v>
      </c>
      <c r="BC359">
        <v>0</v>
      </c>
      <c r="BD359">
        <v>0</v>
      </c>
      <c r="BE359">
        <v>0</v>
      </c>
      <c r="BF359">
        <v>0</v>
      </c>
      <c r="BG359">
        <v>0</v>
      </c>
      <c r="BH359">
        <v>1</v>
      </c>
      <c r="BI359">
        <v>0.2</v>
      </c>
      <c r="BJ359">
        <v>2</v>
      </c>
      <c r="BK359">
        <v>2</v>
      </c>
      <c r="BL359" s="4">
        <v>70.709999999999994</v>
      </c>
      <c r="BM359" s="4">
        <v>10.61</v>
      </c>
      <c r="BN359" s="4">
        <v>81.319999999999993</v>
      </c>
      <c r="BO359" s="4">
        <v>81.319999999999993</v>
      </c>
      <c r="BR359" t="s">
        <v>320</v>
      </c>
      <c r="BS359" s="1">
        <v>45763</v>
      </c>
      <c r="BT359" s="2">
        <v>0.4201388888888889</v>
      </c>
      <c r="BU359" t="s">
        <v>571</v>
      </c>
      <c r="BV359" t="s">
        <v>74</v>
      </c>
      <c r="BY359">
        <v>9959.8799999999992</v>
      </c>
      <c r="BZ359" t="s">
        <v>79</v>
      </c>
      <c r="CA359" t="s">
        <v>168</v>
      </c>
      <c r="CC359" t="s">
        <v>195</v>
      </c>
      <c r="CD359">
        <v>1501</v>
      </c>
      <c r="CE359" t="s">
        <v>1201</v>
      </c>
      <c r="CF359" s="1">
        <v>45763</v>
      </c>
      <c r="CI359">
        <v>1</v>
      </c>
      <c r="CJ359">
        <v>1</v>
      </c>
      <c r="CK359">
        <v>21</v>
      </c>
      <c r="CL359" t="s">
        <v>66</v>
      </c>
    </row>
    <row r="360" spans="1:90" x14ac:dyDescent="0.3">
      <c r="A360" t="s">
        <v>315</v>
      </c>
      <c r="B360" t="s">
        <v>316</v>
      </c>
      <c r="C360" t="s">
        <v>59</v>
      </c>
      <c r="E360" t="str">
        <f>"GAB2025594"</f>
        <v>GAB2025594</v>
      </c>
      <c r="F360" s="1">
        <v>45762</v>
      </c>
      <c r="G360">
        <v>202601</v>
      </c>
      <c r="H360" t="s">
        <v>77</v>
      </c>
      <c r="I360" t="s">
        <v>78</v>
      </c>
      <c r="J360" t="s">
        <v>317</v>
      </c>
      <c r="K360" t="s">
        <v>62</v>
      </c>
      <c r="L360" t="s">
        <v>77</v>
      </c>
      <c r="M360" t="s">
        <v>78</v>
      </c>
      <c r="N360" t="s">
        <v>1223</v>
      </c>
      <c r="O360" t="s">
        <v>65</v>
      </c>
      <c r="P360" t="str">
        <f>"INV-00117015 CT093969         "</f>
        <v xml:space="preserve">INV-00117015 CT093969         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0</v>
      </c>
      <c r="AI360">
        <v>0</v>
      </c>
      <c r="AJ360">
        <v>0</v>
      </c>
      <c r="AK360">
        <v>17.27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0</v>
      </c>
      <c r="AU360">
        <v>0</v>
      </c>
      <c r="AV360">
        <v>0</v>
      </c>
      <c r="AW360">
        <v>0</v>
      </c>
      <c r="AX360">
        <v>0</v>
      </c>
      <c r="AY360">
        <v>0</v>
      </c>
      <c r="AZ360">
        <v>0</v>
      </c>
      <c r="BA360">
        <v>0</v>
      </c>
      <c r="BB360">
        <v>0</v>
      </c>
      <c r="BC360">
        <v>0</v>
      </c>
      <c r="BD360">
        <v>0</v>
      </c>
      <c r="BE360">
        <v>0</v>
      </c>
      <c r="BF360">
        <v>0</v>
      </c>
      <c r="BG360">
        <v>0</v>
      </c>
      <c r="BH360">
        <v>1</v>
      </c>
      <c r="BI360">
        <v>0.1</v>
      </c>
      <c r="BJ360">
        <v>1.8</v>
      </c>
      <c r="BK360">
        <v>2</v>
      </c>
      <c r="BL360" s="4">
        <v>55.23</v>
      </c>
      <c r="BM360" s="4">
        <v>8.2799999999999994</v>
      </c>
      <c r="BN360" s="4">
        <v>63.51</v>
      </c>
      <c r="BO360" s="4">
        <v>63.51</v>
      </c>
      <c r="BQ360" t="s">
        <v>1224</v>
      </c>
      <c r="BR360" t="s">
        <v>320</v>
      </c>
      <c r="BS360" s="1">
        <v>45763</v>
      </c>
      <c r="BT360" s="2">
        <v>0.49652777777777779</v>
      </c>
      <c r="BU360" t="s">
        <v>1225</v>
      </c>
      <c r="BV360" t="s">
        <v>74</v>
      </c>
      <c r="BY360">
        <v>8970.1</v>
      </c>
      <c r="BZ360" t="s">
        <v>79</v>
      </c>
      <c r="CA360" t="s">
        <v>105</v>
      </c>
      <c r="CC360" t="s">
        <v>78</v>
      </c>
      <c r="CD360">
        <v>7975</v>
      </c>
      <c r="CE360" t="s">
        <v>1192</v>
      </c>
      <c r="CF360" s="1">
        <v>45764</v>
      </c>
      <c r="CI360">
        <v>1</v>
      </c>
      <c r="CJ360">
        <v>1</v>
      </c>
      <c r="CK360">
        <v>22</v>
      </c>
      <c r="CL360" t="s">
        <v>66</v>
      </c>
    </row>
    <row r="361" spans="1:90" x14ac:dyDescent="0.3">
      <c r="A361" t="s">
        <v>315</v>
      </c>
      <c r="B361" t="s">
        <v>316</v>
      </c>
      <c r="C361" t="s">
        <v>59</v>
      </c>
      <c r="E361" t="str">
        <f>"GAB2025595"</f>
        <v>GAB2025595</v>
      </c>
      <c r="F361" s="1">
        <v>45762</v>
      </c>
      <c r="G361">
        <v>202601</v>
      </c>
      <c r="H361" t="s">
        <v>77</v>
      </c>
      <c r="I361" t="s">
        <v>78</v>
      </c>
      <c r="J361" t="s">
        <v>317</v>
      </c>
      <c r="K361" t="s">
        <v>62</v>
      </c>
      <c r="L361" t="s">
        <v>95</v>
      </c>
      <c r="M361" t="s">
        <v>96</v>
      </c>
      <c r="N361" t="s">
        <v>1226</v>
      </c>
      <c r="O361" t="s">
        <v>65</v>
      </c>
      <c r="P361" t="str">
        <f>"INV-00117015 CT093967         "</f>
        <v xml:space="preserve">INV-00117015 CT093967         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27.64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1</v>
      </c>
      <c r="BI361">
        <v>0.3</v>
      </c>
      <c r="BJ361">
        <v>2.2000000000000002</v>
      </c>
      <c r="BK361">
        <v>2.5</v>
      </c>
      <c r="BL361" s="4">
        <v>88.38</v>
      </c>
      <c r="BM361" s="4">
        <v>13.26</v>
      </c>
      <c r="BN361" s="4">
        <v>101.64</v>
      </c>
      <c r="BO361" s="4">
        <v>101.64</v>
      </c>
      <c r="BR361" t="s">
        <v>320</v>
      </c>
      <c r="BS361" s="1">
        <v>45763</v>
      </c>
      <c r="BT361" s="2">
        <v>0.37361111111111112</v>
      </c>
      <c r="BU361" t="s">
        <v>1227</v>
      </c>
      <c r="BV361" t="s">
        <v>74</v>
      </c>
      <c r="BY361">
        <v>10950.69</v>
      </c>
      <c r="BZ361" t="s">
        <v>79</v>
      </c>
      <c r="CA361" t="s">
        <v>271</v>
      </c>
      <c r="CC361" t="s">
        <v>96</v>
      </c>
      <c r="CD361">
        <v>2000</v>
      </c>
      <c r="CE361" t="s">
        <v>1220</v>
      </c>
      <c r="CF361" s="1">
        <v>45763</v>
      </c>
      <c r="CI361">
        <v>1</v>
      </c>
      <c r="CJ361">
        <v>1</v>
      </c>
      <c r="CK361">
        <v>21</v>
      </c>
      <c r="CL361" t="s">
        <v>66</v>
      </c>
    </row>
    <row r="362" spans="1:90" x14ac:dyDescent="0.3">
      <c r="A362" t="s">
        <v>315</v>
      </c>
      <c r="B362" t="s">
        <v>316</v>
      </c>
      <c r="C362" t="s">
        <v>59</v>
      </c>
      <c r="E362" t="str">
        <f>"GAB2025596"</f>
        <v>GAB2025596</v>
      </c>
      <c r="F362" s="1">
        <v>45762</v>
      </c>
      <c r="G362">
        <v>202601</v>
      </c>
      <c r="H362" t="s">
        <v>77</v>
      </c>
      <c r="I362" t="s">
        <v>78</v>
      </c>
      <c r="J362" t="s">
        <v>317</v>
      </c>
      <c r="K362" t="s">
        <v>62</v>
      </c>
      <c r="L362" t="s">
        <v>77</v>
      </c>
      <c r="M362" t="s">
        <v>78</v>
      </c>
      <c r="N362" t="s">
        <v>1228</v>
      </c>
      <c r="O362" t="s">
        <v>65</v>
      </c>
      <c r="P362" t="str">
        <f>"INV-00117018 CT093959         "</f>
        <v xml:space="preserve">INV-00117018 CT093959         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>
        <v>0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17.27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1</v>
      </c>
      <c r="BI362">
        <v>0.2</v>
      </c>
      <c r="BJ362">
        <v>1.7</v>
      </c>
      <c r="BK362">
        <v>2</v>
      </c>
      <c r="BL362" s="4">
        <v>55.23</v>
      </c>
      <c r="BM362" s="4">
        <v>8.2799999999999994</v>
      </c>
      <c r="BN362" s="4">
        <v>63.51</v>
      </c>
      <c r="BO362" s="4">
        <v>63.51</v>
      </c>
      <c r="BQ362" t="s">
        <v>1229</v>
      </c>
      <c r="BR362" t="s">
        <v>320</v>
      </c>
      <c r="BS362" s="1">
        <v>45763</v>
      </c>
      <c r="BT362" s="2">
        <v>0.38958333333333334</v>
      </c>
      <c r="BU362" t="s">
        <v>278</v>
      </c>
      <c r="BV362" t="s">
        <v>74</v>
      </c>
      <c r="BY362">
        <v>8642.18</v>
      </c>
      <c r="BZ362" t="s">
        <v>79</v>
      </c>
      <c r="CA362" t="s">
        <v>700</v>
      </c>
      <c r="CC362" t="s">
        <v>78</v>
      </c>
      <c r="CD362">
        <v>7550</v>
      </c>
      <c r="CE362" t="s">
        <v>1201</v>
      </c>
      <c r="CF362" s="1">
        <v>45764</v>
      </c>
      <c r="CI362">
        <v>1</v>
      </c>
      <c r="CJ362">
        <v>1</v>
      </c>
      <c r="CK362">
        <v>22</v>
      </c>
      <c r="CL362" t="s">
        <v>66</v>
      </c>
    </row>
    <row r="363" spans="1:90" x14ac:dyDescent="0.3">
      <c r="A363" t="s">
        <v>315</v>
      </c>
      <c r="B363" t="s">
        <v>316</v>
      </c>
      <c r="C363" t="s">
        <v>59</v>
      </c>
      <c r="E363" t="str">
        <f>"009945073298"</f>
        <v>009945073298</v>
      </c>
      <c r="F363" s="1">
        <v>45762</v>
      </c>
      <c r="G363">
        <v>202601</v>
      </c>
      <c r="H363" t="s">
        <v>89</v>
      </c>
      <c r="I363" t="s">
        <v>90</v>
      </c>
      <c r="J363" t="s">
        <v>1230</v>
      </c>
      <c r="K363" t="s">
        <v>62</v>
      </c>
      <c r="L363" t="s">
        <v>77</v>
      </c>
      <c r="M363" t="s">
        <v>78</v>
      </c>
      <c r="N363" t="s">
        <v>450</v>
      </c>
      <c r="O363" t="s">
        <v>711</v>
      </c>
      <c r="P363" t="str">
        <f>"                              "</f>
        <v xml:space="preserve">                              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507.86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264.24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0</v>
      </c>
      <c r="AU363">
        <v>0</v>
      </c>
      <c r="AV363">
        <v>0</v>
      </c>
      <c r="AW363">
        <v>0</v>
      </c>
      <c r="AX363">
        <v>0</v>
      </c>
      <c r="AY363">
        <v>0</v>
      </c>
      <c r="AZ363">
        <v>0</v>
      </c>
      <c r="BA363">
        <v>0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1</v>
      </c>
      <c r="BI363">
        <v>2</v>
      </c>
      <c r="BJ363">
        <v>2.9</v>
      </c>
      <c r="BK363">
        <v>3</v>
      </c>
      <c r="BL363" s="4">
        <v>844.98</v>
      </c>
      <c r="BM363" s="4">
        <v>126.75</v>
      </c>
      <c r="BN363" s="4">
        <v>971.73</v>
      </c>
      <c r="BO363" s="4">
        <v>971.73</v>
      </c>
      <c r="BR363" t="s">
        <v>1231</v>
      </c>
      <c r="BS363" s="1">
        <v>45763</v>
      </c>
      <c r="BT363" s="2">
        <v>0.3298611111111111</v>
      </c>
      <c r="BU363" t="s">
        <v>1232</v>
      </c>
      <c r="BV363" t="s">
        <v>66</v>
      </c>
      <c r="BY363">
        <v>14256</v>
      </c>
      <c r="BZ363" t="s">
        <v>715</v>
      </c>
      <c r="CC363" t="s">
        <v>78</v>
      </c>
      <c r="CD363">
        <v>7460</v>
      </c>
      <c r="CE363" t="s">
        <v>76</v>
      </c>
      <c r="CF363" s="1">
        <v>45764</v>
      </c>
      <c r="CI363">
        <v>0</v>
      </c>
      <c r="CJ363">
        <v>1</v>
      </c>
      <c r="CK363">
        <v>21</v>
      </c>
      <c r="CL363" t="s">
        <v>66</v>
      </c>
    </row>
    <row r="364" spans="1:90" x14ac:dyDescent="0.3">
      <c r="A364" t="s">
        <v>315</v>
      </c>
      <c r="B364" t="s">
        <v>316</v>
      </c>
      <c r="C364" t="s">
        <v>59</v>
      </c>
      <c r="E364" t="str">
        <f>"GAB2025586"</f>
        <v>GAB2025586</v>
      </c>
      <c r="F364" s="1">
        <v>45762</v>
      </c>
      <c r="G364">
        <v>202601</v>
      </c>
      <c r="H364" t="s">
        <v>77</v>
      </c>
      <c r="I364" t="s">
        <v>78</v>
      </c>
      <c r="J364" t="s">
        <v>317</v>
      </c>
      <c r="K364" t="s">
        <v>62</v>
      </c>
      <c r="L364" t="s">
        <v>142</v>
      </c>
      <c r="M364" t="s">
        <v>143</v>
      </c>
      <c r="N364" t="s">
        <v>349</v>
      </c>
      <c r="O364" t="s">
        <v>98</v>
      </c>
      <c r="P364" t="str">
        <f>"INV-00116990 CT093929         "</f>
        <v xml:space="preserve">INV-00116990 CT093929         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5.57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141.62</v>
      </c>
      <c r="AL364">
        <v>0</v>
      </c>
      <c r="AM364">
        <v>0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4</v>
      </c>
      <c r="BI364">
        <v>29.8</v>
      </c>
      <c r="BJ364">
        <v>70.599999999999994</v>
      </c>
      <c r="BK364">
        <v>71</v>
      </c>
      <c r="BL364" s="4">
        <v>458.45</v>
      </c>
      <c r="BM364" s="4">
        <v>68.77</v>
      </c>
      <c r="BN364" s="4">
        <v>527.22</v>
      </c>
      <c r="BO364" s="4">
        <v>527.22</v>
      </c>
      <c r="BQ364" t="s">
        <v>350</v>
      </c>
      <c r="BR364" t="s">
        <v>320</v>
      </c>
      <c r="BS364" s="1">
        <v>45764</v>
      </c>
      <c r="BT364" s="2">
        <v>0.35069444444444442</v>
      </c>
      <c r="BU364" t="s">
        <v>351</v>
      </c>
      <c r="BV364" t="s">
        <v>74</v>
      </c>
      <c r="BY364">
        <v>352868.06</v>
      </c>
      <c r="CA364" t="s">
        <v>545</v>
      </c>
      <c r="CC364" t="s">
        <v>143</v>
      </c>
      <c r="CD364" s="3" t="s">
        <v>144</v>
      </c>
      <c r="CE364" t="s">
        <v>322</v>
      </c>
      <c r="CF364" s="1">
        <v>45764</v>
      </c>
      <c r="CI364">
        <v>3</v>
      </c>
      <c r="CJ364">
        <v>2</v>
      </c>
      <c r="CK364">
        <v>41</v>
      </c>
      <c r="CL364" t="s">
        <v>66</v>
      </c>
    </row>
    <row r="365" spans="1:90" x14ac:dyDescent="0.3">
      <c r="A365" t="s">
        <v>315</v>
      </c>
      <c r="B365" t="s">
        <v>316</v>
      </c>
      <c r="C365" t="s">
        <v>59</v>
      </c>
      <c r="E365" t="str">
        <f>"RGAB2024949"</f>
        <v>RGAB2024949</v>
      </c>
      <c r="F365" s="1">
        <v>45763</v>
      </c>
      <c r="G365">
        <v>202601</v>
      </c>
      <c r="H365" t="s">
        <v>206</v>
      </c>
      <c r="I365" t="s">
        <v>207</v>
      </c>
      <c r="J365" t="s">
        <v>1233</v>
      </c>
      <c r="K365" t="s">
        <v>62</v>
      </c>
      <c r="L365" t="s">
        <v>77</v>
      </c>
      <c r="M365" t="s">
        <v>78</v>
      </c>
      <c r="N365" t="s">
        <v>317</v>
      </c>
      <c r="O365" t="s">
        <v>98</v>
      </c>
      <c r="P365" t="str">
        <f>"INV-00033682 031162           "</f>
        <v xml:space="preserve">INV-00033682 031162           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5.57</v>
      </c>
      <c r="AD365">
        <v>0</v>
      </c>
      <c r="AE365">
        <v>0</v>
      </c>
      <c r="AF365">
        <v>0</v>
      </c>
      <c r="AG365">
        <v>0</v>
      </c>
      <c r="AH365">
        <v>0</v>
      </c>
      <c r="AI365">
        <v>0</v>
      </c>
      <c r="AJ365">
        <v>0</v>
      </c>
      <c r="AK365">
        <v>74.540000000000006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2</v>
      </c>
      <c r="BI365">
        <v>13.3</v>
      </c>
      <c r="BJ365">
        <v>33</v>
      </c>
      <c r="BK365">
        <v>33</v>
      </c>
      <c r="BL365" s="4">
        <v>243.93</v>
      </c>
      <c r="BM365" s="4">
        <v>36.590000000000003</v>
      </c>
      <c r="BN365" s="4">
        <v>280.52</v>
      </c>
      <c r="BO365" s="4">
        <v>280.52</v>
      </c>
      <c r="BQ365" t="s">
        <v>320</v>
      </c>
      <c r="BR365" t="s">
        <v>1234</v>
      </c>
      <c r="BS365" t="s">
        <v>81</v>
      </c>
      <c r="BY365">
        <v>165027.37</v>
      </c>
      <c r="CC365" t="s">
        <v>78</v>
      </c>
      <c r="CD365">
        <v>8001</v>
      </c>
      <c r="CE365" t="s">
        <v>1235</v>
      </c>
      <c r="CI365">
        <v>3</v>
      </c>
      <c r="CJ365" t="s">
        <v>81</v>
      </c>
      <c r="CK365">
        <v>41</v>
      </c>
      <c r="CL365" t="s">
        <v>66</v>
      </c>
    </row>
    <row r="366" spans="1:90" x14ac:dyDescent="0.3">
      <c r="A366" t="s">
        <v>315</v>
      </c>
      <c r="B366" t="s">
        <v>316</v>
      </c>
      <c r="C366" t="s">
        <v>59</v>
      </c>
      <c r="E366" t="str">
        <f>"RGAB2025162"</f>
        <v>RGAB2025162</v>
      </c>
      <c r="F366" s="1">
        <v>45763</v>
      </c>
      <c r="G366">
        <v>202601</v>
      </c>
      <c r="H366" t="s">
        <v>206</v>
      </c>
      <c r="I366" t="s">
        <v>207</v>
      </c>
      <c r="J366" t="s">
        <v>1233</v>
      </c>
      <c r="K366" t="s">
        <v>62</v>
      </c>
      <c r="L366" t="s">
        <v>77</v>
      </c>
      <c r="M366" t="s">
        <v>78</v>
      </c>
      <c r="N366" t="s">
        <v>317</v>
      </c>
      <c r="O366" t="s">
        <v>98</v>
      </c>
      <c r="P366" t="str">
        <f>"INV-00034039 030991           "</f>
        <v xml:space="preserve">INV-00034039 030991           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5.57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60.41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0</v>
      </c>
      <c r="BC366">
        <v>0</v>
      </c>
      <c r="BD366">
        <v>0</v>
      </c>
      <c r="BE366">
        <v>0</v>
      </c>
      <c r="BF366">
        <v>0</v>
      </c>
      <c r="BG366">
        <v>0</v>
      </c>
      <c r="BH366">
        <v>1</v>
      </c>
      <c r="BI366">
        <v>10.3</v>
      </c>
      <c r="BJ366">
        <v>24.8</v>
      </c>
      <c r="BK366">
        <v>25</v>
      </c>
      <c r="BL366" s="4">
        <v>198.76</v>
      </c>
      <c r="BM366" s="4">
        <v>29.81</v>
      </c>
      <c r="BN366" s="4">
        <v>228.57</v>
      </c>
      <c r="BO366" s="4">
        <v>228.57</v>
      </c>
      <c r="BQ366" t="s">
        <v>320</v>
      </c>
      <c r="BR366" t="s">
        <v>1236</v>
      </c>
      <c r="BS366" t="s">
        <v>81</v>
      </c>
      <c r="BY366">
        <v>124144.65</v>
      </c>
      <c r="CC366" t="s">
        <v>78</v>
      </c>
      <c r="CD366">
        <v>8001</v>
      </c>
      <c r="CE366" t="s">
        <v>1237</v>
      </c>
      <c r="CI366">
        <v>3</v>
      </c>
      <c r="CJ366" t="s">
        <v>81</v>
      </c>
      <c r="CK366">
        <v>41</v>
      </c>
      <c r="CL366" t="s">
        <v>66</v>
      </c>
    </row>
    <row r="367" spans="1:90" x14ac:dyDescent="0.3">
      <c r="A367" t="s">
        <v>315</v>
      </c>
      <c r="B367" t="s">
        <v>316</v>
      </c>
      <c r="C367" t="s">
        <v>59</v>
      </c>
      <c r="E367" t="str">
        <f>"080011494641"</f>
        <v>080011494641</v>
      </c>
      <c r="F367" s="1">
        <v>45763</v>
      </c>
      <c r="G367">
        <v>202601</v>
      </c>
      <c r="H367" t="s">
        <v>126</v>
      </c>
      <c r="I367" t="s">
        <v>127</v>
      </c>
      <c r="J367" t="s">
        <v>1238</v>
      </c>
      <c r="K367" t="s">
        <v>62</v>
      </c>
      <c r="L367" t="s">
        <v>77</v>
      </c>
      <c r="M367" t="s">
        <v>78</v>
      </c>
      <c r="N367" t="s">
        <v>450</v>
      </c>
      <c r="O367" t="s">
        <v>98</v>
      </c>
      <c r="P367" t="str">
        <f>"-                             "</f>
        <v xml:space="preserve">-                             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5.57</v>
      </c>
      <c r="AD367">
        <v>0</v>
      </c>
      <c r="AE367">
        <v>0</v>
      </c>
      <c r="AF367">
        <v>0</v>
      </c>
      <c r="AG367">
        <v>0</v>
      </c>
      <c r="AH367">
        <v>0</v>
      </c>
      <c r="AI367">
        <v>0</v>
      </c>
      <c r="AJ367">
        <v>0</v>
      </c>
      <c r="AK367">
        <v>51.59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1</v>
      </c>
      <c r="BI367">
        <v>20</v>
      </c>
      <c r="BJ367">
        <v>12</v>
      </c>
      <c r="BK367">
        <v>20</v>
      </c>
      <c r="BL367" s="4">
        <v>170.54</v>
      </c>
      <c r="BM367" s="4">
        <v>25.58</v>
      </c>
      <c r="BN367" s="4">
        <v>196.12</v>
      </c>
      <c r="BO367" s="4">
        <v>196.12</v>
      </c>
      <c r="BP367" t="s">
        <v>81</v>
      </c>
      <c r="BQ367" t="s">
        <v>506</v>
      </c>
      <c r="BR367" t="s">
        <v>178</v>
      </c>
      <c r="BS367" t="s">
        <v>81</v>
      </c>
      <c r="BY367">
        <v>60000</v>
      </c>
      <c r="BZ367" t="s">
        <v>114</v>
      </c>
      <c r="CC367" t="s">
        <v>78</v>
      </c>
      <c r="CD367">
        <v>7460</v>
      </c>
      <c r="CE367" t="s">
        <v>82</v>
      </c>
      <c r="CI367">
        <v>3</v>
      </c>
      <c r="CJ367" t="s">
        <v>81</v>
      </c>
      <c r="CK367">
        <v>41</v>
      </c>
      <c r="CL367" t="s">
        <v>66</v>
      </c>
    </row>
    <row r="368" spans="1:90" x14ac:dyDescent="0.3">
      <c r="A368" t="s">
        <v>315</v>
      </c>
      <c r="B368" t="s">
        <v>316</v>
      </c>
      <c r="C368" t="s">
        <v>59</v>
      </c>
      <c r="E368" t="str">
        <f>"GAB2025597"</f>
        <v>GAB2025597</v>
      </c>
      <c r="F368" s="1">
        <v>45763</v>
      </c>
      <c r="G368">
        <v>202601</v>
      </c>
      <c r="H368" t="s">
        <v>77</v>
      </c>
      <c r="I368" t="s">
        <v>78</v>
      </c>
      <c r="J368" t="s">
        <v>317</v>
      </c>
      <c r="K368" t="s">
        <v>62</v>
      </c>
      <c r="L368" t="s">
        <v>126</v>
      </c>
      <c r="M368" t="s">
        <v>127</v>
      </c>
      <c r="N368" t="s">
        <v>629</v>
      </c>
      <c r="O368" t="s">
        <v>65</v>
      </c>
      <c r="P368" t="str">
        <f>"INV-00034756 032045           "</f>
        <v xml:space="preserve">INV-00034756 032045           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27.64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1</v>
      </c>
      <c r="BI368">
        <v>0.1</v>
      </c>
      <c r="BJ368">
        <v>2.2999999999999998</v>
      </c>
      <c r="BK368">
        <v>2.5</v>
      </c>
      <c r="BL368" s="4">
        <v>88.38</v>
      </c>
      <c r="BM368" s="4">
        <v>13.26</v>
      </c>
      <c r="BN368" s="4">
        <v>101.64</v>
      </c>
      <c r="BO368" s="4">
        <v>101.64</v>
      </c>
      <c r="BQ368" t="s">
        <v>1239</v>
      </c>
      <c r="BR368" t="s">
        <v>320</v>
      </c>
      <c r="BS368" s="1">
        <v>45764</v>
      </c>
      <c r="BT368" s="2">
        <v>0.3888888888888889</v>
      </c>
      <c r="BU368" t="s">
        <v>631</v>
      </c>
      <c r="BV368" t="s">
        <v>74</v>
      </c>
      <c r="BY368">
        <v>11343.15</v>
      </c>
      <c r="BZ368" t="s">
        <v>79</v>
      </c>
      <c r="CA368" t="s">
        <v>632</v>
      </c>
      <c r="CC368" t="s">
        <v>127</v>
      </c>
      <c r="CD368">
        <v>1724</v>
      </c>
      <c r="CE368" t="s">
        <v>1133</v>
      </c>
      <c r="CF368" s="1">
        <v>45764</v>
      </c>
      <c r="CI368">
        <v>1</v>
      </c>
      <c r="CJ368">
        <v>1</v>
      </c>
      <c r="CK368">
        <v>21</v>
      </c>
      <c r="CL368" t="s">
        <v>66</v>
      </c>
    </row>
    <row r="369" spans="1:90" x14ac:dyDescent="0.3">
      <c r="A369" t="s">
        <v>315</v>
      </c>
      <c r="B369" t="s">
        <v>316</v>
      </c>
      <c r="C369" t="s">
        <v>59</v>
      </c>
      <c r="E369" t="str">
        <f>"GAB2025598"</f>
        <v>GAB2025598</v>
      </c>
      <c r="F369" s="1">
        <v>45763</v>
      </c>
      <c r="G369">
        <v>202601</v>
      </c>
      <c r="H369" t="s">
        <v>77</v>
      </c>
      <c r="I369" t="s">
        <v>78</v>
      </c>
      <c r="J369" t="s">
        <v>317</v>
      </c>
      <c r="K369" t="s">
        <v>62</v>
      </c>
      <c r="L369" t="s">
        <v>91</v>
      </c>
      <c r="M369" t="s">
        <v>92</v>
      </c>
      <c r="N369" t="s">
        <v>684</v>
      </c>
      <c r="O369" t="s">
        <v>65</v>
      </c>
      <c r="P369" t="str">
        <f>"INV-00034757 032019           "</f>
        <v xml:space="preserve">INV-00034757 032019           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22.11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1</v>
      </c>
      <c r="BI369">
        <v>0.1</v>
      </c>
      <c r="BJ369">
        <v>1.9</v>
      </c>
      <c r="BK369">
        <v>2</v>
      </c>
      <c r="BL369" s="4">
        <v>70.709999999999994</v>
      </c>
      <c r="BM369" s="4">
        <v>10.61</v>
      </c>
      <c r="BN369" s="4">
        <v>81.319999999999993</v>
      </c>
      <c r="BO369" s="4">
        <v>81.319999999999993</v>
      </c>
      <c r="BQ369" t="s">
        <v>615</v>
      </c>
      <c r="BR369" t="s">
        <v>320</v>
      </c>
      <c r="BS369" s="1">
        <v>45764</v>
      </c>
      <c r="BT369" s="2">
        <v>0.43402777777777779</v>
      </c>
      <c r="BU369" t="s">
        <v>1240</v>
      </c>
      <c r="BV369" t="s">
        <v>74</v>
      </c>
      <c r="BY369">
        <v>9432.6299999999992</v>
      </c>
      <c r="BZ369" t="s">
        <v>79</v>
      </c>
      <c r="CA369" t="s">
        <v>201</v>
      </c>
      <c r="CC369" t="s">
        <v>92</v>
      </c>
      <c r="CD369" s="3" t="s">
        <v>94</v>
      </c>
      <c r="CE369" t="s">
        <v>343</v>
      </c>
      <c r="CF369" s="1">
        <v>45764</v>
      </c>
      <c r="CI369">
        <v>1</v>
      </c>
      <c r="CJ369">
        <v>1</v>
      </c>
      <c r="CK369">
        <v>21</v>
      </c>
      <c r="CL369" t="s">
        <v>66</v>
      </c>
    </row>
    <row r="370" spans="1:90" x14ac:dyDescent="0.3">
      <c r="A370" t="s">
        <v>315</v>
      </c>
      <c r="B370" t="s">
        <v>316</v>
      </c>
      <c r="C370" t="s">
        <v>59</v>
      </c>
      <c r="E370" t="str">
        <f>"GAB2025599"</f>
        <v>GAB2025599</v>
      </c>
      <c r="F370" s="1">
        <v>45763</v>
      </c>
      <c r="G370">
        <v>202601</v>
      </c>
      <c r="H370" t="s">
        <v>77</v>
      </c>
      <c r="I370" t="s">
        <v>78</v>
      </c>
      <c r="J370" t="s">
        <v>317</v>
      </c>
      <c r="K370" t="s">
        <v>62</v>
      </c>
      <c r="L370" t="s">
        <v>95</v>
      </c>
      <c r="M370" t="s">
        <v>96</v>
      </c>
      <c r="N370" t="s">
        <v>1241</v>
      </c>
      <c r="O370" t="s">
        <v>65</v>
      </c>
      <c r="P370" t="str">
        <f>"INV-00034758 032018           "</f>
        <v xml:space="preserve">INV-00034758 032018           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27.64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1</v>
      </c>
      <c r="BI370">
        <v>0.1</v>
      </c>
      <c r="BJ370">
        <v>2.1</v>
      </c>
      <c r="BK370">
        <v>2.5</v>
      </c>
      <c r="BL370" s="4">
        <v>88.38</v>
      </c>
      <c r="BM370" s="4">
        <v>13.26</v>
      </c>
      <c r="BN370" s="4">
        <v>101.64</v>
      </c>
      <c r="BO370" s="4">
        <v>101.64</v>
      </c>
      <c r="BQ370" t="s">
        <v>615</v>
      </c>
      <c r="BR370" t="s">
        <v>320</v>
      </c>
      <c r="BS370" s="1">
        <v>45764</v>
      </c>
      <c r="BT370" s="2">
        <v>0.3125</v>
      </c>
      <c r="BU370" t="s">
        <v>1242</v>
      </c>
      <c r="BV370" t="s">
        <v>74</v>
      </c>
      <c r="BY370">
        <v>10322.91</v>
      </c>
      <c r="BZ370" t="s">
        <v>79</v>
      </c>
      <c r="CA370" t="s">
        <v>911</v>
      </c>
      <c r="CC370" t="s">
        <v>96</v>
      </c>
      <c r="CD370">
        <v>2001</v>
      </c>
      <c r="CE370" t="s">
        <v>393</v>
      </c>
      <c r="CF370" s="1">
        <v>45764</v>
      </c>
      <c r="CI370">
        <v>1</v>
      </c>
      <c r="CJ370">
        <v>1</v>
      </c>
      <c r="CK370">
        <v>21</v>
      </c>
      <c r="CL370" t="s">
        <v>66</v>
      </c>
    </row>
    <row r="371" spans="1:90" x14ac:dyDescent="0.3">
      <c r="A371" t="s">
        <v>315</v>
      </c>
      <c r="B371" t="s">
        <v>316</v>
      </c>
      <c r="C371" t="s">
        <v>59</v>
      </c>
      <c r="E371" t="str">
        <f>"GAB2025600"</f>
        <v>GAB2025600</v>
      </c>
      <c r="F371" s="1">
        <v>45763</v>
      </c>
      <c r="G371">
        <v>202601</v>
      </c>
      <c r="H371" t="s">
        <v>77</v>
      </c>
      <c r="I371" t="s">
        <v>78</v>
      </c>
      <c r="J371" t="s">
        <v>317</v>
      </c>
      <c r="K371" t="s">
        <v>62</v>
      </c>
      <c r="L371" t="s">
        <v>91</v>
      </c>
      <c r="M371" t="s">
        <v>92</v>
      </c>
      <c r="N371" t="s">
        <v>1090</v>
      </c>
      <c r="O371" t="s">
        <v>65</v>
      </c>
      <c r="P371" t="str">
        <f>"INV-00034759 032028           "</f>
        <v xml:space="preserve">INV-00034759 032028           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0</v>
      </c>
      <c r="AG371">
        <v>0</v>
      </c>
      <c r="AH371">
        <v>0</v>
      </c>
      <c r="AI371">
        <v>0</v>
      </c>
      <c r="AJ371">
        <v>0</v>
      </c>
      <c r="AK371">
        <v>33.159999999999997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1</v>
      </c>
      <c r="BI371">
        <v>0.1</v>
      </c>
      <c r="BJ371">
        <v>2.9</v>
      </c>
      <c r="BK371">
        <v>3</v>
      </c>
      <c r="BL371" s="4">
        <v>106.04</v>
      </c>
      <c r="BM371" s="4">
        <v>15.91</v>
      </c>
      <c r="BN371" s="4">
        <v>121.95</v>
      </c>
      <c r="BO371" s="4">
        <v>121.95</v>
      </c>
      <c r="BQ371" t="s">
        <v>404</v>
      </c>
      <c r="BR371" t="s">
        <v>320</v>
      </c>
      <c r="BS371" s="1">
        <v>45764</v>
      </c>
      <c r="BT371" s="2">
        <v>0.39027777777777778</v>
      </c>
      <c r="BU371" t="s">
        <v>1243</v>
      </c>
      <c r="BV371" t="s">
        <v>74</v>
      </c>
      <c r="BY371">
        <v>14391</v>
      </c>
      <c r="BZ371" t="s">
        <v>79</v>
      </c>
      <c r="CA371" t="s">
        <v>1092</v>
      </c>
      <c r="CC371" t="s">
        <v>92</v>
      </c>
      <c r="CD371" s="3" t="s">
        <v>94</v>
      </c>
      <c r="CE371" t="s">
        <v>393</v>
      </c>
      <c r="CF371" s="1">
        <v>45764</v>
      </c>
      <c r="CI371">
        <v>1</v>
      </c>
      <c r="CJ371">
        <v>1</v>
      </c>
      <c r="CK371">
        <v>21</v>
      </c>
      <c r="CL371" t="s">
        <v>66</v>
      </c>
    </row>
    <row r="372" spans="1:90" x14ac:dyDescent="0.3">
      <c r="A372" t="s">
        <v>315</v>
      </c>
      <c r="B372" t="s">
        <v>316</v>
      </c>
      <c r="C372" t="s">
        <v>59</v>
      </c>
      <c r="E372" t="str">
        <f>"GAB2025601"</f>
        <v>GAB2025601</v>
      </c>
      <c r="F372" s="1">
        <v>45763</v>
      </c>
      <c r="G372">
        <v>202601</v>
      </c>
      <c r="H372" t="s">
        <v>77</v>
      </c>
      <c r="I372" t="s">
        <v>78</v>
      </c>
      <c r="J372" t="s">
        <v>317</v>
      </c>
      <c r="K372" t="s">
        <v>62</v>
      </c>
      <c r="L372" t="s">
        <v>89</v>
      </c>
      <c r="M372" t="s">
        <v>90</v>
      </c>
      <c r="N372" t="s">
        <v>691</v>
      </c>
      <c r="O372" t="s">
        <v>65</v>
      </c>
      <c r="P372" t="str">
        <f>"INV-00034760 031777           "</f>
        <v xml:space="preserve">INV-00034760 031777           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27.64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1</v>
      </c>
      <c r="BI372">
        <v>0.2</v>
      </c>
      <c r="BJ372">
        <v>2.1</v>
      </c>
      <c r="BK372">
        <v>2.5</v>
      </c>
      <c r="BL372" s="4">
        <v>88.38</v>
      </c>
      <c r="BM372" s="4">
        <v>13.26</v>
      </c>
      <c r="BN372" s="4">
        <v>101.64</v>
      </c>
      <c r="BO372" s="4">
        <v>101.64</v>
      </c>
      <c r="BQ372" t="s">
        <v>1067</v>
      </c>
      <c r="BR372" t="s">
        <v>320</v>
      </c>
      <c r="BS372" s="1">
        <v>45766</v>
      </c>
      <c r="BT372" s="2">
        <v>0.43402777777777779</v>
      </c>
      <c r="BU372" t="s">
        <v>1244</v>
      </c>
      <c r="BV372" t="s">
        <v>74</v>
      </c>
      <c r="BY372">
        <v>10549</v>
      </c>
      <c r="BZ372" t="s">
        <v>79</v>
      </c>
      <c r="CC372" t="s">
        <v>90</v>
      </c>
      <c r="CD372">
        <v>4000</v>
      </c>
      <c r="CE372" t="s">
        <v>343</v>
      </c>
      <c r="CI372">
        <v>2</v>
      </c>
      <c r="CJ372">
        <v>2</v>
      </c>
      <c r="CK372">
        <v>21</v>
      </c>
      <c r="CL372" t="s">
        <v>66</v>
      </c>
    </row>
    <row r="373" spans="1:90" x14ac:dyDescent="0.3">
      <c r="A373" t="s">
        <v>315</v>
      </c>
      <c r="B373" t="s">
        <v>316</v>
      </c>
      <c r="C373" t="s">
        <v>59</v>
      </c>
      <c r="E373" t="str">
        <f>"GAB2025602"</f>
        <v>GAB2025602</v>
      </c>
      <c r="F373" s="1">
        <v>45763</v>
      </c>
      <c r="G373">
        <v>202601</v>
      </c>
      <c r="H373" t="s">
        <v>77</v>
      </c>
      <c r="I373" t="s">
        <v>78</v>
      </c>
      <c r="J373" t="s">
        <v>317</v>
      </c>
      <c r="K373" t="s">
        <v>62</v>
      </c>
      <c r="L373" t="s">
        <v>95</v>
      </c>
      <c r="M373" t="s">
        <v>96</v>
      </c>
      <c r="N373" t="s">
        <v>795</v>
      </c>
      <c r="O373" t="s">
        <v>65</v>
      </c>
      <c r="P373" t="str">
        <f>"INV-00034763 031812           "</f>
        <v xml:space="preserve">INV-00034763 031812           </v>
      </c>
      <c r="Q373">
        <v>0</v>
      </c>
      <c r="R373">
        <v>0</v>
      </c>
      <c r="S373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>
        <v>0</v>
      </c>
      <c r="AF373">
        <v>0</v>
      </c>
      <c r="AG373">
        <v>0</v>
      </c>
      <c r="AH373">
        <v>0</v>
      </c>
      <c r="AI373">
        <v>0</v>
      </c>
      <c r="AJ373">
        <v>0</v>
      </c>
      <c r="AK373">
        <v>27.64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0</v>
      </c>
      <c r="BA373">
        <v>0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1</v>
      </c>
      <c r="BI373">
        <v>0.3</v>
      </c>
      <c r="BJ373">
        <v>2.1</v>
      </c>
      <c r="BK373">
        <v>2.5</v>
      </c>
      <c r="BL373" s="4">
        <v>88.38</v>
      </c>
      <c r="BM373" s="4">
        <v>13.26</v>
      </c>
      <c r="BN373" s="4">
        <v>101.64</v>
      </c>
      <c r="BO373" s="4">
        <v>101.64</v>
      </c>
      <c r="BQ373" t="s">
        <v>796</v>
      </c>
      <c r="BR373" t="s">
        <v>320</v>
      </c>
      <c r="BS373" s="1">
        <v>45764</v>
      </c>
      <c r="BT373" s="2">
        <v>0.34027777777777779</v>
      </c>
      <c r="BU373" t="s">
        <v>797</v>
      </c>
      <c r="BV373" t="s">
        <v>74</v>
      </c>
      <c r="BY373">
        <v>10429.56</v>
      </c>
      <c r="BZ373" t="s">
        <v>79</v>
      </c>
      <c r="CA373" t="s">
        <v>798</v>
      </c>
      <c r="CC373" t="s">
        <v>96</v>
      </c>
      <c r="CD373">
        <v>2192</v>
      </c>
      <c r="CE373" t="s">
        <v>382</v>
      </c>
      <c r="CF373" s="1">
        <v>45764</v>
      </c>
      <c r="CI373">
        <v>1</v>
      </c>
      <c r="CJ373">
        <v>1</v>
      </c>
      <c r="CK373">
        <v>21</v>
      </c>
      <c r="CL373" t="s">
        <v>66</v>
      </c>
    </row>
    <row r="374" spans="1:90" x14ac:dyDescent="0.3">
      <c r="A374" t="s">
        <v>315</v>
      </c>
      <c r="B374" t="s">
        <v>316</v>
      </c>
      <c r="C374" t="s">
        <v>59</v>
      </c>
      <c r="E374" t="str">
        <f>"GAB2025604"</f>
        <v>GAB2025604</v>
      </c>
      <c r="F374" s="1">
        <v>45763</v>
      </c>
      <c r="G374">
        <v>202601</v>
      </c>
      <c r="H374" t="s">
        <v>77</v>
      </c>
      <c r="I374" t="s">
        <v>78</v>
      </c>
      <c r="J374" t="s">
        <v>317</v>
      </c>
      <c r="K374" t="s">
        <v>62</v>
      </c>
      <c r="L374" t="s">
        <v>83</v>
      </c>
      <c r="M374" t="s">
        <v>84</v>
      </c>
      <c r="N374" t="s">
        <v>749</v>
      </c>
      <c r="O374" t="s">
        <v>65</v>
      </c>
      <c r="P374" t="str">
        <f>"INV-00117040 CT093997         "</f>
        <v xml:space="preserve">INV-00117040 CT093997         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22.11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0</v>
      </c>
      <c r="AT374">
        <v>0</v>
      </c>
      <c r="AU374">
        <v>0</v>
      </c>
      <c r="AV374">
        <v>0</v>
      </c>
      <c r="AW374">
        <v>0</v>
      </c>
      <c r="AX374">
        <v>0</v>
      </c>
      <c r="AY374">
        <v>0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0</v>
      </c>
      <c r="BG374">
        <v>0</v>
      </c>
      <c r="BH374">
        <v>1</v>
      </c>
      <c r="BI374">
        <v>0.2</v>
      </c>
      <c r="BJ374">
        <v>1.8</v>
      </c>
      <c r="BK374">
        <v>2</v>
      </c>
      <c r="BL374" s="4">
        <v>70.709999999999994</v>
      </c>
      <c r="BM374" s="4">
        <v>10.61</v>
      </c>
      <c r="BN374" s="4">
        <v>81.319999999999993</v>
      </c>
      <c r="BO374" s="4">
        <v>81.319999999999993</v>
      </c>
      <c r="BQ374" t="s">
        <v>612</v>
      </c>
      <c r="BR374" t="s">
        <v>320</v>
      </c>
      <c r="BS374" s="1">
        <v>45769</v>
      </c>
      <c r="BT374" s="2">
        <v>0.34375</v>
      </c>
      <c r="BU374" t="s">
        <v>1245</v>
      </c>
      <c r="BV374" t="s">
        <v>66</v>
      </c>
      <c r="BY374">
        <v>9172.9</v>
      </c>
      <c r="BZ374" t="s">
        <v>79</v>
      </c>
      <c r="CA374" t="s">
        <v>176</v>
      </c>
      <c r="CC374" t="s">
        <v>84</v>
      </c>
      <c r="CD374">
        <v>3201</v>
      </c>
      <c r="CE374" t="s">
        <v>343</v>
      </c>
      <c r="CI374">
        <v>1</v>
      </c>
      <c r="CJ374">
        <v>4</v>
      </c>
      <c r="CK374">
        <v>21</v>
      </c>
      <c r="CL374" t="s">
        <v>66</v>
      </c>
    </row>
    <row r="375" spans="1:90" x14ac:dyDescent="0.3">
      <c r="A375" t="s">
        <v>315</v>
      </c>
      <c r="B375" t="s">
        <v>316</v>
      </c>
      <c r="C375" t="s">
        <v>59</v>
      </c>
      <c r="E375" t="str">
        <f>"GAB2025605"</f>
        <v>GAB2025605</v>
      </c>
      <c r="F375" s="1">
        <v>45763</v>
      </c>
      <c r="G375">
        <v>202601</v>
      </c>
      <c r="H375" t="s">
        <v>77</v>
      </c>
      <c r="I375" t="s">
        <v>78</v>
      </c>
      <c r="J375" t="s">
        <v>317</v>
      </c>
      <c r="K375" t="s">
        <v>62</v>
      </c>
      <c r="L375" t="s">
        <v>106</v>
      </c>
      <c r="M375" t="s">
        <v>107</v>
      </c>
      <c r="N375" t="s">
        <v>600</v>
      </c>
      <c r="O375" t="s">
        <v>65</v>
      </c>
      <c r="P375" t="str">
        <f>"INV-00117041 CT093998         "</f>
        <v xml:space="preserve">INV-00117041 CT093998         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22.11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16.739999999999998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1</v>
      </c>
      <c r="BI375">
        <v>0.1</v>
      </c>
      <c r="BJ375">
        <v>1.8</v>
      </c>
      <c r="BK375">
        <v>2</v>
      </c>
      <c r="BL375" s="4">
        <v>87.45</v>
      </c>
      <c r="BM375" s="4">
        <v>13.12</v>
      </c>
      <c r="BN375" s="4">
        <v>100.57</v>
      </c>
      <c r="BO375" s="4">
        <v>100.57</v>
      </c>
      <c r="BQ375" t="s">
        <v>456</v>
      </c>
      <c r="BR375" t="s">
        <v>320</v>
      </c>
      <c r="BS375" s="1">
        <v>45764</v>
      </c>
      <c r="BT375" s="2">
        <v>0.40972222222222221</v>
      </c>
      <c r="BU375" t="s">
        <v>162</v>
      </c>
      <c r="BV375" t="s">
        <v>74</v>
      </c>
      <c r="BY375">
        <v>9218.8799999999992</v>
      </c>
      <c r="BZ375" t="s">
        <v>97</v>
      </c>
      <c r="CA375" t="s">
        <v>458</v>
      </c>
      <c r="CC375" t="s">
        <v>107</v>
      </c>
      <c r="CD375">
        <v>1475</v>
      </c>
      <c r="CE375" t="s">
        <v>393</v>
      </c>
      <c r="CF375" s="1">
        <v>45764</v>
      </c>
      <c r="CI375">
        <v>1</v>
      </c>
      <c r="CJ375">
        <v>1</v>
      </c>
      <c r="CK375">
        <v>21</v>
      </c>
      <c r="CL375" t="s">
        <v>66</v>
      </c>
    </row>
    <row r="376" spans="1:90" x14ac:dyDescent="0.3">
      <c r="A376" t="s">
        <v>315</v>
      </c>
      <c r="B376" t="s">
        <v>316</v>
      </c>
      <c r="C376" t="s">
        <v>59</v>
      </c>
      <c r="E376" t="str">
        <f>"GAB2025606"</f>
        <v>GAB2025606</v>
      </c>
      <c r="F376" s="1">
        <v>45763</v>
      </c>
      <c r="G376">
        <v>202601</v>
      </c>
      <c r="H376" t="s">
        <v>77</v>
      </c>
      <c r="I376" t="s">
        <v>78</v>
      </c>
      <c r="J376" t="s">
        <v>317</v>
      </c>
      <c r="K376" t="s">
        <v>62</v>
      </c>
      <c r="L376" t="s">
        <v>77</v>
      </c>
      <c r="M376" t="s">
        <v>78</v>
      </c>
      <c r="N376" t="s">
        <v>1155</v>
      </c>
      <c r="O376" t="s">
        <v>65</v>
      </c>
      <c r="P376" t="str">
        <f>"INV-00117042 CT093989         "</f>
        <v xml:space="preserve">INV-00117042 CT093989         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17.27</v>
      </c>
      <c r="AL376">
        <v>0</v>
      </c>
      <c r="AM376">
        <v>0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1</v>
      </c>
      <c r="BI376">
        <v>0.5</v>
      </c>
      <c r="BJ376">
        <v>2.4</v>
      </c>
      <c r="BK376">
        <v>3</v>
      </c>
      <c r="BL376" s="4">
        <v>55.23</v>
      </c>
      <c r="BM376" s="4">
        <v>8.2799999999999994</v>
      </c>
      <c r="BN376" s="4">
        <v>63.51</v>
      </c>
      <c r="BO376" s="4">
        <v>63.51</v>
      </c>
      <c r="BQ376" t="s">
        <v>1156</v>
      </c>
      <c r="BR376" t="s">
        <v>320</v>
      </c>
      <c r="BS376" s="1">
        <v>45764</v>
      </c>
      <c r="BT376" s="2">
        <v>0.37916666666666665</v>
      </c>
      <c r="BU376" t="s">
        <v>286</v>
      </c>
      <c r="BV376" t="s">
        <v>74</v>
      </c>
      <c r="BY376">
        <v>11801.4</v>
      </c>
      <c r="BZ376" t="s">
        <v>79</v>
      </c>
      <c r="CA376" t="s">
        <v>175</v>
      </c>
      <c r="CC376" t="s">
        <v>78</v>
      </c>
      <c r="CD376">
        <v>7441</v>
      </c>
      <c r="CE376" t="s">
        <v>412</v>
      </c>
      <c r="CI376">
        <v>1</v>
      </c>
      <c r="CJ376">
        <v>1</v>
      </c>
      <c r="CK376">
        <v>22</v>
      </c>
      <c r="CL376" t="s">
        <v>66</v>
      </c>
    </row>
    <row r="377" spans="1:90" x14ac:dyDescent="0.3">
      <c r="A377" t="s">
        <v>315</v>
      </c>
      <c r="B377" t="s">
        <v>316</v>
      </c>
      <c r="C377" t="s">
        <v>59</v>
      </c>
      <c r="E377" t="str">
        <f>"GAB2025607"</f>
        <v>GAB2025607</v>
      </c>
      <c r="F377" s="1">
        <v>45763</v>
      </c>
      <c r="G377">
        <v>202601</v>
      </c>
      <c r="H377" t="s">
        <v>77</v>
      </c>
      <c r="I377" t="s">
        <v>78</v>
      </c>
      <c r="J377" t="s">
        <v>317</v>
      </c>
      <c r="K377" t="s">
        <v>62</v>
      </c>
      <c r="L377" t="s">
        <v>63</v>
      </c>
      <c r="M377" t="s">
        <v>64</v>
      </c>
      <c r="N377" t="s">
        <v>336</v>
      </c>
      <c r="O377" t="s">
        <v>65</v>
      </c>
      <c r="P377" t="str">
        <f>"INV-00117043 CT093623         "</f>
        <v xml:space="preserve">INV-00117043 CT093623         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22.11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1</v>
      </c>
      <c r="BI377">
        <v>0.1</v>
      </c>
      <c r="BJ377">
        <v>2</v>
      </c>
      <c r="BK377">
        <v>2</v>
      </c>
      <c r="BL377" s="4">
        <v>70.709999999999994</v>
      </c>
      <c r="BM377" s="4">
        <v>10.61</v>
      </c>
      <c r="BN377" s="4">
        <v>81.319999999999993</v>
      </c>
      <c r="BO377" s="4">
        <v>81.319999999999993</v>
      </c>
      <c r="BR377" t="s">
        <v>320</v>
      </c>
      <c r="BS377" s="1">
        <v>45764</v>
      </c>
      <c r="BT377" s="2">
        <v>0.4375</v>
      </c>
      <c r="BU377" t="s">
        <v>1193</v>
      </c>
      <c r="BV377" t="s">
        <v>74</v>
      </c>
      <c r="BY377">
        <v>10044</v>
      </c>
      <c r="BZ377" t="s">
        <v>79</v>
      </c>
      <c r="CA377" t="s">
        <v>299</v>
      </c>
      <c r="CC377" t="s">
        <v>64</v>
      </c>
      <c r="CD377">
        <v>5200</v>
      </c>
      <c r="CE377" t="s">
        <v>393</v>
      </c>
      <c r="CF377" s="1">
        <v>45764</v>
      </c>
      <c r="CI377">
        <v>1</v>
      </c>
      <c r="CJ377">
        <v>1</v>
      </c>
      <c r="CK377">
        <v>21</v>
      </c>
      <c r="CL377" t="s">
        <v>66</v>
      </c>
    </row>
    <row r="378" spans="1:90" x14ac:dyDescent="0.3">
      <c r="A378" t="s">
        <v>315</v>
      </c>
      <c r="B378" t="s">
        <v>316</v>
      </c>
      <c r="C378" t="s">
        <v>59</v>
      </c>
      <c r="E378" t="str">
        <f>"GAB2025609"</f>
        <v>GAB2025609</v>
      </c>
      <c r="F378" s="1">
        <v>45763</v>
      </c>
      <c r="G378">
        <v>202601</v>
      </c>
      <c r="H378" t="s">
        <v>77</v>
      </c>
      <c r="I378" t="s">
        <v>78</v>
      </c>
      <c r="J378" t="s">
        <v>317</v>
      </c>
      <c r="K378" t="s">
        <v>62</v>
      </c>
      <c r="L378" t="s">
        <v>532</v>
      </c>
      <c r="M378" t="s">
        <v>533</v>
      </c>
      <c r="N378" t="s">
        <v>534</v>
      </c>
      <c r="O378" t="s">
        <v>65</v>
      </c>
      <c r="P378" t="str">
        <f>"INV-00117024 CT093988         "</f>
        <v xml:space="preserve">INV-00117024 CT093988         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42.84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1</v>
      </c>
      <c r="BI378">
        <v>0.3</v>
      </c>
      <c r="BJ378">
        <v>1.8</v>
      </c>
      <c r="BK378">
        <v>2</v>
      </c>
      <c r="BL378" s="4">
        <v>137</v>
      </c>
      <c r="BM378" s="4">
        <v>20.55</v>
      </c>
      <c r="BN378" s="4">
        <v>157.55000000000001</v>
      </c>
      <c r="BO378" s="4">
        <v>157.55000000000001</v>
      </c>
      <c r="BQ378" t="s">
        <v>535</v>
      </c>
      <c r="BR378" t="s">
        <v>320</v>
      </c>
      <c r="BS378" s="1">
        <v>45764</v>
      </c>
      <c r="BT378" s="2">
        <v>0.39930555555555558</v>
      </c>
      <c r="BU378" t="s">
        <v>270</v>
      </c>
      <c r="BV378" t="s">
        <v>74</v>
      </c>
      <c r="BY378">
        <v>9228.9599999999991</v>
      </c>
      <c r="BZ378" t="s">
        <v>79</v>
      </c>
      <c r="CA378" t="s">
        <v>536</v>
      </c>
      <c r="CC378" t="s">
        <v>533</v>
      </c>
      <c r="CD378">
        <v>9459</v>
      </c>
      <c r="CE378" t="s">
        <v>852</v>
      </c>
      <c r="CF378" s="1">
        <v>45764</v>
      </c>
      <c r="CI378">
        <v>2</v>
      </c>
      <c r="CJ378">
        <v>1</v>
      </c>
      <c r="CK378">
        <v>23</v>
      </c>
      <c r="CL378" t="s">
        <v>66</v>
      </c>
    </row>
    <row r="379" spans="1:90" x14ac:dyDescent="0.3">
      <c r="A379" t="s">
        <v>315</v>
      </c>
      <c r="B379" t="s">
        <v>316</v>
      </c>
      <c r="C379" t="s">
        <v>59</v>
      </c>
      <c r="E379" t="str">
        <f>"GAB2025610"</f>
        <v>GAB2025610</v>
      </c>
      <c r="F379" s="1">
        <v>45763</v>
      </c>
      <c r="G379">
        <v>202601</v>
      </c>
      <c r="H379" t="s">
        <v>77</v>
      </c>
      <c r="I379" t="s">
        <v>78</v>
      </c>
      <c r="J379" t="s">
        <v>317</v>
      </c>
      <c r="K379" t="s">
        <v>62</v>
      </c>
      <c r="L379" t="s">
        <v>91</v>
      </c>
      <c r="M379" t="s">
        <v>92</v>
      </c>
      <c r="N379" t="s">
        <v>617</v>
      </c>
      <c r="O379" t="s">
        <v>65</v>
      </c>
      <c r="P379" t="str">
        <f>"INV-00117025 CT093990         "</f>
        <v xml:space="preserve">INV-00117025 CT093990         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22.11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0</v>
      </c>
      <c r="AY379">
        <v>0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1</v>
      </c>
      <c r="BI379">
        <v>0.3</v>
      </c>
      <c r="BJ379">
        <v>2</v>
      </c>
      <c r="BK379">
        <v>2</v>
      </c>
      <c r="BL379" s="4">
        <v>70.709999999999994</v>
      </c>
      <c r="BM379" s="4">
        <v>10.61</v>
      </c>
      <c r="BN379" s="4">
        <v>81.319999999999993</v>
      </c>
      <c r="BO379" s="4">
        <v>81.319999999999993</v>
      </c>
      <c r="BQ379" t="s">
        <v>618</v>
      </c>
      <c r="BR379" t="s">
        <v>320</v>
      </c>
      <c r="BS379" s="1">
        <v>45764</v>
      </c>
      <c r="BT379" s="2">
        <v>0.41319444444444442</v>
      </c>
      <c r="BU379" t="s">
        <v>1246</v>
      </c>
      <c r="BV379" t="s">
        <v>74</v>
      </c>
      <c r="BY379">
        <v>9926.7000000000007</v>
      </c>
      <c r="BZ379" t="s">
        <v>79</v>
      </c>
      <c r="CA379" t="s">
        <v>253</v>
      </c>
      <c r="CC379" t="s">
        <v>92</v>
      </c>
      <c r="CD379" s="3" t="s">
        <v>94</v>
      </c>
      <c r="CE379" t="s">
        <v>382</v>
      </c>
      <c r="CF379" s="1">
        <v>45764</v>
      </c>
      <c r="CI379">
        <v>1</v>
      </c>
      <c r="CJ379">
        <v>1</v>
      </c>
      <c r="CK379">
        <v>21</v>
      </c>
      <c r="CL379" t="s">
        <v>66</v>
      </c>
    </row>
    <row r="380" spans="1:90" x14ac:dyDescent="0.3">
      <c r="A380" t="s">
        <v>315</v>
      </c>
      <c r="B380" t="s">
        <v>316</v>
      </c>
      <c r="C380" t="s">
        <v>59</v>
      </c>
      <c r="E380" t="str">
        <f>"GAB2025611"</f>
        <v>GAB2025611</v>
      </c>
      <c r="F380" s="1">
        <v>45763</v>
      </c>
      <c r="G380">
        <v>202601</v>
      </c>
      <c r="H380" t="s">
        <v>77</v>
      </c>
      <c r="I380" t="s">
        <v>78</v>
      </c>
      <c r="J380" t="s">
        <v>317</v>
      </c>
      <c r="K380" t="s">
        <v>62</v>
      </c>
      <c r="L380" t="s">
        <v>77</v>
      </c>
      <c r="M380" t="s">
        <v>78</v>
      </c>
      <c r="N380" t="s">
        <v>1247</v>
      </c>
      <c r="O380" t="s">
        <v>65</v>
      </c>
      <c r="P380" t="str">
        <f>"INV-00117026 CT093986         "</f>
        <v xml:space="preserve">INV-00117026 CT093986         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17.27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1</v>
      </c>
      <c r="BI380">
        <v>0.2</v>
      </c>
      <c r="BJ380">
        <v>1.7</v>
      </c>
      <c r="BK380">
        <v>2</v>
      </c>
      <c r="BL380" s="4">
        <v>55.23</v>
      </c>
      <c r="BM380" s="4">
        <v>8.2799999999999994</v>
      </c>
      <c r="BN380" s="4">
        <v>63.51</v>
      </c>
      <c r="BO380" s="4">
        <v>63.51</v>
      </c>
      <c r="BQ380" t="s">
        <v>989</v>
      </c>
      <c r="BR380" t="s">
        <v>320</v>
      </c>
      <c r="BS380" s="1">
        <v>45764</v>
      </c>
      <c r="BT380" s="2">
        <v>0.37291666666666667</v>
      </c>
      <c r="BU380" t="s">
        <v>1248</v>
      </c>
      <c r="BV380" t="s">
        <v>74</v>
      </c>
      <c r="BY380">
        <v>8653.6</v>
      </c>
      <c r="BZ380" t="s">
        <v>79</v>
      </c>
      <c r="CA380" t="s">
        <v>700</v>
      </c>
      <c r="CC380" t="s">
        <v>78</v>
      </c>
      <c r="CD380">
        <v>7550</v>
      </c>
      <c r="CE380" t="s">
        <v>343</v>
      </c>
      <c r="CI380">
        <v>1</v>
      </c>
      <c r="CJ380">
        <v>1</v>
      </c>
      <c r="CK380">
        <v>22</v>
      </c>
      <c r="CL380" t="s">
        <v>66</v>
      </c>
    </row>
    <row r="381" spans="1:90" x14ac:dyDescent="0.3">
      <c r="A381" t="s">
        <v>315</v>
      </c>
      <c r="B381" t="s">
        <v>316</v>
      </c>
      <c r="C381" t="s">
        <v>59</v>
      </c>
      <c r="E381" t="str">
        <f>"GAB2025612"</f>
        <v>GAB2025612</v>
      </c>
      <c r="F381" s="1">
        <v>45763</v>
      </c>
      <c r="G381">
        <v>202601</v>
      </c>
      <c r="H381" t="s">
        <v>77</v>
      </c>
      <c r="I381" t="s">
        <v>78</v>
      </c>
      <c r="J381" t="s">
        <v>317</v>
      </c>
      <c r="K381" t="s">
        <v>62</v>
      </c>
      <c r="L381" t="s">
        <v>211</v>
      </c>
      <c r="M381" t="s">
        <v>212</v>
      </c>
      <c r="N381" t="s">
        <v>740</v>
      </c>
      <c r="O381" t="s">
        <v>65</v>
      </c>
      <c r="P381" t="str">
        <f>"INV-00117027 CT093985         "</f>
        <v xml:space="preserve">INV-00117027 CT093985         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22.11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1</v>
      </c>
      <c r="BI381">
        <v>0.1</v>
      </c>
      <c r="BJ381">
        <v>1.8</v>
      </c>
      <c r="BK381">
        <v>2</v>
      </c>
      <c r="BL381" s="4">
        <v>70.709999999999994</v>
      </c>
      <c r="BM381" s="4">
        <v>10.61</v>
      </c>
      <c r="BN381" s="4">
        <v>81.319999999999993</v>
      </c>
      <c r="BO381" s="4">
        <v>81.319999999999993</v>
      </c>
      <c r="BQ381" t="s">
        <v>741</v>
      </c>
      <c r="BR381" t="s">
        <v>320</v>
      </c>
      <c r="BS381" s="1">
        <v>45764</v>
      </c>
      <c r="BT381" s="2">
        <v>0.44236111111111109</v>
      </c>
      <c r="BU381" t="s">
        <v>1249</v>
      </c>
      <c r="BV381" t="s">
        <v>74</v>
      </c>
      <c r="BY381">
        <v>8946.93</v>
      </c>
      <c r="BZ381" t="s">
        <v>79</v>
      </c>
      <c r="CA381" t="s">
        <v>743</v>
      </c>
      <c r="CC381" t="s">
        <v>212</v>
      </c>
      <c r="CD381">
        <v>6529</v>
      </c>
      <c r="CE381" t="s">
        <v>393</v>
      </c>
      <c r="CF381" s="1">
        <v>45769</v>
      </c>
      <c r="CI381">
        <v>1</v>
      </c>
      <c r="CJ381">
        <v>1</v>
      </c>
      <c r="CK381">
        <v>21</v>
      </c>
      <c r="CL381" t="s">
        <v>66</v>
      </c>
    </row>
    <row r="382" spans="1:90" x14ac:dyDescent="0.3">
      <c r="A382" t="s">
        <v>315</v>
      </c>
      <c r="B382" t="s">
        <v>316</v>
      </c>
      <c r="C382" t="s">
        <v>59</v>
      </c>
      <c r="E382" t="str">
        <f>"GAB2025613"</f>
        <v>GAB2025613</v>
      </c>
      <c r="F382" s="1">
        <v>45763</v>
      </c>
      <c r="G382">
        <v>202601</v>
      </c>
      <c r="H382" t="s">
        <v>77</v>
      </c>
      <c r="I382" t="s">
        <v>78</v>
      </c>
      <c r="J382" t="s">
        <v>317</v>
      </c>
      <c r="K382" t="s">
        <v>62</v>
      </c>
      <c r="L382" t="s">
        <v>91</v>
      </c>
      <c r="M382" t="s">
        <v>92</v>
      </c>
      <c r="N382" t="s">
        <v>842</v>
      </c>
      <c r="O382" t="s">
        <v>65</v>
      </c>
      <c r="P382" t="str">
        <f>"INV-00117021 CT093974         "</f>
        <v xml:space="preserve">INV-00117021 CT093974         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0</v>
      </c>
      <c r="AA382">
        <v>0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0</v>
      </c>
      <c r="AI382">
        <v>0</v>
      </c>
      <c r="AJ382">
        <v>0</v>
      </c>
      <c r="AK382">
        <v>27.64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1</v>
      </c>
      <c r="BI382">
        <v>0.3</v>
      </c>
      <c r="BJ382">
        <v>2.2999999999999998</v>
      </c>
      <c r="BK382">
        <v>2.5</v>
      </c>
      <c r="BL382" s="4">
        <v>88.38</v>
      </c>
      <c r="BM382" s="4">
        <v>13.26</v>
      </c>
      <c r="BN382" s="4">
        <v>101.64</v>
      </c>
      <c r="BO382" s="4">
        <v>101.64</v>
      </c>
      <c r="BQ382" t="s">
        <v>804</v>
      </c>
      <c r="BR382" t="s">
        <v>320</v>
      </c>
      <c r="BS382" s="1">
        <v>45764</v>
      </c>
      <c r="BT382" s="2">
        <v>0.4152777777777778</v>
      </c>
      <c r="BU382" t="s">
        <v>843</v>
      </c>
      <c r="BV382" t="s">
        <v>74</v>
      </c>
      <c r="BY382">
        <v>11704</v>
      </c>
      <c r="BZ382" t="s">
        <v>79</v>
      </c>
      <c r="CA382" t="s">
        <v>1250</v>
      </c>
      <c r="CC382" t="s">
        <v>92</v>
      </c>
      <c r="CD382" s="3" t="s">
        <v>845</v>
      </c>
      <c r="CE382" t="s">
        <v>578</v>
      </c>
      <c r="CF382" s="1">
        <v>45764</v>
      </c>
      <c r="CI382">
        <v>1</v>
      </c>
      <c r="CJ382">
        <v>1</v>
      </c>
      <c r="CK382">
        <v>21</v>
      </c>
      <c r="CL382" t="s">
        <v>66</v>
      </c>
    </row>
    <row r="383" spans="1:90" x14ac:dyDescent="0.3">
      <c r="A383" t="s">
        <v>315</v>
      </c>
      <c r="B383" t="s">
        <v>316</v>
      </c>
      <c r="C383" t="s">
        <v>59</v>
      </c>
      <c r="E383" t="str">
        <f>"GAB2025614"</f>
        <v>GAB2025614</v>
      </c>
      <c r="F383" s="1">
        <v>45763</v>
      </c>
      <c r="G383">
        <v>202601</v>
      </c>
      <c r="H383" t="s">
        <v>77</v>
      </c>
      <c r="I383" t="s">
        <v>78</v>
      </c>
      <c r="J383" t="s">
        <v>317</v>
      </c>
      <c r="K383" t="s">
        <v>62</v>
      </c>
      <c r="L383" t="s">
        <v>95</v>
      </c>
      <c r="M383" t="s">
        <v>96</v>
      </c>
      <c r="N383" t="s">
        <v>723</v>
      </c>
      <c r="O383" t="s">
        <v>65</v>
      </c>
      <c r="P383" t="str">
        <f>"INV-00034770 032023           "</f>
        <v xml:space="preserve">INV-00034770 032023           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22.11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0</v>
      </c>
      <c r="AU383">
        <v>0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1</v>
      </c>
      <c r="BI383">
        <v>0.2</v>
      </c>
      <c r="BJ383">
        <v>1.7</v>
      </c>
      <c r="BK383">
        <v>2</v>
      </c>
      <c r="BL383" s="4">
        <v>70.709999999999994</v>
      </c>
      <c r="BM383" s="4">
        <v>10.61</v>
      </c>
      <c r="BN383" s="4">
        <v>81.319999999999993</v>
      </c>
      <c r="BO383" s="4">
        <v>81.319999999999993</v>
      </c>
      <c r="BQ383" t="s">
        <v>785</v>
      </c>
      <c r="BR383" t="s">
        <v>320</v>
      </c>
      <c r="BS383" s="1">
        <v>45764</v>
      </c>
      <c r="BT383" s="2">
        <v>0.32291666666666669</v>
      </c>
      <c r="BU383" t="s">
        <v>1120</v>
      </c>
      <c r="BV383" t="s">
        <v>74</v>
      </c>
      <c r="BY383">
        <v>8444.57</v>
      </c>
      <c r="BZ383" t="s">
        <v>79</v>
      </c>
      <c r="CA383" t="s">
        <v>725</v>
      </c>
      <c r="CC383" t="s">
        <v>96</v>
      </c>
      <c r="CD383">
        <v>2191</v>
      </c>
      <c r="CE383" t="s">
        <v>393</v>
      </c>
      <c r="CF383" s="1">
        <v>45764</v>
      </c>
      <c r="CI383">
        <v>1</v>
      </c>
      <c r="CJ383">
        <v>1</v>
      </c>
      <c r="CK383">
        <v>21</v>
      </c>
      <c r="CL383" t="s">
        <v>66</v>
      </c>
    </row>
    <row r="384" spans="1:90" x14ac:dyDescent="0.3">
      <c r="A384" t="s">
        <v>315</v>
      </c>
      <c r="B384" t="s">
        <v>316</v>
      </c>
      <c r="C384" t="s">
        <v>59</v>
      </c>
      <c r="E384" t="str">
        <f>"GAB2025616"</f>
        <v>GAB2025616</v>
      </c>
      <c r="F384" s="1">
        <v>45763</v>
      </c>
      <c r="G384">
        <v>202601</v>
      </c>
      <c r="H384" t="s">
        <v>77</v>
      </c>
      <c r="I384" t="s">
        <v>78</v>
      </c>
      <c r="J384" t="s">
        <v>317</v>
      </c>
      <c r="K384" t="s">
        <v>62</v>
      </c>
      <c r="L384" t="s">
        <v>83</v>
      </c>
      <c r="M384" t="s">
        <v>84</v>
      </c>
      <c r="N384" t="s">
        <v>483</v>
      </c>
      <c r="O384" t="s">
        <v>65</v>
      </c>
      <c r="P384" t="str">
        <f>"INV-00034772 032004           "</f>
        <v xml:space="preserve">INV-00034772 032004           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27.64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1</v>
      </c>
      <c r="BI384">
        <v>0.1</v>
      </c>
      <c r="BJ384">
        <v>2.1</v>
      </c>
      <c r="BK384">
        <v>2.5</v>
      </c>
      <c r="BL384" s="4">
        <v>88.38</v>
      </c>
      <c r="BM384" s="4">
        <v>13.26</v>
      </c>
      <c r="BN384" s="4">
        <v>101.64</v>
      </c>
      <c r="BO384" s="4">
        <v>101.64</v>
      </c>
      <c r="BQ384" t="s">
        <v>612</v>
      </c>
      <c r="BR384" t="s">
        <v>320</v>
      </c>
      <c r="BS384" t="s">
        <v>81</v>
      </c>
      <c r="BY384">
        <v>10446.26</v>
      </c>
      <c r="BZ384" t="s">
        <v>79</v>
      </c>
      <c r="CC384" t="s">
        <v>84</v>
      </c>
      <c r="CD384">
        <v>3201</v>
      </c>
      <c r="CE384" t="s">
        <v>393</v>
      </c>
      <c r="CI384">
        <v>1</v>
      </c>
      <c r="CJ384" t="s">
        <v>81</v>
      </c>
      <c r="CK384">
        <v>21</v>
      </c>
      <c r="CL384" t="s">
        <v>66</v>
      </c>
    </row>
    <row r="385" spans="1:90" x14ac:dyDescent="0.3">
      <c r="A385" t="s">
        <v>315</v>
      </c>
      <c r="B385" t="s">
        <v>316</v>
      </c>
      <c r="C385" t="s">
        <v>59</v>
      </c>
      <c r="E385" t="str">
        <f>"GAB2025617"</f>
        <v>GAB2025617</v>
      </c>
      <c r="F385" s="1">
        <v>45763</v>
      </c>
      <c r="G385">
        <v>202601</v>
      </c>
      <c r="H385" t="s">
        <v>77</v>
      </c>
      <c r="I385" t="s">
        <v>78</v>
      </c>
      <c r="J385" t="s">
        <v>317</v>
      </c>
      <c r="K385" t="s">
        <v>62</v>
      </c>
      <c r="L385" t="s">
        <v>91</v>
      </c>
      <c r="M385" t="s">
        <v>92</v>
      </c>
      <c r="N385" t="s">
        <v>850</v>
      </c>
      <c r="O385" t="s">
        <v>65</v>
      </c>
      <c r="P385" t="str">
        <f>"INV-00034771 032017           "</f>
        <v xml:space="preserve">INV-00034771 032017           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22.11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1</v>
      </c>
      <c r="BI385">
        <v>0.2</v>
      </c>
      <c r="BJ385">
        <v>1.8</v>
      </c>
      <c r="BK385">
        <v>2</v>
      </c>
      <c r="BL385" s="4">
        <v>70.709999999999994</v>
      </c>
      <c r="BM385" s="4">
        <v>10.61</v>
      </c>
      <c r="BN385" s="4">
        <v>81.319999999999993</v>
      </c>
      <c r="BO385" s="4">
        <v>81.319999999999993</v>
      </c>
      <c r="BQ385" t="s">
        <v>310</v>
      </c>
      <c r="BR385" t="s">
        <v>320</v>
      </c>
      <c r="BS385" s="1">
        <v>45764</v>
      </c>
      <c r="BT385" s="2">
        <v>0.31874999999999998</v>
      </c>
      <c r="BU385" t="s">
        <v>1098</v>
      </c>
      <c r="BV385" t="s">
        <v>74</v>
      </c>
      <c r="BY385">
        <v>9028.7999999999993</v>
      </c>
      <c r="BZ385" t="s">
        <v>79</v>
      </c>
      <c r="CA385" t="s">
        <v>147</v>
      </c>
      <c r="CC385" t="s">
        <v>92</v>
      </c>
      <c r="CD385" s="3" t="s">
        <v>94</v>
      </c>
      <c r="CE385" t="s">
        <v>1251</v>
      </c>
      <c r="CF385" s="1">
        <v>45764</v>
      </c>
      <c r="CI385">
        <v>1</v>
      </c>
      <c r="CJ385">
        <v>1</v>
      </c>
      <c r="CK385">
        <v>21</v>
      </c>
      <c r="CL385" t="s">
        <v>66</v>
      </c>
    </row>
    <row r="386" spans="1:90" x14ac:dyDescent="0.3">
      <c r="A386" t="s">
        <v>315</v>
      </c>
      <c r="B386" t="s">
        <v>316</v>
      </c>
      <c r="C386" t="s">
        <v>59</v>
      </c>
      <c r="E386" t="str">
        <f>"GAB2025618"</f>
        <v>GAB2025618</v>
      </c>
      <c r="F386" s="1">
        <v>45763</v>
      </c>
      <c r="G386">
        <v>202601</v>
      </c>
      <c r="H386" t="s">
        <v>77</v>
      </c>
      <c r="I386" t="s">
        <v>78</v>
      </c>
      <c r="J386" t="s">
        <v>317</v>
      </c>
      <c r="K386" t="s">
        <v>62</v>
      </c>
      <c r="L386" t="s">
        <v>145</v>
      </c>
      <c r="M386" t="s">
        <v>146</v>
      </c>
      <c r="N386" t="s">
        <v>597</v>
      </c>
      <c r="O386" t="s">
        <v>65</v>
      </c>
      <c r="P386" t="str">
        <f>"INV-00034768 032024           "</f>
        <v xml:space="preserve">INV-00034768 032024           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42.84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1</v>
      </c>
      <c r="BI386">
        <v>0.1</v>
      </c>
      <c r="BJ386">
        <v>1.8</v>
      </c>
      <c r="BK386">
        <v>2</v>
      </c>
      <c r="BL386" s="4">
        <v>137</v>
      </c>
      <c r="BM386" s="4">
        <v>20.55</v>
      </c>
      <c r="BN386" s="4">
        <v>157.55000000000001</v>
      </c>
      <c r="BO386" s="4">
        <v>157.55000000000001</v>
      </c>
      <c r="BQ386" t="s">
        <v>404</v>
      </c>
      <c r="BR386" t="s">
        <v>320</v>
      </c>
      <c r="BS386" t="s">
        <v>81</v>
      </c>
      <c r="BY386">
        <v>9030.7999999999993</v>
      </c>
      <c r="BZ386" t="s">
        <v>79</v>
      </c>
      <c r="CC386" t="s">
        <v>146</v>
      </c>
      <c r="CD386">
        <v>3900</v>
      </c>
      <c r="CE386" t="s">
        <v>393</v>
      </c>
      <c r="CI386">
        <v>2</v>
      </c>
      <c r="CJ386" t="s">
        <v>81</v>
      </c>
      <c r="CK386">
        <v>23</v>
      </c>
      <c r="CL386" t="s">
        <v>66</v>
      </c>
    </row>
    <row r="387" spans="1:90" x14ac:dyDescent="0.3">
      <c r="A387" t="s">
        <v>315</v>
      </c>
      <c r="B387" t="s">
        <v>316</v>
      </c>
      <c r="C387" t="s">
        <v>59</v>
      </c>
      <c r="E387" t="str">
        <f>"GAB2025619"</f>
        <v>GAB2025619</v>
      </c>
      <c r="F387" s="1">
        <v>45763</v>
      </c>
      <c r="G387">
        <v>202601</v>
      </c>
      <c r="H387" t="s">
        <v>77</v>
      </c>
      <c r="I387" t="s">
        <v>78</v>
      </c>
      <c r="J387" t="s">
        <v>317</v>
      </c>
      <c r="K387" t="s">
        <v>62</v>
      </c>
      <c r="L387" t="s">
        <v>89</v>
      </c>
      <c r="M387" t="s">
        <v>90</v>
      </c>
      <c r="N387" t="s">
        <v>674</v>
      </c>
      <c r="O387" t="s">
        <v>65</v>
      </c>
      <c r="P387" t="str">
        <f>"INV-00117050 CT094001         "</f>
        <v xml:space="preserve">INV-00117050 CT094001         </v>
      </c>
      <c r="Q387">
        <v>0</v>
      </c>
      <c r="R387">
        <v>0</v>
      </c>
      <c r="S387">
        <v>0</v>
      </c>
      <c r="T387">
        <v>0</v>
      </c>
      <c r="U387">
        <v>0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303.82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2</v>
      </c>
      <c r="BI387">
        <v>8</v>
      </c>
      <c r="BJ387">
        <v>27.2</v>
      </c>
      <c r="BK387">
        <v>27.5</v>
      </c>
      <c r="BL387" s="4">
        <v>971.56</v>
      </c>
      <c r="BM387" s="4">
        <v>145.72999999999999</v>
      </c>
      <c r="BN387" s="4">
        <v>1117.29</v>
      </c>
      <c r="BO387" s="4">
        <v>1117.29</v>
      </c>
      <c r="BQ387" t="s">
        <v>612</v>
      </c>
      <c r="BR387" t="s">
        <v>320</v>
      </c>
      <c r="BS387" t="s">
        <v>81</v>
      </c>
      <c r="BY387">
        <v>135997.54999999999</v>
      </c>
      <c r="BZ387" t="s">
        <v>79</v>
      </c>
      <c r="CC387" t="s">
        <v>90</v>
      </c>
      <c r="CD387">
        <v>4001</v>
      </c>
      <c r="CE387" t="s">
        <v>1252</v>
      </c>
      <c r="CI387">
        <v>2</v>
      </c>
      <c r="CJ387" t="s">
        <v>81</v>
      </c>
      <c r="CK387">
        <v>21</v>
      </c>
      <c r="CL387" t="s">
        <v>66</v>
      </c>
    </row>
    <row r="388" spans="1:90" x14ac:dyDescent="0.3">
      <c r="A388" t="s">
        <v>315</v>
      </c>
      <c r="B388" t="s">
        <v>316</v>
      </c>
      <c r="C388" t="s">
        <v>59</v>
      </c>
      <c r="E388" t="str">
        <f>"GAB2025622"</f>
        <v>GAB2025622</v>
      </c>
      <c r="F388" s="1">
        <v>45763</v>
      </c>
      <c r="G388">
        <v>202601</v>
      </c>
      <c r="H388" t="s">
        <v>77</v>
      </c>
      <c r="I388" t="s">
        <v>78</v>
      </c>
      <c r="J388" t="s">
        <v>317</v>
      </c>
      <c r="K388" t="s">
        <v>62</v>
      </c>
      <c r="L388" t="s">
        <v>91</v>
      </c>
      <c r="M388" t="s">
        <v>92</v>
      </c>
      <c r="N388" t="s">
        <v>403</v>
      </c>
      <c r="O388" t="s">
        <v>65</v>
      </c>
      <c r="P388" t="str">
        <f>"INV-00034762 00034761 031916 0"</f>
        <v>INV-00034762 00034761 031916 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27.64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1</v>
      </c>
      <c r="BI388">
        <v>0.2</v>
      </c>
      <c r="BJ388">
        <v>2.1</v>
      </c>
      <c r="BK388">
        <v>2.5</v>
      </c>
      <c r="BL388" s="4">
        <v>88.38</v>
      </c>
      <c r="BM388" s="4">
        <v>13.26</v>
      </c>
      <c r="BN388" s="4">
        <v>101.64</v>
      </c>
      <c r="BO388" s="4">
        <v>101.64</v>
      </c>
      <c r="BQ388" t="s">
        <v>404</v>
      </c>
      <c r="BR388" t="s">
        <v>320</v>
      </c>
      <c r="BS388" s="1">
        <v>45764</v>
      </c>
      <c r="BT388" s="2">
        <v>0.34305555555555556</v>
      </c>
      <c r="BU388" t="s">
        <v>405</v>
      </c>
      <c r="BV388" t="s">
        <v>74</v>
      </c>
      <c r="BY388">
        <v>10477.5</v>
      </c>
      <c r="BZ388" t="s">
        <v>79</v>
      </c>
      <c r="CA388" t="s">
        <v>147</v>
      </c>
      <c r="CC388" t="s">
        <v>92</v>
      </c>
      <c r="CD388" s="3" t="s">
        <v>94</v>
      </c>
      <c r="CE388" t="s">
        <v>1253</v>
      </c>
      <c r="CF388" s="1">
        <v>45764</v>
      </c>
      <c r="CI388">
        <v>1</v>
      </c>
      <c r="CJ388">
        <v>1</v>
      </c>
      <c r="CK388">
        <v>21</v>
      </c>
      <c r="CL388" t="s">
        <v>66</v>
      </c>
    </row>
    <row r="389" spans="1:90" x14ac:dyDescent="0.3">
      <c r="A389" t="s">
        <v>315</v>
      </c>
      <c r="B389" t="s">
        <v>316</v>
      </c>
      <c r="C389" t="s">
        <v>59</v>
      </c>
      <c r="E389" t="str">
        <f>"GAB2025623"</f>
        <v>GAB2025623</v>
      </c>
      <c r="F389" s="1">
        <v>45763</v>
      </c>
      <c r="G389">
        <v>202601</v>
      </c>
      <c r="H389" t="s">
        <v>77</v>
      </c>
      <c r="I389" t="s">
        <v>78</v>
      </c>
      <c r="J389" t="s">
        <v>317</v>
      </c>
      <c r="K389" t="s">
        <v>62</v>
      </c>
      <c r="L389" t="s">
        <v>194</v>
      </c>
      <c r="M389" t="s">
        <v>195</v>
      </c>
      <c r="N389" t="s">
        <v>570</v>
      </c>
      <c r="O389" t="s">
        <v>65</v>
      </c>
      <c r="P389" t="str">
        <f>"INV-00117059 CT093682         "</f>
        <v xml:space="preserve">INV-00117059 CT093682         </v>
      </c>
      <c r="Q389">
        <v>0</v>
      </c>
      <c r="R389">
        <v>0</v>
      </c>
      <c r="S389">
        <v>0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0</v>
      </c>
      <c r="AI389">
        <v>0</v>
      </c>
      <c r="AJ389">
        <v>0</v>
      </c>
      <c r="AK389">
        <v>22.11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1</v>
      </c>
      <c r="BI389">
        <v>0.1</v>
      </c>
      <c r="BJ389">
        <v>1.5</v>
      </c>
      <c r="BK389">
        <v>1.5</v>
      </c>
      <c r="BL389" s="4">
        <v>70.709999999999994</v>
      </c>
      <c r="BM389" s="4">
        <v>10.61</v>
      </c>
      <c r="BN389" s="4">
        <v>81.319999999999993</v>
      </c>
      <c r="BO389" s="4">
        <v>81.319999999999993</v>
      </c>
      <c r="BR389" t="s">
        <v>320</v>
      </c>
      <c r="BS389" s="1">
        <v>45764</v>
      </c>
      <c r="BT389" s="2">
        <v>0.375</v>
      </c>
      <c r="BU389" t="s">
        <v>1254</v>
      </c>
      <c r="BV389" t="s">
        <v>74</v>
      </c>
      <c r="BY389">
        <v>7503.38</v>
      </c>
      <c r="BZ389" t="s">
        <v>79</v>
      </c>
      <c r="CA389" t="s">
        <v>168</v>
      </c>
      <c r="CC389" t="s">
        <v>195</v>
      </c>
      <c r="CD389">
        <v>1501</v>
      </c>
      <c r="CE389" t="s">
        <v>393</v>
      </c>
      <c r="CF389" s="1">
        <v>45764</v>
      </c>
      <c r="CI389">
        <v>1</v>
      </c>
      <c r="CJ389">
        <v>1</v>
      </c>
      <c r="CK389">
        <v>21</v>
      </c>
      <c r="CL389" t="s">
        <v>66</v>
      </c>
    </row>
    <row r="390" spans="1:90" x14ac:dyDescent="0.3">
      <c r="A390" t="s">
        <v>315</v>
      </c>
      <c r="B390" t="s">
        <v>316</v>
      </c>
      <c r="C390" t="s">
        <v>59</v>
      </c>
      <c r="E390" t="str">
        <f>"GAB2025624"</f>
        <v>GAB2025624</v>
      </c>
      <c r="F390" s="1">
        <v>45763</v>
      </c>
      <c r="G390">
        <v>202601</v>
      </c>
      <c r="H390" t="s">
        <v>77</v>
      </c>
      <c r="I390" t="s">
        <v>78</v>
      </c>
      <c r="J390" t="s">
        <v>317</v>
      </c>
      <c r="K390" t="s">
        <v>62</v>
      </c>
      <c r="L390" t="s">
        <v>470</v>
      </c>
      <c r="M390" t="s">
        <v>471</v>
      </c>
      <c r="N390" t="s">
        <v>1209</v>
      </c>
      <c r="O390" t="s">
        <v>65</v>
      </c>
      <c r="P390" t="str">
        <f>"INV-00117054 CT094007         "</f>
        <v xml:space="preserve">INV-00117054 CT094007         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42.84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16.739999999999998</v>
      </c>
      <c r="AR390">
        <v>0</v>
      </c>
      <c r="AS390">
        <v>0</v>
      </c>
      <c r="AT390">
        <v>0</v>
      </c>
      <c r="AU390">
        <v>0</v>
      </c>
      <c r="AV390">
        <v>0</v>
      </c>
      <c r="AW390">
        <v>0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0</v>
      </c>
      <c r="BG390">
        <v>0</v>
      </c>
      <c r="BH390">
        <v>1</v>
      </c>
      <c r="BI390">
        <v>0.1</v>
      </c>
      <c r="BJ390">
        <v>2</v>
      </c>
      <c r="BK390">
        <v>2</v>
      </c>
      <c r="BL390" s="4">
        <v>153.74</v>
      </c>
      <c r="BM390" s="4">
        <v>23.06</v>
      </c>
      <c r="BN390" s="4">
        <v>176.8</v>
      </c>
      <c r="BO390" s="4">
        <v>176.8</v>
      </c>
      <c r="BQ390" t="s">
        <v>473</v>
      </c>
      <c r="BR390" t="s">
        <v>320</v>
      </c>
      <c r="BS390" t="s">
        <v>81</v>
      </c>
      <c r="BY390">
        <v>9876.8700000000008</v>
      </c>
      <c r="BZ390" t="s">
        <v>97</v>
      </c>
      <c r="CC390" t="s">
        <v>471</v>
      </c>
      <c r="CD390">
        <v>2745</v>
      </c>
      <c r="CE390" t="s">
        <v>343</v>
      </c>
      <c r="CI390">
        <v>2</v>
      </c>
      <c r="CJ390" t="s">
        <v>81</v>
      </c>
      <c r="CK390">
        <v>23</v>
      </c>
      <c r="CL390" t="s">
        <v>66</v>
      </c>
    </row>
    <row r="391" spans="1:90" x14ac:dyDescent="0.3">
      <c r="A391" t="s">
        <v>315</v>
      </c>
      <c r="B391" t="s">
        <v>316</v>
      </c>
      <c r="C391" t="s">
        <v>59</v>
      </c>
      <c r="E391" t="str">
        <f>"GAB2025625"</f>
        <v>GAB2025625</v>
      </c>
      <c r="F391" s="1">
        <v>45763</v>
      </c>
      <c r="G391">
        <v>202601</v>
      </c>
      <c r="H391" t="s">
        <v>77</v>
      </c>
      <c r="I391" t="s">
        <v>78</v>
      </c>
      <c r="J391" t="s">
        <v>317</v>
      </c>
      <c r="K391" t="s">
        <v>62</v>
      </c>
      <c r="L391" t="s">
        <v>77</v>
      </c>
      <c r="M391" t="s">
        <v>78</v>
      </c>
      <c r="N391" t="s">
        <v>810</v>
      </c>
      <c r="O391" t="s">
        <v>65</v>
      </c>
      <c r="P391" t="str">
        <f>"INV-00117055 CT093961         "</f>
        <v xml:space="preserve">INV-00117055 CT093961         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W391">
        <v>0</v>
      </c>
      <c r="X391">
        <v>0</v>
      </c>
      <c r="Y391">
        <v>0</v>
      </c>
      <c r="Z391">
        <v>0</v>
      </c>
      <c r="AA391">
        <v>0</v>
      </c>
      <c r="AB391">
        <v>0</v>
      </c>
      <c r="AC391">
        <v>0</v>
      </c>
      <c r="AD391">
        <v>0</v>
      </c>
      <c r="AE391">
        <v>0</v>
      </c>
      <c r="AF391">
        <v>0</v>
      </c>
      <c r="AG391">
        <v>0</v>
      </c>
      <c r="AH391">
        <v>0</v>
      </c>
      <c r="AI391">
        <v>0</v>
      </c>
      <c r="AJ391">
        <v>0</v>
      </c>
      <c r="AK391">
        <v>17.27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0</v>
      </c>
      <c r="AW391">
        <v>0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1</v>
      </c>
      <c r="BI391">
        <v>0.3</v>
      </c>
      <c r="BJ391">
        <v>2.5</v>
      </c>
      <c r="BK391">
        <v>3</v>
      </c>
      <c r="BL391" s="4">
        <v>55.23</v>
      </c>
      <c r="BM391" s="4">
        <v>8.2799999999999994</v>
      </c>
      <c r="BN391" s="4">
        <v>63.51</v>
      </c>
      <c r="BO391" s="4">
        <v>63.51</v>
      </c>
      <c r="BQ391" t="s">
        <v>811</v>
      </c>
      <c r="BR391" t="s">
        <v>320</v>
      </c>
      <c r="BS391" s="1">
        <v>45764</v>
      </c>
      <c r="BT391" s="2">
        <v>0.56458333333333333</v>
      </c>
      <c r="BU391" t="s">
        <v>1255</v>
      </c>
      <c r="BV391" t="s">
        <v>66</v>
      </c>
      <c r="BW391" t="s">
        <v>177</v>
      </c>
      <c r="BX391" t="s">
        <v>231</v>
      </c>
      <c r="BY391">
        <v>12264.39</v>
      </c>
      <c r="BZ391" t="s">
        <v>79</v>
      </c>
      <c r="CA391" t="s">
        <v>151</v>
      </c>
      <c r="CC391" t="s">
        <v>78</v>
      </c>
      <c r="CD391">
        <v>7708</v>
      </c>
      <c r="CE391" t="s">
        <v>389</v>
      </c>
      <c r="CI391">
        <v>1</v>
      </c>
      <c r="CJ391">
        <v>1</v>
      </c>
      <c r="CK391">
        <v>22</v>
      </c>
      <c r="CL391" t="s">
        <v>66</v>
      </c>
    </row>
    <row r="392" spans="1:90" x14ac:dyDescent="0.3">
      <c r="A392" t="s">
        <v>315</v>
      </c>
      <c r="B392" t="s">
        <v>316</v>
      </c>
      <c r="C392" t="s">
        <v>59</v>
      </c>
      <c r="E392" t="str">
        <f>"GAB2025626"</f>
        <v>GAB2025626</v>
      </c>
      <c r="F392" s="1">
        <v>45763</v>
      </c>
      <c r="G392">
        <v>202601</v>
      </c>
      <c r="H392" t="s">
        <v>77</v>
      </c>
      <c r="I392" t="s">
        <v>78</v>
      </c>
      <c r="J392" t="s">
        <v>317</v>
      </c>
      <c r="K392" t="s">
        <v>62</v>
      </c>
      <c r="L392" t="s">
        <v>254</v>
      </c>
      <c r="M392" t="s">
        <v>255</v>
      </c>
      <c r="N392" t="s">
        <v>1028</v>
      </c>
      <c r="O392" t="s">
        <v>65</v>
      </c>
      <c r="P392" t="str">
        <f>"INV-00117058 CT093991         "</f>
        <v xml:space="preserve">INV-00117058 CT093991         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62.19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0</v>
      </c>
      <c r="BG392">
        <v>0</v>
      </c>
      <c r="BH392">
        <v>1</v>
      </c>
      <c r="BI392">
        <v>0.1</v>
      </c>
      <c r="BJ392">
        <v>2.7</v>
      </c>
      <c r="BK392">
        <v>3</v>
      </c>
      <c r="BL392" s="4">
        <v>198.87</v>
      </c>
      <c r="BM392" s="4">
        <v>29.83</v>
      </c>
      <c r="BN392" s="4">
        <v>228.7</v>
      </c>
      <c r="BO392" s="4">
        <v>228.7</v>
      </c>
      <c r="BQ392" t="s">
        <v>1150</v>
      </c>
      <c r="BR392" t="s">
        <v>320</v>
      </c>
      <c r="BS392" t="s">
        <v>81</v>
      </c>
      <c r="BY392">
        <v>13434.8</v>
      </c>
      <c r="BZ392" t="s">
        <v>79</v>
      </c>
      <c r="CC392" t="s">
        <v>255</v>
      </c>
      <c r="CD392">
        <v>4420</v>
      </c>
      <c r="CE392" t="s">
        <v>393</v>
      </c>
      <c r="CI392">
        <v>2</v>
      </c>
      <c r="CJ392" t="s">
        <v>81</v>
      </c>
      <c r="CK392">
        <v>23</v>
      </c>
      <c r="CL392" t="s">
        <v>66</v>
      </c>
    </row>
    <row r="393" spans="1:90" x14ac:dyDescent="0.3">
      <c r="A393" t="s">
        <v>315</v>
      </c>
      <c r="B393" t="s">
        <v>316</v>
      </c>
      <c r="C393" t="s">
        <v>59</v>
      </c>
      <c r="E393" t="str">
        <f>"GAB2025628"</f>
        <v>GAB2025628</v>
      </c>
      <c r="F393" s="1">
        <v>45763</v>
      </c>
      <c r="G393">
        <v>202601</v>
      </c>
      <c r="H393" t="s">
        <v>77</v>
      </c>
      <c r="I393" t="s">
        <v>78</v>
      </c>
      <c r="J393" t="s">
        <v>317</v>
      </c>
      <c r="K393" t="s">
        <v>62</v>
      </c>
      <c r="L393" t="s">
        <v>77</v>
      </c>
      <c r="M393" t="s">
        <v>78</v>
      </c>
      <c r="N393" t="s">
        <v>340</v>
      </c>
      <c r="O393" t="s">
        <v>65</v>
      </c>
      <c r="P393" t="str">
        <f>"INV-00117062 00117063 00117064"</f>
        <v>INV-00117062 00117063 00117064</v>
      </c>
      <c r="Q393">
        <v>0</v>
      </c>
      <c r="R393">
        <v>0</v>
      </c>
      <c r="S393">
        <v>0</v>
      </c>
      <c r="T393">
        <v>0</v>
      </c>
      <c r="U393">
        <v>0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>
        <v>0</v>
      </c>
      <c r="AF393">
        <v>0</v>
      </c>
      <c r="AG393">
        <v>0</v>
      </c>
      <c r="AH393">
        <v>0</v>
      </c>
      <c r="AI393">
        <v>0</v>
      </c>
      <c r="AJ393">
        <v>0</v>
      </c>
      <c r="AK393">
        <v>17.27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1</v>
      </c>
      <c r="BI393">
        <v>1.9</v>
      </c>
      <c r="BJ393">
        <v>6.1</v>
      </c>
      <c r="BK393">
        <v>7</v>
      </c>
      <c r="BL393" s="4">
        <v>55.23</v>
      </c>
      <c r="BM393" s="4">
        <v>8.2799999999999994</v>
      </c>
      <c r="BN393" s="4">
        <v>63.51</v>
      </c>
      <c r="BO393" s="4">
        <v>63.51</v>
      </c>
      <c r="BQ393" t="s">
        <v>341</v>
      </c>
      <c r="BR393" t="s">
        <v>320</v>
      </c>
      <c r="BS393" s="1">
        <v>45764</v>
      </c>
      <c r="BT393" s="2">
        <v>0.34236111111111112</v>
      </c>
      <c r="BU393" t="s">
        <v>1256</v>
      </c>
      <c r="BV393" t="s">
        <v>74</v>
      </c>
      <c r="BY393">
        <v>30507.75</v>
      </c>
      <c r="BZ393" t="s">
        <v>79</v>
      </c>
      <c r="CA393" t="s">
        <v>175</v>
      </c>
      <c r="CC393" t="s">
        <v>78</v>
      </c>
      <c r="CD393">
        <v>7441</v>
      </c>
      <c r="CE393" t="s">
        <v>1257</v>
      </c>
      <c r="CI393">
        <v>1</v>
      </c>
      <c r="CJ393">
        <v>1</v>
      </c>
      <c r="CK393">
        <v>22</v>
      </c>
      <c r="CL393" t="s">
        <v>66</v>
      </c>
    </row>
    <row r="394" spans="1:90" x14ac:dyDescent="0.3">
      <c r="A394" t="s">
        <v>315</v>
      </c>
      <c r="B394" t="s">
        <v>316</v>
      </c>
      <c r="C394" t="s">
        <v>59</v>
      </c>
      <c r="E394" t="str">
        <f>"GAB2025629"</f>
        <v>GAB2025629</v>
      </c>
      <c r="F394" s="1">
        <v>45763</v>
      </c>
      <c r="G394">
        <v>202601</v>
      </c>
      <c r="H394" t="s">
        <v>77</v>
      </c>
      <c r="I394" t="s">
        <v>78</v>
      </c>
      <c r="J394" t="s">
        <v>317</v>
      </c>
      <c r="K394" t="s">
        <v>62</v>
      </c>
      <c r="L394" t="s">
        <v>77</v>
      </c>
      <c r="M394" t="s">
        <v>78</v>
      </c>
      <c r="N394" t="s">
        <v>707</v>
      </c>
      <c r="O394" t="s">
        <v>65</v>
      </c>
      <c r="P394" t="str">
        <f>"INV-00117065 CT093865         "</f>
        <v xml:space="preserve">INV-00117065 CT093865         </v>
      </c>
      <c r="Q394">
        <v>0</v>
      </c>
      <c r="R394">
        <v>0</v>
      </c>
      <c r="S394">
        <v>0</v>
      </c>
      <c r="T394">
        <v>0</v>
      </c>
      <c r="U394">
        <v>0</v>
      </c>
      <c r="V394">
        <v>0</v>
      </c>
      <c r="W394">
        <v>0</v>
      </c>
      <c r="X394">
        <v>0</v>
      </c>
      <c r="Y394">
        <v>0</v>
      </c>
      <c r="Z394">
        <v>0</v>
      </c>
      <c r="AA394">
        <v>0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0</v>
      </c>
      <c r="AK394">
        <v>17.27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1</v>
      </c>
      <c r="BI394">
        <v>0.2</v>
      </c>
      <c r="BJ394">
        <v>1.9</v>
      </c>
      <c r="BK394">
        <v>2</v>
      </c>
      <c r="BL394" s="4">
        <v>55.23</v>
      </c>
      <c r="BM394" s="4">
        <v>8.2799999999999994</v>
      </c>
      <c r="BN394" s="4">
        <v>63.51</v>
      </c>
      <c r="BO394" s="4">
        <v>63.51</v>
      </c>
      <c r="BQ394" t="s">
        <v>708</v>
      </c>
      <c r="BR394" t="s">
        <v>320</v>
      </c>
      <c r="BS394" s="1">
        <v>45764</v>
      </c>
      <c r="BT394" s="2">
        <v>0.42638888888888887</v>
      </c>
      <c r="BU394" t="s">
        <v>954</v>
      </c>
      <c r="BV394" t="s">
        <v>74</v>
      </c>
      <c r="BY394">
        <v>9406.08</v>
      </c>
      <c r="BZ394" t="s">
        <v>79</v>
      </c>
      <c r="CA394" t="s">
        <v>123</v>
      </c>
      <c r="CC394" t="s">
        <v>78</v>
      </c>
      <c r="CD394">
        <v>7800</v>
      </c>
      <c r="CE394" t="s">
        <v>393</v>
      </c>
      <c r="CF394" s="1">
        <v>45769</v>
      </c>
      <c r="CI394">
        <v>1</v>
      </c>
      <c r="CJ394">
        <v>1</v>
      </c>
      <c r="CK394">
        <v>22</v>
      </c>
      <c r="CL394" t="s">
        <v>66</v>
      </c>
    </row>
    <row r="395" spans="1:90" x14ac:dyDescent="0.3">
      <c r="A395" t="s">
        <v>315</v>
      </c>
      <c r="B395" t="s">
        <v>316</v>
      </c>
      <c r="C395" t="s">
        <v>59</v>
      </c>
      <c r="E395" t="str">
        <f>"GAB2025630"</f>
        <v>GAB2025630</v>
      </c>
      <c r="F395" s="1">
        <v>45763</v>
      </c>
      <c r="G395">
        <v>202601</v>
      </c>
      <c r="H395" t="s">
        <v>77</v>
      </c>
      <c r="I395" t="s">
        <v>78</v>
      </c>
      <c r="J395" t="s">
        <v>317</v>
      </c>
      <c r="K395" t="s">
        <v>62</v>
      </c>
      <c r="L395" t="s">
        <v>313</v>
      </c>
      <c r="M395" t="s">
        <v>314</v>
      </c>
      <c r="N395" t="s">
        <v>1258</v>
      </c>
      <c r="O395" t="s">
        <v>65</v>
      </c>
      <c r="P395" t="str">
        <f>"INV-00117066 CT094000         "</f>
        <v xml:space="preserve">INV-00117066 CT094000         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27.64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1</v>
      </c>
      <c r="BI395">
        <v>0.4</v>
      </c>
      <c r="BJ395">
        <v>2.2999999999999998</v>
      </c>
      <c r="BK395">
        <v>2.5</v>
      </c>
      <c r="BL395" s="4">
        <v>88.38</v>
      </c>
      <c r="BM395" s="4">
        <v>13.26</v>
      </c>
      <c r="BN395" s="4">
        <v>101.64</v>
      </c>
      <c r="BO395" s="4">
        <v>101.64</v>
      </c>
      <c r="BQ395" t="s">
        <v>291</v>
      </c>
      <c r="BR395" t="s">
        <v>320</v>
      </c>
      <c r="BS395" t="s">
        <v>81</v>
      </c>
      <c r="BY395">
        <v>11518.2</v>
      </c>
      <c r="BZ395" t="s">
        <v>79</v>
      </c>
      <c r="CC395" t="s">
        <v>314</v>
      </c>
      <c r="CD395">
        <v>1200</v>
      </c>
      <c r="CE395" t="s">
        <v>578</v>
      </c>
      <c r="CI395">
        <v>2</v>
      </c>
      <c r="CJ395" t="s">
        <v>81</v>
      </c>
      <c r="CK395">
        <v>21</v>
      </c>
      <c r="CL395" t="s">
        <v>66</v>
      </c>
    </row>
    <row r="396" spans="1:90" x14ac:dyDescent="0.3">
      <c r="A396" t="s">
        <v>315</v>
      </c>
      <c r="B396" t="s">
        <v>316</v>
      </c>
      <c r="C396" t="s">
        <v>59</v>
      </c>
      <c r="E396" t="str">
        <f>"GAB2025631"</f>
        <v>GAB2025631</v>
      </c>
      <c r="F396" s="1">
        <v>45763</v>
      </c>
      <c r="G396">
        <v>202601</v>
      </c>
      <c r="H396" t="s">
        <v>77</v>
      </c>
      <c r="I396" t="s">
        <v>78</v>
      </c>
      <c r="J396" t="s">
        <v>317</v>
      </c>
      <c r="K396" t="s">
        <v>62</v>
      </c>
      <c r="L396" t="s">
        <v>91</v>
      </c>
      <c r="M396" t="s">
        <v>92</v>
      </c>
      <c r="N396" t="s">
        <v>1085</v>
      </c>
      <c r="O396" t="s">
        <v>65</v>
      </c>
      <c r="P396" t="str">
        <f>"INV-00034783 032065           "</f>
        <v xml:space="preserve">INV-00034783 032065           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22.11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1</v>
      </c>
      <c r="BI396">
        <v>0.3</v>
      </c>
      <c r="BJ396">
        <v>2</v>
      </c>
      <c r="BK396">
        <v>2</v>
      </c>
      <c r="BL396" s="4">
        <v>70.709999999999994</v>
      </c>
      <c r="BM396" s="4">
        <v>10.61</v>
      </c>
      <c r="BN396" s="4">
        <v>81.319999999999993</v>
      </c>
      <c r="BO396" s="4">
        <v>81.319999999999993</v>
      </c>
      <c r="BQ396" t="s">
        <v>590</v>
      </c>
      <c r="BR396" t="s">
        <v>320</v>
      </c>
      <c r="BS396" s="1">
        <v>45764</v>
      </c>
      <c r="BT396" s="2">
        <v>0.34583333333333333</v>
      </c>
      <c r="BU396" t="s">
        <v>1259</v>
      </c>
      <c r="BV396" t="s">
        <v>74</v>
      </c>
      <c r="BY396">
        <v>9994.7099999999991</v>
      </c>
      <c r="BZ396" t="s">
        <v>79</v>
      </c>
      <c r="CA396" t="s">
        <v>1057</v>
      </c>
      <c r="CC396" t="s">
        <v>92</v>
      </c>
      <c r="CD396" s="3" t="s">
        <v>1086</v>
      </c>
      <c r="CE396" t="s">
        <v>389</v>
      </c>
      <c r="CF396" s="1">
        <v>45764</v>
      </c>
      <c r="CI396">
        <v>1</v>
      </c>
      <c r="CJ396">
        <v>1</v>
      </c>
      <c r="CK396">
        <v>21</v>
      </c>
      <c r="CL396" t="s">
        <v>66</v>
      </c>
    </row>
    <row r="397" spans="1:90" x14ac:dyDescent="0.3">
      <c r="A397" t="s">
        <v>315</v>
      </c>
      <c r="B397" t="s">
        <v>316</v>
      </c>
      <c r="C397" t="s">
        <v>59</v>
      </c>
      <c r="E397" t="str">
        <f>"009945075990"</f>
        <v>009945075990</v>
      </c>
      <c r="F397" s="1">
        <v>45763</v>
      </c>
      <c r="G397">
        <v>202601</v>
      </c>
      <c r="H397" t="s">
        <v>142</v>
      </c>
      <c r="I397" t="s">
        <v>143</v>
      </c>
      <c r="J397" t="s">
        <v>490</v>
      </c>
      <c r="K397" t="s">
        <v>62</v>
      </c>
      <c r="L397" t="s">
        <v>228</v>
      </c>
      <c r="M397" t="s">
        <v>229</v>
      </c>
      <c r="N397" t="s">
        <v>1260</v>
      </c>
      <c r="O397" t="s">
        <v>65</v>
      </c>
      <c r="P397" t="str">
        <f>"NA                            "</f>
        <v xml:space="preserve">NA                            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42.84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1</v>
      </c>
      <c r="BI397">
        <v>1</v>
      </c>
      <c r="BJ397">
        <v>0.2</v>
      </c>
      <c r="BK397">
        <v>1</v>
      </c>
      <c r="BL397" s="4">
        <v>137</v>
      </c>
      <c r="BM397" s="4">
        <v>20.55</v>
      </c>
      <c r="BN397" s="4">
        <v>157.55000000000001</v>
      </c>
      <c r="BO397" s="4">
        <v>157.55000000000001</v>
      </c>
      <c r="BQ397" t="s">
        <v>1261</v>
      </c>
      <c r="BR397" t="s">
        <v>1262</v>
      </c>
      <c r="BS397" s="1">
        <v>45764</v>
      </c>
      <c r="BT397" s="2">
        <v>0.50694444444444442</v>
      </c>
      <c r="BU397" t="s">
        <v>1263</v>
      </c>
      <c r="BV397" t="s">
        <v>74</v>
      </c>
      <c r="BY397">
        <v>1200</v>
      </c>
      <c r="BZ397" t="s">
        <v>79</v>
      </c>
      <c r="CC397" t="s">
        <v>229</v>
      </c>
      <c r="CD397">
        <v>6500</v>
      </c>
      <c r="CE397" t="s">
        <v>76</v>
      </c>
      <c r="CI397">
        <v>1</v>
      </c>
      <c r="CJ397">
        <v>1</v>
      </c>
      <c r="CK397">
        <v>23</v>
      </c>
      <c r="CL397" t="s">
        <v>66</v>
      </c>
    </row>
    <row r="398" spans="1:90" x14ac:dyDescent="0.3">
      <c r="A398" t="s">
        <v>315</v>
      </c>
      <c r="B398" t="s">
        <v>316</v>
      </c>
      <c r="C398" t="s">
        <v>59</v>
      </c>
      <c r="E398" t="str">
        <f>"009945075991"</f>
        <v>009945075991</v>
      </c>
      <c r="F398" s="1">
        <v>45763</v>
      </c>
      <c r="G398">
        <v>202601</v>
      </c>
      <c r="H398" t="s">
        <v>142</v>
      </c>
      <c r="I398" t="s">
        <v>143</v>
      </c>
      <c r="J398" t="s">
        <v>490</v>
      </c>
      <c r="K398" t="s">
        <v>62</v>
      </c>
      <c r="L398" t="s">
        <v>546</v>
      </c>
      <c r="M398" t="s">
        <v>547</v>
      </c>
      <c r="N398" t="s">
        <v>1264</v>
      </c>
      <c r="O398" t="s">
        <v>65</v>
      </c>
      <c r="P398" t="str">
        <f>"NA                            "</f>
        <v xml:space="preserve">NA                            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33.159999999999997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1</v>
      </c>
      <c r="BI398">
        <v>1</v>
      </c>
      <c r="BJ398">
        <v>2.7</v>
      </c>
      <c r="BK398">
        <v>3</v>
      </c>
      <c r="BL398" s="4">
        <v>106.04</v>
      </c>
      <c r="BM398" s="4">
        <v>15.91</v>
      </c>
      <c r="BN398" s="4">
        <v>121.95</v>
      </c>
      <c r="BO398" s="4">
        <v>121.95</v>
      </c>
      <c r="BQ398" t="s">
        <v>1144</v>
      </c>
      <c r="BR398" t="s">
        <v>1265</v>
      </c>
      <c r="BS398" s="1">
        <v>45764</v>
      </c>
      <c r="BT398" s="2">
        <v>0.44791666666666669</v>
      </c>
      <c r="BU398" t="s">
        <v>1176</v>
      </c>
      <c r="BV398" t="s">
        <v>66</v>
      </c>
      <c r="BW398" t="s">
        <v>292</v>
      </c>
      <c r="BX398" t="s">
        <v>531</v>
      </c>
      <c r="BY398">
        <v>13728</v>
      </c>
      <c r="BZ398" t="s">
        <v>79</v>
      </c>
      <c r="CC398" t="s">
        <v>547</v>
      </c>
      <c r="CD398">
        <v>9300</v>
      </c>
      <c r="CE398" t="s">
        <v>76</v>
      </c>
      <c r="CF398" s="1">
        <v>45764</v>
      </c>
      <c r="CI398">
        <v>1</v>
      </c>
      <c r="CJ398">
        <v>1</v>
      </c>
      <c r="CK398">
        <v>21</v>
      </c>
      <c r="CL398" t="s">
        <v>66</v>
      </c>
    </row>
    <row r="399" spans="1:90" x14ac:dyDescent="0.3">
      <c r="A399" t="s">
        <v>315</v>
      </c>
      <c r="B399" t="s">
        <v>316</v>
      </c>
      <c r="C399" t="s">
        <v>59</v>
      </c>
      <c r="E399" t="str">
        <f>"009945075918"</f>
        <v>009945075918</v>
      </c>
      <c r="F399" s="1">
        <v>45763</v>
      </c>
      <c r="G399">
        <v>202601</v>
      </c>
      <c r="H399" t="s">
        <v>142</v>
      </c>
      <c r="I399" t="s">
        <v>143</v>
      </c>
      <c r="J399" t="s">
        <v>490</v>
      </c>
      <c r="K399" t="s">
        <v>62</v>
      </c>
      <c r="L399" t="s">
        <v>77</v>
      </c>
      <c r="M399" t="s">
        <v>78</v>
      </c>
      <c r="N399" t="s">
        <v>450</v>
      </c>
      <c r="O399" t="s">
        <v>65</v>
      </c>
      <c r="P399" t="str">
        <f>"NA                            "</f>
        <v xml:space="preserve">NA                            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22.11</v>
      </c>
      <c r="AL399">
        <v>0</v>
      </c>
      <c r="AM399">
        <v>0</v>
      </c>
      <c r="AN399">
        <v>0</v>
      </c>
      <c r="AO399">
        <v>0</v>
      </c>
      <c r="AP399">
        <v>0</v>
      </c>
      <c r="AQ399">
        <v>0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0</v>
      </c>
      <c r="AY399">
        <v>0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1</v>
      </c>
      <c r="BI399">
        <v>1</v>
      </c>
      <c r="BJ399">
        <v>0.2</v>
      </c>
      <c r="BK399">
        <v>1</v>
      </c>
      <c r="BL399" s="4">
        <v>70.709999999999994</v>
      </c>
      <c r="BM399" s="4">
        <v>10.61</v>
      </c>
      <c r="BN399" s="4">
        <v>81.319999999999993</v>
      </c>
      <c r="BO399" s="4">
        <v>81.319999999999993</v>
      </c>
      <c r="BQ399" t="s">
        <v>1266</v>
      </c>
      <c r="BR399" t="s">
        <v>973</v>
      </c>
      <c r="BS399" s="1">
        <v>45764</v>
      </c>
      <c r="BT399" s="2">
        <v>0.45555555555555555</v>
      </c>
      <c r="BU399" t="s">
        <v>263</v>
      </c>
      <c r="BV399" t="s">
        <v>66</v>
      </c>
      <c r="BW399" t="s">
        <v>177</v>
      </c>
      <c r="BX399" t="s">
        <v>461</v>
      </c>
      <c r="BY399">
        <v>1200</v>
      </c>
      <c r="BZ399" t="s">
        <v>79</v>
      </c>
      <c r="CA399" t="s">
        <v>193</v>
      </c>
      <c r="CC399" t="s">
        <v>78</v>
      </c>
      <c r="CD399">
        <v>7460</v>
      </c>
      <c r="CE399" t="s">
        <v>76</v>
      </c>
      <c r="CI399">
        <v>1</v>
      </c>
      <c r="CJ399">
        <v>1</v>
      </c>
      <c r="CK399">
        <v>21</v>
      </c>
      <c r="CL399" t="s">
        <v>66</v>
      </c>
    </row>
    <row r="400" spans="1:90" x14ac:dyDescent="0.3">
      <c r="A400" t="s">
        <v>315</v>
      </c>
      <c r="B400" t="s">
        <v>316</v>
      </c>
      <c r="C400" t="s">
        <v>59</v>
      </c>
      <c r="E400" t="str">
        <f>"009945075917"</f>
        <v>009945075917</v>
      </c>
      <c r="F400" s="1">
        <v>45763</v>
      </c>
      <c r="G400">
        <v>202601</v>
      </c>
      <c r="H400" t="s">
        <v>142</v>
      </c>
      <c r="I400" t="s">
        <v>143</v>
      </c>
      <c r="J400" t="s">
        <v>490</v>
      </c>
      <c r="K400" t="s">
        <v>62</v>
      </c>
      <c r="L400" t="s">
        <v>100</v>
      </c>
      <c r="M400" t="s">
        <v>101</v>
      </c>
      <c r="N400" t="s">
        <v>450</v>
      </c>
      <c r="O400" t="s">
        <v>65</v>
      </c>
      <c r="P400" t="str">
        <f>"NA                            "</f>
        <v xml:space="preserve">NA                            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22.11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0</v>
      </c>
      <c r="BC400">
        <v>0</v>
      </c>
      <c r="BD400">
        <v>0</v>
      </c>
      <c r="BE400">
        <v>0</v>
      </c>
      <c r="BF400">
        <v>0</v>
      </c>
      <c r="BG400">
        <v>0</v>
      </c>
      <c r="BH400">
        <v>1</v>
      </c>
      <c r="BI400">
        <v>1</v>
      </c>
      <c r="BJ400">
        <v>0.2</v>
      </c>
      <c r="BK400">
        <v>1</v>
      </c>
      <c r="BL400" s="4">
        <v>70.709999999999994</v>
      </c>
      <c r="BM400" s="4">
        <v>10.61</v>
      </c>
      <c r="BN400" s="4">
        <v>81.319999999999993</v>
      </c>
      <c r="BO400" s="4">
        <v>81.319999999999993</v>
      </c>
      <c r="BQ400" t="s">
        <v>1267</v>
      </c>
      <c r="BR400" t="s">
        <v>973</v>
      </c>
      <c r="BS400" t="s">
        <v>81</v>
      </c>
      <c r="BY400">
        <v>1200</v>
      </c>
      <c r="BZ400" t="s">
        <v>79</v>
      </c>
      <c r="CC400" t="s">
        <v>101</v>
      </c>
      <c r="CD400">
        <v>6000</v>
      </c>
      <c r="CE400" t="s">
        <v>76</v>
      </c>
      <c r="CI400">
        <v>1</v>
      </c>
      <c r="CJ400" t="s">
        <v>81</v>
      </c>
      <c r="CK400">
        <v>21</v>
      </c>
      <c r="CL400" t="s">
        <v>66</v>
      </c>
    </row>
    <row r="401" spans="1:90" x14ac:dyDescent="0.3">
      <c r="A401" t="s">
        <v>315</v>
      </c>
      <c r="B401" t="s">
        <v>316</v>
      </c>
      <c r="C401" t="s">
        <v>59</v>
      </c>
      <c r="E401" t="str">
        <f>"GAB2025603"</f>
        <v>GAB2025603</v>
      </c>
      <c r="F401" s="1">
        <v>45763</v>
      </c>
      <c r="G401">
        <v>202601</v>
      </c>
      <c r="H401" t="s">
        <v>77</v>
      </c>
      <c r="I401" t="s">
        <v>78</v>
      </c>
      <c r="J401" t="s">
        <v>317</v>
      </c>
      <c r="K401" t="s">
        <v>62</v>
      </c>
      <c r="L401" t="s">
        <v>546</v>
      </c>
      <c r="M401" t="s">
        <v>547</v>
      </c>
      <c r="N401" t="s">
        <v>1268</v>
      </c>
      <c r="O401" t="s">
        <v>98</v>
      </c>
      <c r="P401" t="str">
        <f>"INV-00117039 CT093662         "</f>
        <v xml:space="preserve">INV-00117039 CT093662         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5.57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42.76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1</v>
      </c>
      <c r="BI401">
        <v>3.2</v>
      </c>
      <c r="BJ401">
        <v>7.7</v>
      </c>
      <c r="BK401">
        <v>8</v>
      </c>
      <c r="BL401" s="4">
        <v>142.31</v>
      </c>
      <c r="BM401" s="4">
        <v>21.35</v>
      </c>
      <c r="BN401" s="4">
        <v>163.66</v>
      </c>
      <c r="BO401" s="4">
        <v>163.66</v>
      </c>
      <c r="BQ401" t="s">
        <v>1269</v>
      </c>
      <c r="BR401" t="s">
        <v>320</v>
      </c>
      <c r="BS401" s="1">
        <v>45769</v>
      </c>
      <c r="BT401" s="2">
        <v>0.38263888888888886</v>
      </c>
      <c r="BU401" t="s">
        <v>1270</v>
      </c>
      <c r="BV401" t="s">
        <v>74</v>
      </c>
      <c r="BY401">
        <v>38574.9</v>
      </c>
      <c r="CA401" t="s">
        <v>1271</v>
      </c>
      <c r="CC401" t="s">
        <v>547</v>
      </c>
      <c r="CD401">
        <v>9301</v>
      </c>
      <c r="CE401" t="s">
        <v>339</v>
      </c>
      <c r="CI401">
        <v>4</v>
      </c>
      <c r="CJ401">
        <v>4</v>
      </c>
      <c r="CK401">
        <v>41</v>
      </c>
      <c r="CL401" t="s">
        <v>66</v>
      </c>
    </row>
    <row r="402" spans="1:90" x14ac:dyDescent="0.3">
      <c r="A402" t="s">
        <v>315</v>
      </c>
      <c r="B402" t="s">
        <v>316</v>
      </c>
      <c r="C402" t="s">
        <v>59</v>
      </c>
      <c r="E402" t="str">
        <f>"GAB2025608"</f>
        <v>GAB2025608</v>
      </c>
      <c r="F402" s="1">
        <v>45763</v>
      </c>
      <c r="G402">
        <v>202601</v>
      </c>
      <c r="H402" t="s">
        <v>77</v>
      </c>
      <c r="I402" t="s">
        <v>78</v>
      </c>
      <c r="J402" t="s">
        <v>317</v>
      </c>
      <c r="K402" t="s">
        <v>62</v>
      </c>
      <c r="L402" t="s">
        <v>142</v>
      </c>
      <c r="M402" t="s">
        <v>143</v>
      </c>
      <c r="N402" t="s">
        <v>349</v>
      </c>
      <c r="O402" t="s">
        <v>98</v>
      </c>
      <c r="P402" t="str">
        <f>"INV-00117023 CT093929         "</f>
        <v xml:space="preserve">INV-00117023 CT093929         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5.57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42.76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0</v>
      </c>
      <c r="AT402">
        <v>0</v>
      </c>
      <c r="AU402">
        <v>0</v>
      </c>
      <c r="AV402">
        <v>0</v>
      </c>
      <c r="AW402">
        <v>0</v>
      </c>
      <c r="AX402">
        <v>0</v>
      </c>
      <c r="AY402">
        <v>0</v>
      </c>
      <c r="AZ402">
        <v>0</v>
      </c>
      <c r="BA402">
        <v>0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1</v>
      </c>
      <c r="BI402">
        <v>0.3</v>
      </c>
      <c r="BJ402">
        <v>2.2999999999999998</v>
      </c>
      <c r="BK402">
        <v>3</v>
      </c>
      <c r="BL402" s="4">
        <v>142.31</v>
      </c>
      <c r="BM402" s="4">
        <v>21.35</v>
      </c>
      <c r="BN402" s="4">
        <v>163.66</v>
      </c>
      <c r="BO402" s="4">
        <v>163.66</v>
      </c>
      <c r="BQ402" t="s">
        <v>350</v>
      </c>
      <c r="BR402" t="s">
        <v>320</v>
      </c>
      <c r="BS402" s="1">
        <v>45769</v>
      </c>
      <c r="BT402" s="2">
        <v>0.33888888888888891</v>
      </c>
      <c r="BU402" t="s">
        <v>1272</v>
      </c>
      <c r="BV402" t="s">
        <v>74</v>
      </c>
      <c r="BY402">
        <v>11408.25</v>
      </c>
      <c r="CA402" t="s">
        <v>545</v>
      </c>
      <c r="CC402" t="s">
        <v>143</v>
      </c>
      <c r="CD402" s="3" t="s">
        <v>144</v>
      </c>
      <c r="CE402" t="s">
        <v>328</v>
      </c>
      <c r="CI402">
        <v>3</v>
      </c>
      <c r="CJ402">
        <v>4</v>
      </c>
      <c r="CK402">
        <v>41</v>
      </c>
      <c r="CL402" t="s">
        <v>66</v>
      </c>
    </row>
    <row r="403" spans="1:90" x14ac:dyDescent="0.3">
      <c r="A403" t="s">
        <v>315</v>
      </c>
      <c r="B403" t="s">
        <v>316</v>
      </c>
      <c r="C403" t="s">
        <v>59</v>
      </c>
      <c r="E403" t="str">
        <f>"GAB2025620"</f>
        <v>GAB2025620</v>
      </c>
      <c r="F403" s="1">
        <v>45763</v>
      </c>
      <c r="G403">
        <v>202601</v>
      </c>
      <c r="H403" t="s">
        <v>77</v>
      </c>
      <c r="I403" t="s">
        <v>78</v>
      </c>
      <c r="J403" t="s">
        <v>317</v>
      </c>
      <c r="K403" t="s">
        <v>62</v>
      </c>
      <c r="L403" t="s">
        <v>102</v>
      </c>
      <c r="M403" t="s">
        <v>102</v>
      </c>
      <c r="N403" t="s">
        <v>353</v>
      </c>
      <c r="O403" t="s">
        <v>98</v>
      </c>
      <c r="P403" t="str">
        <f>"INV-00117049 CT093996         "</f>
        <v xml:space="preserve">INV-00117049 CT093996         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5.57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47.22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1</v>
      </c>
      <c r="BI403">
        <v>1.8</v>
      </c>
      <c r="BJ403">
        <v>6.4</v>
      </c>
      <c r="BK403">
        <v>7</v>
      </c>
      <c r="BL403" s="4">
        <v>156.58000000000001</v>
      </c>
      <c r="BM403" s="4">
        <v>23.49</v>
      </c>
      <c r="BN403" s="4">
        <v>180.07</v>
      </c>
      <c r="BO403" s="4">
        <v>180.07</v>
      </c>
      <c r="BQ403" t="s">
        <v>354</v>
      </c>
      <c r="BR403" t="s">
        <v>320</v>
      </c>
      <c r="BS403" s="1">
        <v>45764</v>
      </c>
      <c r="BT403" s="2">
        <v>0.55555555555555558</v>
      </c>
      <c r="BU403" t="s">
        <v>1273</v>
      </c>
      <c r="BV403" t="s">
        <v>74</v>
      </c>
      <c r="BY403">
        <v>31838.63</v>
      </c>
      <c r="CA403" t="s">
        <v>1274</v>
      </c>
      <c r="CC403" t="s">
        <v>102</v>
      </c>
      <c r="CD403">
        <v>7646</v>
      </c>
      <c r="CE403" t="s">
        <v>322</v>
      </c>
      <c r="CI403">
        <v>0</v>
      </c>
      <c r="CJ403">
        <v>0</v>
      </c>
      <c r="CK403">
        <v>44</v>
      </c>
      <c r="CL403" t="s">
        <v>66</v>
      </c>
    </row>
    <row r="404" spans="1:90" x14ac:dyDescent="0.3">
      <c r="A404" t="s">
        <v>315</v>
      </c>
      <c r="B404" t="s">
        <v>316</v>
      </c>
      <c r="C404" t="s">
        <v>59</v>
      </c>
      <c r="E404" t="str">
        <f>"GAB2025621"</f>
        <v>GAB2025621</v>
      </c>
      <c r="F404" s="1">
        <v>45763</v>
      </c>
      <c r="G404">
        <v>202601</v>
      </c>
      <c r="H404" t="s">
        <v>77</v>
      </c>
      <c r="I404" t="s">
        <v>78</v>
      </c>
      <c r="J404" t="s">
        <v>317</v>
      </c>
      <c r="K404" t="s">
        <v>62</v>
      </c>
      <c r="L404" t="s">
        <v>100</v>
      </c>
      <c r="M404" t="s">
        <v>101</v>
      </c>
      <c r="N404" t="s">
        <v>1275</v>
      </c>
      <c r="O404" t="s">
        <v>98</v>
      </c>
      <c r="P404" t="str">
        <f>"INV-00117051 CT094005         "</f>
        <v xml:space="preserve">INV-00117051 CT094005         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  <c r="AC404">
        <v>5.57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  <c r="AK404">
        <v>86.9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0</v>
      </c>
      <c r="AW404">
        <v>0</v>
      </c>
      <c r="AX404">
        <v>0</v>
      </c>
      <c r="AY404">
        <v>0</v>
      </c>
      <c r="AZ404">
        <v>0</v>
      </c>
      <c r="BA404">
        <v>0</v>
      </c>
      <c r="BB404">
        <v>0</v>
      </c>
      <c r="BC404">
        <v>0</v>
      </c>
      <c r="BD404">
        <v>0</v>
      </c>
      <c r="BE404">
        <v>0</v>
      </c>
      <c r="BF404">
        <v>0</v>
      </c>
      <c r="BG404">
        <v>0</v>
      </c>
      <c r="BH404">
        <v>3</v>
      </c>
      <c r="BI404">
        <v>11.7</v>
      </c>
      <c r="BJ404">
        <v>39.200000000000003</v>
      </c>
      <c r="BK404">
        <v>40</v>
      </c>
      <c r="BL404" s="4">
        <v>283.45</v>
      </c>
      <c r="BM404" s="4">
        <v>42.52</v>
      </c>
      <c r="BN404" s="4">
        <v>325.97000000000003</v>
      </c>
      <c r="BO404" s="4">
        <v>325.97000000000003</v>
      </c>
      <c r="BR404" t="s">
        <v>320</v>
      </c>
      <c r="BS404" t="s">
        <v>81</v>
      </c>
      <c r="BY404">
        <v>196234.39</v>
      </c>
      <c r="CC404" t="s">
        <v>101</v>
      </c>
      <c r="CD404">
        <v>6001</v>
      </c>
      <c r="CE404" t="s">
        <v>1276</v>
      </c>
      <c r="CI404">
        <v>3</v>
      </c>
      <c r="CJ404" t="s">
        <v>81</v>
      </c>
      <c r="CK404">
        <v>41</v>
      </c>
      <c r="CL404" t="s">
        <v>66</v>
      </c>
    </row>
    <row r="405" spans="1:90" x14ac:dyDescent="0.3">
      <c r="A405" t="s">
        <v>315</v>
      </c>
      <c r="B405" t="s">
        <v>316</v>
      </c>
      <c r="C405" t="s">
        <v>59</v>
      </c>
      <c r="E405" t="str">
        <f>"GAB2025627"</f>
        <v>GAB2025627</v>
      </c>
      <c r="F405" s="1">
        <v>45763</v>
      </c>
      <c r="G405">
        <v>202601</v>
      </c>
      <c r="H405" t="s">
        <v>77</v>
      </c>
      <c r="I405" t="s">
        <v>78</v>
      </c>
      <c r="J405" t="s">
        <v>317</v>
      </c>
      <c r="K405" t="s">
        <v>62</v>
      </c>
      <c r="L405" t="s">
        <v>142</v>
      </c>
      <c r="M405" t="s">
        <v>143</v>
      </c>
      <c r="N405" t="s">
        <v>1116</v>
      </c>
      <c r="O405" t="s">
        <v>98</v>
      </c>
      <c r="P405" t="str">
        <f>"INV-00117052 CT093973         "</f>
        <v xml:space="preserve">INV-00117052 CT093973         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5.57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155.75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4</v>
      </c>
      <c r="BI405">
        <v>32.799999999999997</v>
      </c>
      <c r="BJ405">
        <v>78.3</v>
      </c>
      <c r="BK405">
        <v>79</v>
      </c>
      <c r="BL405" s="4">
        <v>503.62</v>
      </c>
      <c r="BM405" s="4">
        <v>75.540000000000006</v>
      </c>
      <c r="BN405" s="4">
        <v>579.16</v>
      </c>
      <c r="BO405" s="4">
        <v>579.16</v>
      </c>
      <c r="BQ405" t="s">
        <v>262</v>
      </c>
      <c r="BR405" t="s">
        <v>320</v>
      </c>
      <c r="BS405" s="1">
        <v>45769</v>
      </c>
      <c r="BT405" s="2">
        <v>0.33888888888888891</v>
      </c>
      <c r="BU405" t="s">
        <v>1272</v>
      </c>
      <c r="BV405" t="s">
        <v>74</v>
      </c>
      <c r="BY405">
        <v>391317.68</v>
      </c>
      <c r="CA405" t="s">
        <v>545</v>
      </c>
      <c r="CC405" t="s">
        <v>143</v>
      </c>
      <c r="CD405" s="3" t="s">
        <v>144</v>
      </c>
      <c r="CE405" t="s">
        <v>322</v>
      </c>
      <c r="CI405">
        <v>3</v>
      </c>
      <c r="CJ405">
        <v>4</v>
      </c>
      <c r="CK405">
        <v>41</v>
      </c>
      <c r="CL405" t="s">
        <v>66</v>
      </c>
    </row>
    <row r="406" spans="1:90" x14ac:dyDescent="0.3">
      <c r="A406" t="s">
        <v>315</v>
      </c>
      <c r="B406" t="s">
        <v>316</v>
      </c>
      <c r="C406" t="s">
        <v>59</v>
      </c>
      <c r="E406" t="str">
        <f>"RGAB2025571"</f>
        <v>RGAB2025571</v>
      </c>
      <c r="F406" s="1">
        <v>45764</v>
      </c>
      <c r="G406">
        <v>202601</v>
      </c>
      <c r="H406" t="s">
        <v>158</v>
      </c>
      <c r="I406" t="s">
        <v>159</v>
      </c>
      <c r="J406" t="s">
        <v>1134</v>
      </c>
      <c r="K406" t="s">
        <v>62</v>
      </c>
      <c r="L406" t="s">
        <v>158</v>
      </c>
      <c r="M406" t="s">
        <v>159</v>
      </c>
      <c r="N406" t="s">
        <v>1277</v>
      </c>
      <c r="O406" t="s">
        <v>98</v>
      </c>
      <c r="P406" t="str">
        <f>"INV-00034684 031991           "</f>
        <v xml:space="preserve">INV-00034684 031991           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5.57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60.31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1</v>
      </c>
      <c r="BI406">
        <v>0.2</v>
      </c>
      <c r="BJ406">
        <v>2.6</v>
      </c>
      <c r="BK406">
        <v>3</v>
      </c>
      <c r="BL406" s="4">
        <v>198.43</v>
      </c>
      <c r="BM406" s="4">
        <v>29.76</v>
      </c>
      <c r="BN406" s="4">
        <v>228.19</v>
      </c>
      <c r="BO406" s="4">
        <v>228.19</v>
      </c>
      <c r="BQ406" t="s">
        <v>307</v>
      </c>
      <c r="BS406" t="s">
        <v>81</v>
      </c>
      <c r="BY406">
        <v>13011.46</v>
      </c>
      <c r="BZ406" t="s">
        <v>179</v>
      </c>
      <c r="CC406" t="s">
        <v>159</v>
      </c>
      <c r="CD406">
        <v>1739</v>
      </c>
      <c r="CE406" t="s">
        <v>389</v>
      </c>
      <c r="CI406">
        <v>1</v>
      </c>
      <c r="CJ406" t="s">
        <v>81</v>
      </c>
      <c r="CK406">
        <v>43</v>
      </c>
      <c r="CL406" t="s">
        <v>66</v>
      </c>
    </row>
    <row r="407" spans="1:90" x14ac:dyDescent="0.3">
      <c r="A407" t="s">
        <v>315</v>
      </c>
      <c r="B407" t="s">
        <v>316</v>
      </c>
      <c r="C407" t="s">
        <v>59</v>
      </c>
      <c r="E407" t="str">
        <f>"GAB2025632"</f>
        <v>GAB2025632</v>
      </c>
      <c r="F407" s="1">
        <v>45764</v>
      </c>
      <c r="G407">
        <v>202601</v>
      </c>
      <c r="H407" t="s">
        <v>77</v>
      </c>
      <c r="I407" t="s">
        <v>78</v>
      </c>
      <c r="J407" t="s">
        <v>317</v>
      </c>
      <c r="K407" t="s">
        <v>62</v>
      </c>
      <c r="L407" t="s">
        <v>77</v>
      </c>
      <c r="M407" t="s">
        <v>78</v>
      </c>
      <c r="N407" t="s">
        <v>340</v>
      </c>
      <c r="O407" t="s">
        <v>65</v>
      </c>
      <c r="P407" t="str">
        <f>"INV-00117073 CT094010         "</f>
        <v xml:space="preserve">INV-00117073 CT094010         </v>
      </c>
      <c r="Q407">
        <v>0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  <c r="AK407">
        <v>17.27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1</v>
      </c>
      <c r="BI407">
        <v>0.2</v>
      </c>
      <c r="BJ407">
        <v>1.9</v>
      </c>
      <c r="BK407">
        <v>2</v>
      </c>
      <c r="BL407" s="4">
        <v>55.23</v>
      </c>
      <c r="BM407" s="4">
        <v>8.2799999999999994</v>
      </c>
      <c r="BN407" s="4">
        <v>63.51</v>
      </c>
      <c r="BO407" s="4">
        <v>63.51</v>
      </c>
      <c r="BQ407" t="s">
        <v>341</v>
      </c>
      <c r="BR407" t="s">
        <v>320</v>
      </c>
      <c r="BS407" t="s">
        <v>81</v>
      </c>
      <c r="BY407">
        <v>9408.4</v>
      </c>
      <c r="CC407" t="s">
        <v>78</v>
      </c>
      <c r="CD407">
        <v>7441</v>
      </c>
      <c r="CE407" t="s">
        <v>393</v>
      </c>
      <c r="CI407">
        <v>1</v>
      </c>
      <c r="CJ407" t="s">
        <v>81</v>
      </c>
      <c r="CK407">
        <v>22</v>
      </c>
      <c r="CL407" t="s">
        <v>66</v>
      </c>
    </row>
    <row r="408" spans="1:90" x14ac:dyDescent="0.3">
      <c r="A408" t="s">
        <v>315</v>
      </c>
      <c r="B408" t="s">
        <v>316</v>
      </c>
      <c r="C408" t="s">
        <v>59</v>
      </c>
      <c r="E408" t="str">
        <f>"GAB2025633"</f>
        <v>GAB2025633</v>
      </c>
      <c r="F408" s="1">
        <v>45764</v>
      </c>
      <c r="G408">
        <v>202601</v>
      </c>
      <c r="H408" t="s">
        <v>77</v>
      </c>
      <c r="I408" t="s">
        <v>78</v>
      </c>
      <c r="J408" t="s">
        <v>317</v>
      </c>
      <c r="K408" t="s">
        <v>62</v>
      </c>
      <c r="L408" t="s">
        <v>60</v>
      </c>
      <c r="M408" t="s">
        <v>61</v>
      </c>
      <c r="N408" t="s">
        <v>1278</v>
      </c>
      <c r="O408" t="s">
        <v>65</v>
      </c>
      <c r="P408" t="str">
        <f>"INV-00117074 CT094021         "</f>
        <v xml:space="preserve">INV-00117074 CT094021         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22.11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16.739999999999998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1</v>
      </c>
      <c r="BI408">
        <v>0.2</v>
      </c>
      <c r="BJ408">
        <v>2</v>
      </c>
      <c r="BK408">
        <v>2</v>
      </c>
      <c r="BL408" s="4">
        <v>87.45</v>
      </c>
      <c r="BM408" s="4">
        <v>13.12</v>
      </c>
      <c r="BN408" s="4">
        <v>100.57</v>
      </c>
      <c r="BO408" s="4">
        <v>100.57</v>
      </c>
      <c r="BR408" t="s">
        <v>320</v>
      </c>
      <c r="BS408" t="s">
        <v>81</v>
      </c>
      <c r="BY408">
        <v>10143</v>
      </c>
      <c r="BZ408" t="s">
        <v>26</v>
      </c>
      <c r="CC408" t="s">
        <v>61</v>
      </c>
      <c r="CD408">
        <v>1632</v>
      </c>
      <c r="CE408" t="s">
        <v>393</v>
      </c>
      <c r="CI408">
        <v>1</v>
      </c>
      <c r="CJ408" t="s">
        <v>81</v>
      </c>
      <c r="CK408">
        <v>21</v>
      </c>
      <c r="CL408" t="s">
        <v>66</v>
      </c>
    </row>
    <row r="409" spans="1:90" x14ac:dyDescent="0.3">
      <c r="A409" t="s">
        <v>315</v>
      </c>
      <c r="B409" t="s">
        <v>316</v>
      </c>
      <c r="C409" t="s">
        <v>59</v>
      </c>
      <c r="E409" t="str">
        <f>"GAB2025634"</f>
        <v>GAB2025634</v>
      </c>
      <c r="F409" s="1">
        <v>45764</v>
      </c>
      <c r="G409">
        <v>202601</v>
      </c>
      <c r="H409" t="s">
        <v>77</v>
      </c>
      <c r="I409" t="s">
        <v>78</v>
      </c>
      <c r="J409" t="s">
        <v>317</v>
      </c>
      <c r="K409" t="s">
        <v>62</v>
      </c>
      <c r="L409" t="s">
        <v>102</v>
      </c>
      <c r="M409" t="s">
        <v>102</v>
      </c>
      <c r="N409" t="s">
        <v>1279</v>
      </c>
      <c r="O409" t="s">
        <v>65</v>
      </c>
      <c r="P409" t="str">
        <f>"INV-00117075 CT094018         "</f>
        <v xml:space="preserve">INV-00117075 CT094018         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>
        <v>0</v>
      </c>
      <c r="AF409">
        <v>0</v>
      </c>
      <c r="AG409">
        <v>0</v>
      </c>
      <c r="AH409">
        <v>0</v>
      </c>
      <c r="AI409">
        <v>0</v>
      </c>
      <c r="AJ409">
        <v>0</v>
      </c>
      <c r="AK409">
        <v>31.1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1</v>
      </c>
      <c r="BI409">
        <v>0.2</v>
      </c>
      <c r="BJ409">
        <v>2</v>
      </c>
      <c r="BK409">
        <v>2</v>
      </c>
      <c r="BL409" s="4">
        <v>99.45</v>
      </c>
      <c r="BM409" s="4">
        <v>14.92</v>
      </c>
      <c r="BN409" s="4">
        <v>114.37</v>
      </c>
      <c r="BO409" s="4">
        <v>114.37</v>
      </c>
      <c r="BR409" t="s">
        <v>320</v>
      </c>
      <c r="BS409" t="s">
        <v>81</v>
      </c>
      <c r="BY409">
        <v>9849.1299999999992</v>
      </c>
      <c r="CC409" t="s">
        <v>102</v>
      </c>
      <c r="CD409">
        <v>7646</v>
      </c>
      <c r="CE409" t="s">
        <v>343</v>
      </c>
      <c r="CI409">
        <v>1</v>
      </c>
      <c r="CJ409" t="s">
        <v>81</v>
      </c>
      <c r="CK409">
        <v>24</v>
      </c>
      <c r="CL409" t="s">
        <v>66</v>
      </c>
    </row>
    <row r="410" spans="1:90" x14ac:dyDescent="0.3">
      <c r="A410" t="s">
        <v>315</v>
      </c>
      <c r="B410" t="s">
        <v>316</v>
      </c>
      <c r="C410" t="s">
        <v>59</v>
      </c>
      <c r="E410" t="str">
        <f>"GAB2025635"</f>
        <v>GAB2025635</v>
      </c>
      <c r="F410" s="1">
        <v>45764</v>
      </c>
      <c r="G410">
        <v>202601</v>
      </c>
      <c r="H410" t="s">
        <v>77</v>
      </c>
      <c r="I410" t="s">
        <v>78</v>
      </c>
      <c r="J410" t="s">
        <v>317</v>
      </c>
      <c r="K410" t="s">
        <v>62</v>
      </c>
      <c r="L410" t="s">
        <v>86</v>
      </c>
      <c r="M410" t="s">
        <v>87</v>
      </c>
      <c r="N410" t="s">
        <v>814</v>
      </c>
      <c r="O410" t="s">
        <v>65</v>
      </c>
      <c r="P410" t="str">
        <f>"INV-00117076 CT094017         "</f>
        <v xml:space="preserve">INV-00117076 CT094017         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17.27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1</v>
      </c>
      <c r="BI410">
        <v>0.4</v>
      </c>
      <c r="BJ410">
        <v>2.2000000000000002</v>
      </c>
      <c r="BK410">
        <v>3</v>
      </c>
      <c r="BL410" s="4">
        <v>55.23</v>
      </c>
      <c r="BM410" s="4">
        <v>8.2799999999999994</v>
      </c>
      <c r="BN410" s="4">
        <v>63.51</v>
      </c>
      <c r="BO410" s="4">
        <v>63.51</v>
      </c>
      <c r="BQ410" t="s">
        <v>262</v>
      </c>
      <c r="BR410" t="s">
        <v>320</v>
      </c>
      <c r="BS410" s="1">
        <v>45769</v>
      </c>
      <c r="BT410" s="2">
        <v>0.38124999999999998</v>
      </c>
      <c r="BU410" t="s">
        <v>1280</v>
      </c>
      <c r="BV410" t="s">
        <v>74</v>
      </c>
      <c r="BY410">
        <v>10817.4</v>
      </c>
      <c r="CA410" t="s">
        <v>141</v>
      </c>
      <c r="CC410" t="s">
        <v>87</v>
      </c>
      <c r="CD410">
        <v>7600</v>
      </c>
      <c r="CE410" t="s">
        <v>578</v>
      </c>
      <c r="CI410">
        <v>1</v>
      </c>
      <c r="CJ410">
        <v>3</v>
      </c>
      <c r="CK410">
        <v>22</v>
      </c>
      <c r="CL410" t="s">
        <v>66</v>
      </c>
    </row>
    <row r="411" spans="1:90" x14ac:dyDescent="0.3">
      <c r="A411" t="s">
        <v>315</v>
      </c>
      <c r="B411" t="s">
        <v>316</v>
      </c>
      <c r="C411" t="s">
        <v>59</v>
      </c>
      <c r="E411" t="str">
        <f>"GAB2025636"</f>
        <v>GAB2025636</v>
      </c>
      <c r="F411" s="1">
        <v>45764</v>
      </c>
      <c r="G411">
        <v>202601</v>
      </c>
      <c r="H411" t="s">
        <v>77</v>
      </c>
      <c r="I411" t="s">
        <v>78</v>
      </c>
      <c r="J411" t="s">
        <v>317</v>
      </c>
      <c r="K411" t="s">
        <v>62</v>
      </c>
      <c r="L411" t="s">
        <v>206</v>
      </c>
      <c r="M411" t="s">
        <v>207</v>
      </c>
      <c r="N411" t="s">
        <v>430</v>
      </c>
      <c r="O411" t="s">
        <v>65</v>
      </c>
      <c r="P411" t="str">
        <f>"INV-00117077 CT094019         "</f>
        <v xml:space="preserve">INV-00117077 CT094019         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27.64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0</v>
      </c>
      <c r="AU411">
        <v>0</v>
      </c>
      <c r="AV411">
        <v>0</v>
      </c>
      <c r="AW411">
        <v>0</v>
      </c>
      <c r="AX411">
        <v>0</v>
      </c>
      <c r="AY411">
        <v>0</v>
      </c>
      <c r="AZ411">
        <v>0</v>
      </c>
      <c r="BA411">
        <v>0</v>
      </c>
      <c r="BB411">
        <v>0</v>
      </c>
      <c r="BC411">
        <v>0</v>
      </c>
      <c r="BD411">
        <v>0</v>
      </c>
      <c r="BE411">
        <v>0</v>
      </c>
      <c r="BF411">
        <v>0</v>
      </c>
      <c r="BG411">
        <v>0</v>
      </c>
      <c r="BH411">
        <v>1</v>
      </c>
      <c r="BI411">
        <v>0.5</v>
      </c>
      <c r="BJ411">
        <v>2.1</v>
      </c>
      <c r="BK411">
        <v>2.5</v>
      </c>
      <c r="BL411" s="4">
        <v>88.38</v>
      </c>
      <c r="BM411" s="4">
        <v>13.26</v>
      </c>
      <c r="BN411" s="4">
        <v>101.64</v>
      </c>
      <c r="BO411" s="4">
        <v>101.64</v>
      </c>
      <c r="BQ411" t="s">
        <v>577</v>
      </c>
      <c r="BR411" t="s">
        <v>320</v>
      </c>
      <c r="BS411" t="s">
        <v>81</v>
      </c>
      <c r="BY411">
        <v>10692.5</v>
      </c>
      <c r="CC411" t="s">
        <v>207</v>
      </c>
      <c r="CD411" s="3" t="s">
        <v>287</v>
      </c>
      <c r="CE411" t="s">
        <v>578</v>
      </c>
      <c r="CI411">
        <v>2</v>
      </c>
      <c r="CJ411" t="s">
        <v>81</v>
      </c>
      <c r="CK411">
        <v>21</v>
      </c>
      <c r="CL411" t="s">
        <v>66</v>
      </c>
    </row>
    <row r="412" spans="1:90" x14ac:dyDescent="0.3">
      <c r="A412" t="s">
        <v>315</v>
      </c>
      <c r="B412" t="s">
        <v>316</v>
      </c>
      <c r="C412" t="s">
        <v>59</v>
      </c>
      <c r="E412" t="str">
        <f>"GAB2025637"</f>
        <v>GAB2025637</v>
      </c>
      <c r="F412" s="1">
        <v>45764</v>
      </c>
      <c r="G412">
        <v>202601</v>
      </c>
      <c r="H412" t="s">
        <v>77</v>
      </c>
      <c r="I412" t="s">
        <v>78</v>
      </c>
      <c r="J412" t="s">
        <v>317</v>
      </c>
      <c r="K412" t="s">
        <v>62</v>
      </c>
      <c r="L412" t="s">
        <v>171</v>
      </c>
      <c r="M412" t="s">
        <v>172</v>
      </c>
      <c r="N412" t="s">
        <v>847</v>
      </c>
      <c r="O412" t="s">
        <v>65</v>
      </c>
      <c r="P412" t="str">
        <f>"INV-00117069 CT094003         "</f>
        <v xml:space="preserve">INV-00117069 CT094003         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52.52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16.739999999999998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0</v>
      </c>
      <c r="BE412">
        <v>0</v>
      </c>
      <c r="BF412">
        <v>0</v>
      </c>
      <c r="BG412">
        <v>0</v>
      </c>
      <c r="BH412">
        <v>1</v>
      </c>
      <c r="BI412">
        <v>0.3</v>
      </c>
      <c r="BJ412">
        <v>2.4</v>
      </c>
      <c r="BK412">
        <v>2.5</v>
      </c>
      <c r="BL412" s="4">
        <v>184.68</v>
      </c>
      <c r="BM412" s="4">
        <v>27.7</v>
      </c>
      <c r="BN412" s="4">
        <v>212.38</v>
      </c>
      <c r="BO412" s="4">
        <v>212.38</v>
      </c>
      <c r="BQ412" t="s">
        <v>848</v>
      </c>
      <c r="BR412" t="s">
        <v>320</v>
      </c>
      <c r="BS412" s="1">
        <v>45769</v>
      </c>
      <c r="BT412" s="2">
        <v>0.38124999999999998</v>
      </c>
      <c r="BU412" t="s">
        <v>849</v>
      </c>
      <c r="BV412" t="s">
        <v>74</v>
      </c>
      <c r="BY412">
        <v>11978.68</v>
      </c>
      <c r="BZ412" t="s">
        <v>26</v>
      </c>
      <c r="CA412" t="s">
        <v>163</v>
      </c>
      <c r="CC412" t="s">
        <v>172</v>
      </c>
      <c r="CD412">
        <v>1982</v>
      </c>
      <c r="CE412" t="s">
        <v>393</v>
      </c>
      <c r="CI412">
        <v>1</v>
      </c>
      <c r="CJ412">
        <v>3</v>
      </c>
      <c r="CK412">
        <v>23</v>
      </c>
      <c r="CL412" t="s">
        <v>66</v>
      </c>
    </row>
    <row r="413" spans="1:90" x14ac:dyDescent="0.3">
      <c r="A413" t="s">
        <v>315</v>
      </c>
      <c r="B413" t="s">
        <v>316</v>
      </c>
      <c r="C413" t="s">
        <v>59</v>
      </c>
      <c r="E413" t="str">
        <f>"GAB2025638"</f>
        <v>GAB2025638</v>
      </c>
      <c r="F413" s="1">
        <v>45764</v>
      </c>
      <c r="G413">
        <v>202601</v>
      </c>
      <c r="H413" t="s">
        <v>77</v>
      </c>
      <c r="I413" t="s">
        <v>78</v>
      </c>
      <c r="J413" t="s">
        <v>317</v>
      </c>
      <c r="K413" t="s">
        <v>62</v>
      </c>
      <c r="L413" t="s">
        <v>72</v>
      </c>
      <c r="M413" t="s">
        <v>73</v>
      </c>
      <c r="N413" t="s">
        <v>687</v>
      </c>
      <c r="O413" t="s">
        <v>65</v>
      </c>
      <c r="P413" t="str">
        <f>"ATT:PREETHUM                  "</f>
        <v xml:space="preserve">ATT:PREETHUM                  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22.11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0</v>
      </c>
      <c r="AU413">
        <v>0</v>
      </c>
      <c r="AV413">
        <v>0</v>
      </c>
      <c r="AW413">
        <v>0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1</v>
      </c>
      <c r="BI413">
        <v>0.1</v>
      </c>
      <c r="BJ413">
        <v>1.9</v>
      </c>
      <c r="BK413">
        <v>2</v>
      </c>
      <c r="BL413" s="4">
        <v>70.709999999999994</v>
      </c>
      <c r="BM413" s="4">
        <v>10.61</v>
      </c>
      <c r="BN413" s="4">
        <v>81.319999999999993</v>
      </c>
      <c r="BO413" s="4">
        <v>81.319999999999993</v>
      </c>
      <c r="BQ413" t="s">
        <v>492</v>
      </c>
      <c r="BR413" t="s">
        <v>320</v>
      </c>
      <c r="BS413" t="s">
        <v>81</v>
      </c>
      <c r="BY413">
        <v>9386</v>
      </c>
      <c r="CC413" t="s">
        <v>73</v>
      </c>
      <c r="CD413">
        <v>3610</v>
      </c>
      <c r="CE413" t="s">
        <v>706</v>
      </c>
      <c r="CI413">
        <v>2</v>
      </c>
      <c r="CJ413" t="s">
        <v>81</v>
      </c>
      <c r="CK413">
        <v>21</v>
      </c>
      <c r="CL413" t="s">
        <v>66</v>
      </c>
    </row>
    <row r="414" spans="1:90" x14ac:dyDescent="0.3">
      <c r="A414" t="s">
        <v>315</v>
      </c>
      <c r="B414" t="s">
        <v>316</v>
      </c>
      <c r="C414" t="s">
        <v>59</v>
      </c>
      <c r="E414" t="str">
        <f>"GAB2025639"</f>
        <v>GAB2025639</v>
      </c>
      <c r="F414" s="1">
        <v>45764</v>
      </c>
      <c r="G414">
        <v>202601</v>
      </c>
      <c r="H414" t="s">
        <v>77</v>
      </c>
      <c r="I414" t="s">
        <v>78</v>
      </c>
      <c r="J414" t="s">
        <v>317</v>
      </c>
      <c r="K414" t="s">
        <v>62</v>
      </c>
      <c r="L414" t="s">
        <v>183</v>
      </c>
      <c r="M414" t="s">
        <v>184</v>
      </c>
      <c r="N414" t="s">
        <v>375</v>
      </c>
      <c r="O414" t="s">
        <v>65</v>
      </c>
      <c r="P414" t="str">
        <f>"INV-00117084 CT094023         "</f>
        <v xml:space="preserve">INV-00117084 CT094023         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0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52.52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1</v>
      </c>
      <c r="BI414">
        <v>0.3</v>
      </c>
      <c r="BJ414">
        <v>2.5</v>
      </c>
      <c r="BK414">
        <v>2.5</v>
      </c>
      <c r="BL414" s="4">
        <v>167.94</v>
      </c>
      <c r="BM414" s="4">
        <v>25.19</v>
      </c>
      <c r="BN414" s="4">
        <v>193.13</v>
      </c>
      <c r="BO414" s="4">
        <v>193.13</v>
      </c>
      <c r="BQ414" t="s">
        <v>376</v>
      </c>
      <c r="BR414" t="s">
        <v>320</v>
      </c>
      <c r="BS414" t="s">
        <v>81</v>
      </c>
      <c r="BY414">
        <v>12573.2</v>
      </c>
      <c r="CC414" t="s">
        <v>184</v>
      </c>
      <c r="CD414" s="3" t="s">
        <v>186</v>
      </c>
      <c r="CE414" t="s">
        <v>578</v>
      </c>
      <c r="CI414">
        <v>2</v>
      </c>
      <c r="CJ414" t="s">
        <v>81</v>
      </c>
      <c r="CK414">
        <v>23</v>
      </c>
      <c r="CL414" t="s">
        <v>66</v>
      </c>
    </row>
    <row r="415" spans="1:90" x14ac:dyDescent="0.3">
      <c r="A415" t="s">
        <v>315</v>
      </c>
      <c r="B415" t="s">
        <v>316</v>
      </c>
      <c r="C415" t="s">
        <v>59</v>
      </c>
      <c r="E415" t="str">
        <f>"GAB2025640"</f>
        <v>GAB2025640</v>
      </c>
      <c r="F415" s="1">
        <v>45764</v>
      </c>
      <c r="G415">
        <v>202601</v>
      </c>
      <c r="H415" t="s">
        <v>77</v>
      </c>
      <c r="I415" t="s">
        <v>78</v>
      </c>
      <c r="J415" t="s">
        <v>317</v>
      </c>
      <c r="K415" t="s">
        <v>62</v>
      </c>
      <c r="L415" t="s">
        <v>145</v>
      </c>
      <c r="M415" t="s">
        <v>146</v>
      </c>
      <c r="N415" t="s">
        <v>1281</v>
      </c>
      <c r="O415" t="s">
        <v>65</v>
      </c>
      <c r="P415" t="str">
        <f>"INV-00034804 032086           "</f>
        <v xml:space="preserve">INV-00034804 032086           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42.84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1</v>
      </c>
      <c r="BI415">
        <v>0.2</v>
      </c>
      <c r="BJ415">
        <v>2</v>
      </c>
      <c r="BK415">
        <v>2</v>
      </c>
      <c r="BL415" s="4">
        <v>137</v>
      </c>
      <c r="BM415" s="4">
        <v>20.55</v>
      </c>
      <c r="BN415" s="4">
        <v>157.55000000000001</v>
      </c>
      <c r="BO415" s="4">
        <v>157.55000000000001</v>
      </c>
      <c r="BR415" t="s">
        <v>320</v>
      </c>
      <c r="BS415" t="s">
        <v>81</v>
      </c>
      <c r="BY415">
        <v>9789.1200000000008</v>
      </c>
      <c r="CC415" t="s">
        <v>146</v>
      </c>
      <c r="CD415">
        <v>3900</v>
      </c>
      <c r="CE415" t="s">
        <v>343</v>
      </c>
      <c r="CI415">
        <v>2</v>
      </c>
      <c r="CJ415" t="s">
        <v>81</v>
      </c>
      <c r="CK415">
        <v>23</v>
      </c>
      <c r="CL415" t="s">
        <v>66</v>
      </c>
    </row>
    <row r="416" spans="1:90" x14ac:dyDescent="0.3">
      <c r="A416" t="s">
        <v>315</v>
      </c>
      <c r="B416" t="s">
        <v>316</v>
      </c>
      <c r="C416" t="s">
        <v>59</v>
      </c>
      <c r="E416" t="str">
        <f>"GAB2025641"</f>
        <v>GAB2025641</v>
      </c>
      <c r="F416" s="1">
        <v>45764</v>
      </c>
      <c r="G416">
        <v>202601</v>
      </c>
      <c r="H416" t="s">
        <v>77</v>
      </c>
      <c r="I416" t="s">
        <v>78</v>
      </c>
      <c r="J416" t="s">
        <v>317</v>
      </c>
      <c r="K416" t="s">
        <v>62</v>
      </c>
      <c r="L416" t="s">
        <v>63</v>
      </c>
      <c r="M416" t="s">
        <v>64</v>
      </c>
      <c r="N416" t="s">
        <v>908</v>
      </c>
      <c r="O416" t="s">
        <v>65</v>
      </c>
      <c r="P416" t="str">
        <f>"INV-00034805 032032           "</f>
        <v xml:space="preserve">INV-00034805 032032           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33.159999999999997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1</v>
      </c>
      <c r="BI416">
        <v>0.2</v>
      </c>
      <c r="BJ416">
        <v>2.6</v>
      </c>
      <c r="BK416">
        <v>3</v>
      </c>
      <c r="BL416" s="4">
        <v>106.04</v>
      </c>
      <c r="BM416" s="4">
        <v>15.91</v>
      </c>
      <c r="BN416" s="4">
        <v>121.95</v>
      </c>
      <c r="BO416" s="4">
        <v>121.95</v>
      </c>
      <c r="BQ416" t="s">
        <v>909</v>
      </c>
      <c r="BR416" t="s">
        <v>320</v>
      </c>
      <c r="BS416" t="s">
        <v>81</v>
      </c>
      <c r="BY416">
        <v>12951.4</v>
      </c>
      <c r="CC416" t="s">
        <v>64</v>
      </c>
      <c r="CD416">
        <v>5200</v>
      </c>
      <c r="CE416" t="s">
        <v>389</v>
      </c>
      <c r="CI416">
        <v>1</v>
      </c>
      <c r="CJ416" t="s">
        <v>81</v>
      </c>
      <c r="CK416">
        <v>21</v>
      </c>
      <c r="CL416" t="s">
        <v>66</v>
      </c>
    </row>
    <row r="417" spans="1:90" x14ac:dyDescent="0.3">
      <c r="A417" t="s">
        <v>315</v>
      </c>
      <c r="B417" t="s">
        <v>316</v>
      </c>
      <c r="C417" t="s">
        <v>59</v>
      </c>
      <c r="E417" t="str">
        <f>"GAB2025642"</f>
        <v>GAB2025642</v>
      </c>
      <c r="F417" s="1">
        <v>45764</v>
      </c>
      <c r="G417">
        <v>202601</v>
      </c>
      <c r="H417" t="s">
        <v>77</v>
      </c>
      <c r="I417" t="s">
        <v>78</v>
      </c>
      <c r="J417" t="s">
        <v>317</v>
      </c>
      <c r="K417" t="s">
        <v>62</v>
      </c>
      <c r="L417" t="s">
        <v>89</v>
      </c>
      <c r="M417" t="s">
        <v>90</v>
      </c>
      <c r="N417" t="s">
        <v>1282</v>
      </c>
      <c r="O417" t="s">
        <v>65</v>
      </c>
      <c r="P417" t="str">
        <f>"INV-00034806 031690           "</f>
        <v xml:space="preserve">INV-00034806 031690           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27.64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1</v>
      </c>
      <c r="BI417">
        <v>0.1</v>
      </c>
      <c r="BJ417">
        <v>2.1</v>
      </c>
      <c r="BK417">
        <v>2.5</v>
      </c>
      <c r="BL417" s="4">
        <v>88.38</v>
      </c>
      <c r="BM417" s="4">
        <v>13.26</v>
      </c>
      <c r="BN417" s="4">
        <v>101.64</v>
      </c>
      <c r="BO417" s="4">
        <v>101.64</v>
      </c>
      <c r="BQ417" t="s">
        <v>404</v>
      </c>
      <c r="BR417" t="s">
        <v>320</v>
      </c>
      <c r="BS417" t="s">
        <v>81</v>
      </c>
      <c r="BY417">
        <v>10471.120000000001</v>
      </c>
      <c r="CC417" t="s">
        <v>90</v>
      </c>
      <c r="CD417">
        <v>4001</v>
      </c>
      <c r="CE417" t="s">
        <v>393</v>
      </c>
      <c r="CI417">
        <v>2</v>
      </c>
      <c r="CJ417" t="s">
        <v>81</v>
      </c>
      <c r="CK417">
        <v>21</v>
      </c>
      <c r="CL417" t="s">
        <v>66</v>
      </c>
    </row>
    <row r="418" spans="1:90" x14ac:dyDescent="0.3">
      <c r="A418" t="s">
        <v>315</v>
      </c>
      <c r="B418" t="s">
        <v>316</v>
      </c>
      <c r="C418" t="s">
        <v>59</v>
      </c>
      <c r="E418" t="str">
        <f>"GAB2025643"</f>
        <v>GAB2025643</v>
      </c>
      <c r="F418" s="1">
        <v>45764</v>
      </c>
      <c r="G418">
        <v>202601</v>
      </c>
      <c r="H418" t="s">
        <v>77</v>
      </c>
      <c r="I418" t="s">
        <v>78</v>
      </c>
      <c r="J418" t="s">
        <v>317</v>
      </c>
      <c r="K418" t="s">
        <v>62</v>
      </c>
      <c r="L418" t="s">
        <v>100</v>
      </c>
      <c r="M418" t="s">
        <v>101</v>
      </c>
      <c r="N418" t="s">
        <v>939</v>
      </c>
      <c r="O418" t="s">
        <v>65</v>
      </c>
      <c r="P418" t="str">
        <f>"INV-00034807 032056           "</f>
        <v xml:space="preserve">INV-00034807 032056           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22.11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1</v>
      </c>
      <c r="BI418">
        <v>0.2</v>
      </c>
      <c r="BJ418">
        <v>1.6</v>
      </c>
      <c r="BK418">
        <v>2</v>
      </c>
      <c r="BL418" s="4">
        <v>70.709999999999994</v>
      </c>
      <c r="BM418" s="4">
        <v>10.61</v>
      </c>
      <c r="BN418" s="4">
        <v>81.319999999999993</v>
      </c>
      <c r="BO418" s="4">
        <v>81.319999999999993</v>
      </c>
      <c r="BQ418" t="s">
        <v>940</v>
      </c>
      <c r="BR418" t="s">
        <v>320</v>
      </c>
      <c r="BS418" t="s">
        <v>81</v>
      </c>
      <c r="BY418">
        <v>8191.8</v>
      </c>
      <c r="CC418" t="s">
        <v>101</v>
      </c>
      <c r="CD418">
        <v>6001</v>
      </c>
      <c r="CE418" t="s">
        <v>343</v>
      </c>
      <c r="CI418">
        <v>2</v>
      </c>
      <c r="CJ418" t="s">
        <v>81</v>
      </c>
      <c r="CK418">
        <v>21</v>
      </c>
      <c r="CL418" t="s">
        <v>66</v>
      </c>
    </row>
    <row r="419" spans="1:90" x14ac:dyDescent="0.3">
      <c r="A419" t="s">
        <v>315</v>
      </c>
      <c r="B419" t="s">
        <v>316</v>
      </c>
      <c r="C419" t="s">
        <v>59</v>
      </c>
      <c r="E419" t="str">
        <f>"GAB2025646"</f>
        <v>GAB2025646</v>
      </c>
      <c r="F419" s="1">
        <v>45764</v>
      </c>
      <c r="G419">
        <v>202601</v>
      </c>
      <c r="H419" t="s">
        <v>77</v>
      </c>
      <c r="I419" t="s">
        <v>78</v>
      </c>
      <c r="J419" t="s">
        <v>317</v>
      </c>
      <c r="K419" t="s">
        <v>62</v>
      </c>
      <c r="L419" t="s">
        <v>63</v>
      </c>
      <c r="M419" t="s">
        <v>64</v>
      </c>
      <c r="N419" t="s">
        <v>336</v>
      </c>
      <c r="O419" t="s">
        <v>65</v>
      </c>
      <c r="P419" t="str">
        <f>"INV-00117089 00117090 CT094030"</f>
        <v>INV-00117089 00117090 CT094030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27.64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1</v>
      </c>
      <c r="BI419">
        <v>0.3</v>
      </c>
      <c r="BJ419">
        <v>2.2000000000000002</v>
      </c>
      <c r="BK419">
        <v>2.5</v>
      </c>
      <c r="BL419" s="4">
        <v>88.38</v>
      </c>
      <c r="BM419" s="4">
        <v>13.26</v>
      </c>
      <c r="BN419" s="4">
        <v>101.64</v>
      </c>
      <c r="BO419" s="4">
        <v>101.64</v>
      </c>
      <c r="BR419" t="s">
        <v>320</v>
      </c>
      <c r="BS419" t="s">
        <v>81</v>
      </c>
      <c r="BY419">
        <v>11238.08</v>
      </c>
      <c r="CC419" t="s">
        <v>64</v>
      </c>
      <c r="CD419">
        <v>5200</v>
      </c>
      <c r="CE419" t="s">
        <v>389</v>
      </c>
      <c r="CI419">
        <v>1</v>
      </c>
      <c r="CJ419" t="s">
        <v>81</v>
      </c>
      <c r="CK419">
        <v>21</v>
      </c>
      <c r="CL419" t="s">
        <v>66</v>
      </c>
    </row>
    <row r="420" spans="1:90" x14ac:dyDescent="0.3">
      <c r="A420" t="s">
        <v>315</v>
      </c>
      <c r="B420" t="s">
        <v>316</v>
      </c>
      <c r="C420" t="s">
        <v>59</v>
      </c>
      <c r="E420" t="str">
        <f>"GAB2025647"</f>
        <v>GAB2025647</v>
      </c>
      <c r="F420" s="1">
        <v>45764</v>
      </c>
      <c r="G420">
        <v>202601</v>
      </c>
      <c r="H420" t="s">
        <v>77</v>
      </c>
      <c r="I420" t="s">
        <v>78</v>
      </c>
      <c r="J420" t="s">
        <v>317</v>
      </c>
      <c r="K420" t="s">
        <v>62</v>
      </c>
      <c r="L420" t="s">
        <v>91</v>
      </c>
      <c r="M420" t="s">
        <v>92</v>
      </c>
      <c r="N420" t="s">
        <v>446</v>
      </c>
      <c r="O420" t="s">
        <v>65</v>
      </c>
      <c r="P420" t="str">
        <f>"INV-00117091 CT094029         "</f>
        <v xml:space="preserve">INV-00117091 CT094029         </v>
      </c>
      <c r="Q420">
        <v>0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  <c r="AK420">
        <v>66.3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1</v>
      </c>
      <c r="BI420">
        <v>1.7</v>
      </c>
      <c r="BJ420">
        <v>5.9</v>
      </c>
      <c r="BK420">
        <v>6</v>
      </c>
      <c r="BL420" s="4">
        <v>212.02</v>
      </c>
      <c r="BM420" s="4">
        <v>31.8</v>
      </c>
      <c r="BN420" s="4">
        <v>243.82</v>
      </c>
      <c r="BO420" s="4">
        <v>243.82</v>
      </c>
      <c r="BQ420" t="s">
        <v>447</v>
      </c>
      <c r="BR420" t="s">
        <v>320</v>
      </c>
      <c r="BS420" t="s">
        <v>81</v>
      </c>
      <c r="BY420">
        <v>29490.3</v>
      </c>
      <c r="CC420" t="s">
        <v>92</v>
      </c>
      <c r="CD420" s="3" t="s">
        <v>94</v>
      </c>
      <c r="CE420" t="s">
        <v>1257</v>
      </c>
      <c r="CI420">
        <v>1</v>
      </c>
      <c r="CJ420" t="s">
        <v>81</v>
      </c>
      <c r="CK420">
        <v>21</v>
      </c>
      <c r="CL420" t="s">
        <v>66</v>
      </c>
    </row>
    <row r="421" spans="1:90" x14ac:dyDescent="0.3">
      <c r="A421" t="s">
        <v>315</v>
      </c>
      <c r="B421" t="s">
        <v>316</v>
      </c>
      <c r="C421" t="s">
        <v>59</v>
      </c>
      <c r="E421" t="str">
        <f>"009945070717"</f>
        <v>009945070717</v>
      </c>
      <c r="F421" s="1">
        <v>45764</v>
      </c>
      <c r="G421">
        <v>202601</v>
      </c>
      <c r="H421" t="s">
        <v>89</v>
      </c>
      <c r="I421" t="s">
        <v>90</v>
      </c>
      <c r="J421" t="s">
        <v>1283</v>
      </c>
      <c r="K421" t="s">
        <v>62</v>
      </c>
      <c r="L421" t="s">
        <v>77</v>
      </c>
      <c r="M421" t="s">
        <v>78</v>
      </c>
      <c r="N421" t="s">
        <v>450</v>
      </c>
      <c r="O421" t="s">
        <v>98</v>
      </c>
      <c r="P421" t="str">
        <f>"240 423 1757                  "</f>
        <v xml:space="preserve">240 423 1757                  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5.57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42.76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1</v>
      </c>
      <c r="BI421">
        <v>1</v>
      </c>
      <c r="BJ421">
        <v>0.2</v>
      </c>
      <c r="BK421">
        <v>1</v>
      </c>
      <c r="BL421" s="4">
        <v>142.31</v>
      </c>
      <c r="BM421" s="4">
        <v>21.35</v>
      </c>
      <c r="BN421" s="4">
        <v>163.66</v>
      </c>
      <c r="BO421" s="4">
        <v>163.66</v>
      </c>
      <c r="BR421" t="s">
        <v>1284</v>
      </c>
      <c r="BS421" t="s">
        <v>81</v>
      </c>
      <c r="BY421">
        <v>1200</v>
      </c>
      <c r="BZ421" t="s">
        <v>114</v>
      </c>
      <c r="CC421" t="s">
        <v>78</v>
      </c>
      <c r="CD421">
        <v>7460</v>
      </c>
      <c r="CE421" t="s">
        <v>76</v>
      </c>
      <c r="CI421">
        <v>3</v>
      </c>
      <c r="CJ421" t="s">
        <v>81</v>
      </c>
      <c r="CK421">
        <v>41</v>
      </c>
      <c r="CL421" t="s">
        <v>66</v>
      </c>
    </row>
    <row r="422" spans="1:90" x14ac:dyDescent="0.3">
      <c r="A422" t="s">
        <v>315</v>
      </c>
      <c r="B422" t="s">
        <v>316</v>
      </c>
      <c r="C422" t="s">
        <v>59</v>
      </c>
      <c r="E422" t="str">
        <f>"GAB2025644"</f>
        <v>GAB2025644</v>
      </c>
      <c r="F422" s="1">
        <v>45764</v>
      </c>
      <c r="G422">
        <v>202601</v>
      </c>
      <c r="H422" t="s">
        <v>77</v>
      </c>
      <c r="I422" t="s">
        <v>78</v>
      </c>
      <c r="J422" t="s">
        <v>317</v>
      </c>
      <c r="K422" t="s">
        <v>62</v>
      </c>
      <c r="L422" t="s">
        <v>142</v>
      </c>
      <c r="M422" t="s">
        <v>143</v>
      </c>
      <c r="N422" t="s">
        <v>450</v>
      </c>
      <c r="O422" t="s">
        <v>98</v>
      </c>
      <c r="P422" t="str">
        <f>"INV-00117088 CT094006         "</f>
        <v xml:space="preserve">INV-00117088 CT094006         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5.57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42.76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1</v>
      </c>
      <c r="BI422">
        <v>0.7</v>
      </c>
      <c r="BJ422">
        <v>6</v>
      </c>
      <c r="BK422">
        <v>6</v>
      </c>
      <c r="BL422" s="4">
        <v>142.31</v>
      </c>
      <c r="BM422" s="4">
        <v>21.35</v>
      </c>
      <c r="BN422" s="4">
        <v>163.66</v>
      </c>
      <c r="BO422" s="4">
        <v>163.66</v>
      </c>
      <c r="BQ422" t="s">
        <v>979</v>
      </c>
      <c r="BR422" t="s">
        <v>320</v>
      </c>
      <c r="BS422" t="s">
        <v>81</v>
      </c>
      <c r="BY422">
        <v>30079.919999999998</v>
      </c>
      <c r="CC422" t="s">
        <v>143</v>
      </c>
      <c r="CD422" s="3" t="s">
        <v>144</v>
      </c>
      <c r="CE422" t="s">
        <v>339</v>
      </c>
      <c r="CI422">
        <v>3</v>
      </c>
      <c r="CJ422" t="s">
        <v>81</v>
      </c>
      <c r="CK422">
        <v>41</v>
      </c>
      <c r="CL422" t="s">
        <v>66</v>
      </c>
    </row>
    <row r="423" spans="1:90" x14ac:dyDescent="0.3">
      <c r="A423" t="s">
        <v>315</v>
      </c>
      <c r="B423" t="s">
        <v>316</v>
      </c>
      <c r="C423" t="s">
        <v>59</v>
      </c>
      <c r="E423" t="str">
        <f>"GAB2025645"</f>
        <v>GAB2025645</v>
      </c>
      <c r="F423" s="1">
        <v>45764</v>
      </c>
      <c r="G423">
        <v>202601</v>
      </c>
      <c r="H423" t="s">
        <v>77</v>
      </c>
      <c r="I423" t="s">
        <v>78</v>
      </c>
      <c r="J423" t="s">
        <v>317</v>
      </c>
      <c r="K423" t="s">
        <v>62</v>
      </c>
      <c r="L423" t="s">
        <v>91</v>
      </c>
      <c r="M423" t="s">
        <v>92</v>
      </c>
      <c r="N423" t="s">
        <v>1285</v>
      </c>
      <c r="O423" t="s">
        <v>98</v>
      </c>
      <c r="P423" t="str">
        <f>"INV-00117087 CT093971         "</f>
        <v xml:space="preserve">INV-00117087 CT093971         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0</v>
      </c>
      <c r="AA423">
        <v>0</v>
      </c>
      <c r="AB423">
        <v>0</v>
      </c>
      <c r="AC423">
        <v>5.57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42.76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1</v>
      </c>
      <c r="BI423">
        <v>1.6</v>
      </c>
      <c r="BJ423">
        <v>2.5</v>
      </c>
      <c r="BK423">
        <v>3</v>
      </c>
      <c r="BL423" s="4">
        <v>142.31</v>
      </c>
      <c r="BM423" s="4">
        <v>21.35</v>
      </c>
      <c r="BN423" s="4">
        <v>163.66</v>
      </c>
      <c r="BO423" s="4">
        <v>163.66</v>
      </c>
      <c r="BR423" t="s">
        <v>320</v>
      </c>
      <c r="BS423" t="s">
        <v>81</v>
      </c>
      <c r="BY423">
        <v>12597.6</v>
      </c>
      <c r="CC423" t="s">
        <v>92</v>
      </c>
      <c r="CD423" s="3" t="s">
        <v>219</v>
      </c>
      <c r="CE423" t="s">
        <v>755</v>
      </c>
      <c r="CI423">
        <v>3</v>
      </c>
      <c r="CJ423" t="s">
        <v>81</v>
      </c>
      <c r="CK423">
        <v>41</v>
      </c>
      <c r="CL423" t="s">
        <v>66</v>
      </c>
    </row>
    <row r="424" spans="1:90" x14ac:dyDescent="0.3">
      <c r="F424" s="1"/>
      <c r="BL424" s="4">
        <f>SUM(BL2:BL423)</f>
        <v>60374.519999999931</v>
      </c>
      <c r="BM424" s="4">
        <f t="shared" ref="BM424:BO424" si="0">SUM(BM2:BM423)</f>
        <v>8922.2800000000134</v>
      </c>
      <c r="BN424" s="4">
        <f t="shared" si="0"/>
        <v>69296.800000000061</v>
      </c>
      <c r="BO424" s="4">
        <f t="shared" si="0"/>
        <v>69296.800000000061</v>
      </c>
      <c r="BS424" s="1"/>
      <c r="BT424" s="2"/>
      <c r="CF424" s="1"/>
    </row>
    <row r="425" spans="1:90" x14ac:dyDescent="0.3">
      <c r="F425" s="1"/>
      <c r="BS425" s="1"/>
      <c r="BT425" s="2"/>
      <c r="CF425" s="1"/>
    </row>
    <row r="426" spans="1:90" x14ac:dyDescent="0.3">
      <c r="F426" s="1"/>
      <c r="BS426" s="1"/>
      <c r="BT426" s="2"/>
      <c r="CF426" s="1"/>
    </row>
    <row r="427" spans="1:90" x14ac:dyDescent="0.3">
      <c r="F427" s="1"/>
      <c r="BS427" s="1"/>
      <c r="BT427" s="2"/>
      <c r="CF427" s="1"/>
    </row>
    <row r="428" spans="1:90" x14ac:dyDescent="0.3">
      <c r="F428" s="1"/>
      <c r="BS428" s="1"/>
      <c r="BT428" s="2"/>
      <c r="CF428" s="1"/>
    </row>
    <row r="429" spans="1:90" x14ac:dyDescent="0.3">
      <c r="F429" s="1"/>
      <c r="BS429" s="1"/>
      <c r="BT429" s="2"/>
      <c r="CF429" s="1"/>
    </row>
    <row r="430" spans="1:90" x14ac:dyDescent="0.3">
      <c r="F430" s="1"/>
      <c r="BS430" s="1"/>
      <c r="BT430" s="2"/>
      <c r="CF430" s="1"/>
    </row>
    <row r="431" spans="1:90" x14ac:dyDescent="0.3">
      <c r="F431" s="1"/>
      <c r="BS431" s="1"/>
      <c r="BT431" s="2"/>
      <c r="CF431" s="1"/>
    </row>
    <row r="432" spans="1:90" x14ac:dyDescent="0.3">
      <c r="F432" s="1"/>
      <c r="BS432" s="1"/>
      <c r="BT432" s="2"/>
      <c r="CD432" s="3"/>
      <c r="CF432" s="1"/>
    </row>
    <row r="433" spans="6:84" x14ac:dyDescent="0.3">
      <c r="F433" s="1"/>
      <c r="BS433" s="1"/>
      <c r="BT433" s="2"/>
      <c r="CF433" s="1"/>
    </row>
    <row r="434" spans="6:84" x14ac:dyDescent="0.3">
      <c r="F434" s="1"/>
      <c r="BS434" s="1"/>
      <c r="BT434" s="2"/>
      <c r="CF434" s="1"/>
    </row>
    <row r="435" spans="6:84" x14ac:dyDescent="0.3">
      <c r="F435" s="1"/>
      <c r="BS435" s="1"/>
      <c r="BT435" s="2"/>
      <c r="CF435" s="1"/>
    </row>
    <row r="436" spans="6:84" x14ac:dyDescent="0.3">
      <c r="F436" s="1"/>
      <c r="BS436" s="1"/>
      <c r="BT436" s="2"/>
      <c r="CD436" s="3"/>
      <c r="CF436" s="1"/>
    </row>
    <row r="437" spans="6:84" x14ac:dyDescent="0.3">
      <c r="F437" s="1"/>
      <c r="BS437" s="1"/>
      <c r="BT437" s="2"/>
      <c r="CF437" s="1"/>
    </row>
    <row r="438" spans="6:84" x14ac:dyDescent="0.3">
      <c r="F438" s="1"/>
      <c r="BS438" s="1"/>
      <c r="BT438" s="2"/>
      <c r="CF438" s="1"/>
    </row>
    <row r="439" spans="6:84" x14ac:dyDescent="0.3">
      <c r="F439" s="1"/>
      <c r="BS439" s="1"/>
      <c r="BT439" s="2"/>
      <c r="CF439" s="1"/>
    </row>
    <row r="440" spans="6:84" x14ac:dyDescent="0.3">
      <c r="F440" s="1"/>
      <c r="BS440" s="1"/>
      <c r="BT440" s="2"/>
      <c r="CF440" s="1"/>
    </row>
    <row r="441" spans="6:84" x14ac:dyDescent="0.3">
      <c r="F441" s="1"/>
      <c r="BS441" s="1"/>
      <c r="BT441" s="2"/>
      <c r="CD441" s="3"/>
      <c r="CF441" s="1"/>
    </row>
    <row r="442" spans="6:84" x14ac:dyDescent="0.3">
      <c r="F442" s="1"/>
      <c r="BS442" s="1"/>
      <c r="BT442" s="2"/>
      <c r="CF442" s="1"/>
    </row>
    <row r="443" spans="6:84" x14ac:dyDescent="0.3">
      <c r="F443" s="1"/>
      <c r="BS443" s="1"/>
      <c r="BT443" s="2"/>
      <c r="CF443" s="1"/>
    </row>
    <row r="444" spans="6:84" x14ac:dyDescent="0.3">
      <c r="F444" s="1"/>
      <c r="BS444" s="1"/>
      <c r="BT444" s="2"/>
      <c r="CF444" s="1"/>
    </row>
    <row r="445" spans="6:84" x14ac:dyDescent="0.3">
      <c r="F445" s="1"/>
      <c r="BS445" s="1"/>
      <c r="BT445" s="2"/>
      <c r="CF445" s="1"/>
    </row>
    <row r="446" spans="6:84" x14ac:dyDescent="0.3">
      <c r="F446" s="1"/>
      <c r="BS446" s="1"/>
      <c r="BT446" s="2"/>
      <c r="CF446" s="1"/>
    </row>
    <row r="447" spans="6:84" x14ac:dyDescent="0.3">
      <c r="F447" s="1"/>
      <c r="BS447" s="1"/>
      <c r="BT447" s="2"/>
      <c r="CD447" s="3"/>
      <c r="CF447" s="1"/>
    </row>
    <row r="448" spans="6:84" x14ac:dyDescent="0.3">
      <c r="F448" s="1"/>
      <c r="BS448" s="1"/>
      <c r="BT448" s="2"/>
      <c r="CF448" s="1"/>
    </row>
    <row r="449" spans="6:84" x14ac:dyDescent="0.3">
      <c r="F449" s="1"/>
      <c r="BS449" s="1"/>
      <c r="BT449" s="2"/>
      <c r="CD449" s="3"/>
      <c r="CF449" s="1"/>
    </row>
    <row r="450" spans="6:84" x14ac:dyDescent="0.3">
      <c r="F450" s="1"/>
      <c r="BS450" s="1"/>
      <c r="BT450" s="2"/>
      <c r="CD450" s="3"/>
      <c r="CF450" s="1"/>
    </row>
    <row r="451" spans="6:84" x14ac:dyDescent="0.3">
      <c r="F451" s="1"/>
      <c r="BS451" s="1"/>
      <c r="BT451" s="2"/>
      <c r="CF451" s="1"/>
    </row>
    <row r="452" spans="6:84" x14ac:dyDescent="0.3">
      <c r="F452" s="1"/>
      <c r="BS452" s="1"/>
      <c r="BT452" s="2"/>
      <c r="CF452" s="1"/>
    </row>
    <row r="453" spans="6:84" x14ac:dyDescent="0.3">
      <c r="F453" s="1"/>
      <c r="BS453" s="1"/>
      <c r="BT453" s="2"/>
      <c r="CF453" s="1"/>
    </row>
    <row r="454" spans="6:84" x14ac:dyDescent="0.3">
      <c r="F454" s="1"/>
      <c r="BS454" s="1"/>
      <c r="BT454" s="2"/>
      <c r="CF454" s="1"/>
    </row>
    <row r="455" spans="6:84" x14ac:dyDescent="0.3">
      <c r="F455" s="1"/>
      <c r="BS455" s="1"/>
      <c r="BT455" s="2"/>
      <c r="CF455" s="1"/>
    </row>
    <row r="456" spans="6:84" x14ac:dyDescent="0.3">
      <c r="F456" s="1"/>
      <c r="BS456" s="1"/>
      <c r="BT456" s="2"/>
      <c r="CF456" s="1"/>
    </row>
    <row r="457" spans="6:84" x14ac:dyDescent="0.3">
      <c r="F457" s="1"/>
      <c r="BS457" s="1"/>
      <c r="BT457" s="2"/>
      <c r="CF457" s="1"/>
    </row>
    <row r="458" spans="6:84" x14ac:dyDescent="0.3">
      <c r="F458" s="1"/>
      <c r="BS458" s="1"/>
      <c r="BT458" s="2"/>
      <c r="CF458" s="1"/>
    </row>
    <row r="459" spans="6:84" x14ac:dyDescent="0.3">
      <c r="F459" s="1"/>
      <c r="BS459" s="1"/>
      <c r="BT459" s="2"/>
      <c r="CF459" s="1"/>
    </row>
    <row r="460" spans="6:84" x14ac:dyDescent="0.3">
      <c r="F460" s="1"/>
      <c r="BS460" s="1"/>
      <c r="BT460" s="2"/>
      <c r="CF460" s="1"/>
    </row>
    <row r="461" spans="6:84" x14ac:dyDescent="0.3">
      <c r="F461" s="1"/>
      <c r="BS461" s="1"/>
      <c r="BT461" s="2"/>
      <c r="CD461" s="3"/>
      <c r="CF461" s="1"/>
    </row>
    <row r="462" spans="6:84" x14ac:dyDescent="0.3">
      <c r="F462" s="1"/>
      <c r="BS462" s="1"/>
      <c r="BT462" s="2"/>
      <c r="CF462" s="1"/>
    </row>
    <row r="463" spans="6:84" x14ac:dyDescent="0.3">
      <c r="F463" s="1"/>
      <c r="BS463" s="1"/>
      <c r="BT463" s="2"/>
      <c r="CD463" s="3"/>
      <c r="CF463" s="1"/>
    </row>
    <row r="464" spans="6:84" x14ac:dyDescent="0.3">
      <c r="F464" s="1"/>
      <c r="BS464" s="1"/>
      <c r="BT464" s="2"/>
      <c r="CD464" s="3"/>
      <c r="CF464" s="1"/>
    </row>
    <row r="465" spans="6:84" x14ac:dyDescent="0.3">
      <c r="F465" s="1"/>
      <c r="BS465" s="1"/>
      <c r="BT465" s="2"/>
      <c r="CD465" s="3"/>
      <c r="CF465" s="1"/>
    </row>
    <row r="466" spans="6:84" x14ac:dyDescent="0.3">
      <c r="F466" s="1"/>
      <c r="BS466" s="1"/>
      <c r="BT466" s="2"/>
      <c r="CF466" s="1"/>
    </row>
    <row r="467" spans="6:84" x14ac:dyDescent="0.3">
      <c r="F467" s="1"/>
      <c r="BS467" s="1"/>
      <c r="BT467" s="2"/>
      <c r="CF467" s="1"/>
    </row>
    <row r="468" spans="6:84" x14ac:dyDescent="0.3">
      <c r="F468" s="1"/>
      <c r="BS468" s="1"/>
      <c r="BT468" s="2"/>
      <c r="CF468" s="1"/>
    </row>
    <row r="469" spans="6:84" x14ac:dyDescent="0.3">
      <c r="F469" s="1"/>
      <c r="BS469" s="1"/>
      <c r="BT469" s="2"/>
      <c r="CF469" s="1"/>
    </row>
    <row r="470" spans="6:84" x14ac:dyDescent="0.3">
      <c r="F470" s="1"/>
      <c r="BS470" s="1"/>
      <c r="BT470" s="2"/>
      <c r="CF470" s="1"/>
    </row>
    <row r="471" spans="6:84" x14ac:dyDescent="0.3">
      <c r="F471" s="1"/>
      <c r="BS471" s="1"/>
      <c r="BT471" s="2"/>
      <c r="CF471" s="1"/>
    </row>
    <row r="472" spans="6:84" x14ac:dyDescent="0.3">
      <c r="F472" s="1"/>
      <c r="BS472" s="1"/>
      <c r="BT472" s="2"/>
      <c r="CF472" s="1"/>
    </row>
    <row r="473" spans="6:84" x14ac:dyDescent="0.3">
      <c r="F473" s="1"/>
      <c r="BS473" s="1"/>
      <c r="BT473" s="2"/>
      <c r="CF473" s="1"/>
    </row>
    <row r="474" spans="6:84" x14ac:dyDescent="0.3">
      <c r="F474" s="1"/>
      <c r="BS474" s="1"/>
      <c r="BT474" s="2"/>
      <c r="CF474" s="1"/>
    </row>
    <row r="475" spans="6:84" x14ac:dyDescent="0.3">
      <c r="F475" s="1"/>
      <c r="BS475" s="1"/>
      <c r="BT475" s="2"/>
      <c r="CF475" s="1"/>
    </row>
    <row r="476" spans="6:84" x14ac:dyDescent="0.3">
      <c r="F476" s="1"/>
      <c r="BS476" s="1"/>
      <c r="BT476" s="2"/>
      <c r="CF476" s="1"/>
    </row>
    <row r="477" spans="6:84" x14ac:dyDescent="0.3">
      <c r="F477" s="1"/>
      <c r="BS477" s="1"/>
      <c r="BT477" s="2"/>
      <c r="CF477" s="1"/>
    </row>
    <row r="478" spans="6:84" x14ac:dyDescent="0.3">
      <c r="F478" s="1"/>
      <c r="BS478" s="1"/>
      <c r="BT478" s="2"/>
      <c r="CF478" s="1"/>
    </row>
    <row r="479" spans="6:84" x14ac:dyDescent="0.3">
      <c r="F479" s="1"/>
      <c r="BS479" s="1"/>
      <c r="BT479" s="2"/>
      <c r="CF479" s="1"/>
    </row>
    <row r="480" spans="6:84" x14ac:dyDescent="0.3">
      <c r="F480" s="1"/>
      <c r="BS480" s="1"/>
      <c r="BT480" s="2"/>
      <c r="CF480" s="1"/>
    </row>
    <row r="481" spans="6:84" x14ac:dyDescent="0.3">
      <c r="F481" s="1"/>
      <c r="BS481" s="1"/>
      <c r="BT481" s="2"/>
      <c r="CF481" s="1"/>
    </row>
    <row r="482" spans="6:84" x14ac:dyDescent="0.3">
      <c r="F482" s="1"/>
      <c r="BS482" s="1"/>
      <c r="BT482" s="2"/>
      <c r="CF482" s="1"/>
    </row>
    <row r="483" spans="6:84" x14ac:dyDescent="0.3">
      <c r="F483" s="1"/>
      <c r="BS483" s="1"/>
      <c r="BT483" s="2"/>
      <c r="CF483" s="1"/>
    </row>
    <row r="484" spans="6:84" x14ac:dyDescent="0.3">
      <c r="F484" s="1"/>
    </row>
    <row r="485" spans="6:84" x14ac:dyDescent="0.3">
      <c r="F485" s="1"/>
      <c r="BS485" s="1"/>
      <c r="BT485" s="2"/>
      <c r="CF485" s="1"/>
    </row>
    <row r="486" spans="6:84" x14ac:dyDescent="0.3">
      <c r="F486" s="1"/>
      <c r="BS486" s="1"/>
      <c r="BT486" s="2"/>
      <c r="CD486" s="3"/>
      <c r="CF486" s="1"/>
    </row>
    <row r="487" spans="6:84" x14ac:dyDescent="0.3">
      <c r="F487" s="1"/>
      <c r="BS487" s="1"/>
      <c r="BT487" s="2"/>
      <c r="CF487" s="1"/>
    </row>
    <row r="488" spans="6:84" x14ac:dyDescent="0.3">
      <c r="F488" s="1"/>
      <c r="BS488" s="1"/>
      <c r="BT488" s="2"/>
      <c r="CF488" s="1"/>
    </row>
    <row r="489" spans="6:84" x14ac:dyDescent="0.3">
      <c r="F489" s="1"/>
      <c r="BS489" s="1"/>
      <c r="BT489" s="2"/>
      <c r="CF489" s="1"/>
    </row>
    <row r="490" spans="6:84" x14ac:dyDescent="0.3">
      <c r="F490" s="1"/>
      <c r="BS490" s="1"/>
      <c r="BT490" s="2"/>
      <c r="CF490" s="1"/>
    </row>
    <row r="491" spans="6:84" x14ac:dyDescent="0.3">
      <c r="F491" s="1"/>
      <c r="BS491" s="1"/>
      <c r="BT491" s="2"/>
      <c r="CF491" s="1"/>
    </row>
    <row r="492" spans="6:84" x14ac:dyDescent="0.3">
      <c r="F492" s="1"/>
      <c r="BS492" s="1"/>
      <c r="BT492" s="2"/>
      <c r="CF492" s="1"/>
    </row>
    <row r="493" spans="6:84" x14ac:dyDescent="0.3">
      <c r="F493" s="1"/>
      <c r="BS493" s="1"/>
      <c r="BT493" s="2"/>
      <c r="CF493" s="1"/>
    </row>
    <row r="494" spans="6:84" x14ac:dyDescent="0.3">
      <c r="F494" s="1"/>
      <c r="BS494" s="1"/>
      <c r="BT494" s="2"/>
      <c r="CF494" s="1"/>
    </row>
    <row r="495" spans="6:84" x14ac:dyDescent="0.3">
      <c r="F495" s="1"/>
      <c r="BS495" s="1"/>
      <c r="BT495" s="2"/>
      <c r="CD495" s="3"/>
      <c r="CF495" s="1"/>
    </row>
    <row r="496" spans="6:84" x14ac:dyDescent="0.3">
      <c r="F496" s="1"/>
      <c r="BS496" s="1"/>
      <c r="BT496" s="2"/>
      <c r="CF496" s="1"/>
    </row>
    <row r="497" spans="6:84" x14ac:dyDescent="0.3">
      <c r="F497" s="1"/>
      <c r="BS497" s="1"/>
      <c r="BT497" s="2"/>
      <c r="CD497" s="3"/>
      <c r="CF497" s="1"/>
    </row>
    <row r="498" spans="6:84" x14ac:dyDescent="0.3">
      <c r="F498" s="1"/>
      <c r="BS498" s="1"/>
      <c r="BT498" s="2"/>
      <c r="CF498" s="1"/>
    </row>
    <row r="499" spans="6:84" x14ac:dyDescent="0.3">
      <c r="F499" s="1"/>
      <c r="BS499" s="1"/>
      <c r="BT499" s="2"/>
      <c r="CF499" s="1"/>
    </row>
    <row r="500" spans="6:84" x14ac:dyDescent="0.3">
      <c r="F500" s="1"/>
      <c r="BS500" s="1"/>
      <c r="BT500" s="2"/>
      <c r="CF500" s="1"/>
    </row>
    <row r="501" spans="6:84" x14ac:dyDescent="0.3">
      <c r="F501" s="1"/>
      <c r="BS501" s="1"/>
      <c r="BT501" s="2"/>
      <c r="CF501" s="1"/>
    </row>
    <row r="502" spans="6:84" x14ac:dyDescent="0.3">
      <c r="F502" s="1"/>
      <c r="BS502" s="1"/>
      <c r="BT502" s="2"/>
      <c r="CF502" s="1"/>
    </row>
    <row r="503" spans="6:84" x14ac:dyDescent="0.3">
      <c r="F503" s="1"/>
      <c r="BS503" s="1"/>
      <c r="BT503" s="2"/>
      <c r="CF503" s="1"/>
    </row>
    <row r="504" spans="6:84" x14ac:dyDescent="0.3">
      <c r="F504" s="1"/>
      <c r="BS504" s="1"/>
      <c r="BT504" s="2"/>
      <c r="CF504" s="1"/>
    </row>
    <row r="505" spans="6:84" x14ac:dyDescent="0.3">
      <c r="F505" s="1"/>
      <c r="BS505" s="1"/>
      <c r="BT505" s="2"/>
      <c r="CF505" s="1"/>
    </row>
    <row r="506" spans="6:84" x14ac:dyDescent="0.3">
      <c r="F506" s="1"/>
      <c r="BS506" s="1"/>
      <c r="BT506" s="2"/>
      <c r="CF506" s="1"/>
    </row>
    <row r="507" spans="6:84" x14ac:dyDescent="0.3">
      <c r="F507" s="1"/>
      <c r="BS507" s="1"/>
      <c r="BT507" s="2"/>
      <c r="CD507" s="3"/>
      <c r="CF507" s="1"/>
    </row>
    <row r="508" spans="6:84" x14ac:dyDescent="0.3">
      <c r="F508" s="1"/>
      <c r="BS508" s="1"/>
      <c r="BT508" s="2"/>
      <c r="CF508" s="1"/>
    </row>
    <row r="509" spans="6:84" x14ac:dyDescent="0.3">
      <c r="F509" s="1"/>
      <c r="BS509" s="1"/>
      <c r="BT509" s="2"/>
      <c r="CF509" s="1"/>
    </row>
    <row r="510" spans="6:84" x14ac:dyDescent="0.3">
      <c r="F510" s="1"/>
      <c r="BS510" s="1"/>
      <c r="BT510" s="2"/>
      <c r="CD510" s="3"/>
      <c r="CF510" s="1"/>
    </row>
    <row r="511" spans="6:84" x14ac:dyDescent="0.3">
      <c r="F511" s="1"/>
      <c r="BS511" s="1"/>
      <c r="BT511" s="2"/>
      <c r="CF511" s="1"/>
    </row>
    <row r="512" spans="6:84" x14ac:dyDescent="0.3">
      <c r="F512" s="1"/>
      <c r="BS512" s="1"/>
      <c r="BT512" s="2"/>
      <c r="CF512" s="1"/>
    </row>
    <row r="513" spans="6:84" x14ac:dyDescent="0.3">
      <c r="F513" s="1"/>
      <c r="BS513" s="1"/>
      <c r="BT513" s="2"/>
      <c r="CF513" s="1"/>
    </row>
    <row r="514" spans="6:84" x14ac:dyDescent="0.3">
      <c r="F514" s="1"/>
      <c r="BS514" s="1"/>
      <c r="BT514" s="2"/>
      <c r="CF514" s="1"/>
    </row>
    <row r="515" spans="6:84" x14ac:dyDescent="0.3">
      <c r="F515" s="1"/>
      <c r="BS515" s="1"/>
      <c r="BT515" s="2"/>
      <c r="CF515" s="1"/>
    </row>
    <row r="516" spans="6:84" x14ac:dyDescent="0.3">
      <c r="F516" s="1"/>
      <c r="BS516" s="1"/>
      <c r="BT516" s="2"/>
      <c r="CF516" s="1"/>
    </row>
    <row r="517" spans="6:84" x14ac:dyDescent="0.3">
      <c r="F517" s="1"/>
      <c r="BS517" s="1"/>
      <c r="BT517" s="2"/>
      <c r="CF517" s="1"/>
    </row>
    <row r="518" spans="6:84" x14ac:dyDescent="0.3">
      <c r="F518" s="1"/>
      <c r="BS518" s="1"/>
      <c r="BT518" s="2"/>
      <c r="CF518" s="1"/>
    </row>
    <row r="519" spans="6:84" x14ac:dyDescent="0.3">
      <c r="F519" s="1"/>
      <c r="BS519" s="1"/>
      <c r="BT519" s="2"/>
      <c r="CF519" s="1"/>
    </row>
    <row r="520" spans="6:84" x14ac:dyDescent="0.3">
      <c r="F520" s="1"/>
      <c r="BS520" s="1"/>
      <c r="BT520" s="2"/>
      <c r="CF520" s="1"/>
    </row>
    <row r="521" spans="6:84" x14ac:dyDescent="0.3">
      <c r="F521" s="1"/>
      <c r="BS521" s="1"/>
      <c r="BT521" s="2"/>
      <c r="CF521" s="1"/>
    </row>
    <row r="522" spans="6:84" x14ac:dyDescent="0.3">
      <c r="F522" s="1"/>
      <c r="BS522" s="1"/>
      <c r="BT522" s="2"/>
      <c r="CD522" s="3"/>
      <c r="CF522" s="1"/>
    </row>
    <row r="523" spans="6:84" x14ac:dyDescent="0.3">
      <c r="F523" s="1"/>
      <c r="BS523" s="1"/>
      <c r="BT523" s="2"/>
      <c r="CD523" s="3"/>
      <c r="CF523" s="1"/>
    </row>
    <row r="524" spans="6:84" x14ac:dyDescent="0.3">
      <c r="F524" s="1"/>
      <c r="BS524" s="1"/>
      <c r="BT524" s="2"/>
      <c r="CF524" s="1"/>
    </row>
    <row r="525" spans="6:84" x14ac:dyDescent="0.3">
      <c r="F525" s="1"/>
      <c r="BS525" s="1"/>
      <c r="BT525" s="2"/>
      <c r="CF525" s="1"/>
    </row>
    <row r="526" spans="6:84" x14ac:dyDescent="0.3">
      <c r="F526" s="1"/>
      <c r="BS526" s="1"/>
      <c r="BT526" s="2"/>
      <c r="CF526" s="1"/>
    </row>
    <row r="527" spans="6:84" x14ac:dyDescent="0.3">
      <c r="F527" s="1"/>
      <c r="BS527" s="1"/>
      <c r="BT527" s="2"/>
      <c r="CF527" s="1"/>
    </row>
    <row r="528" spans="6:84" x14ac:dyDescent="0.3">
      <c r="F528" s="1"/>
      <c r="BS528" s="1"/>
      <c r="BT528" s="2"/>
      <c r="CF528" s="1"/>
    </row>
    <row r="529" spans="6:84" x14ac:dyDescent="0.3">
      <c r="F529" s="1"/>
      <c r="BS529" s="1"/>
      <c r="BT529" s="2"/>
      <c r="CF529" s="1"/>
    </row>
    <row r="530" spans="6:84" x14ac:dyDescent="0.3">
      <c r="F530" s="1"/>
      <c r="BS530" s="1"/>
      <c r="BT530" s="2"/>
      <c r="CF530" s="1"/>
    </row>
    <row r="531" spans="6:84" x14ac:dyDescent="0.3">
      <c r="F531" s="1"/>
      <c r="BS531" s="1"/>
      <c r="BT531" s="2"/>
      <c r="CF531" s="1"/>
    </row>
    <row r="532" spans="6:84" x14ac:dyDescent="0.3">
      <c r="F532" s="1"/>
      <c r="BS532" s="1"/>
      <c r="BT532" s="2"/>
      <c r="CF532" s="1"/>
    </row>
    <row r="533" spans="6:84" x14ac:dyDescent="0.3">
      <c r="F533" s="1"/>
      <c r="BS533" s="1"/>
      <c r="BT533" s="2"/>
      <c r="CF533" s="1"/>
    </row>
    <row r="534" spans="6:84" x14ac:dyDescent="0.3">
      <c r="F534" s="1"/>
      <c r="BS534" s="1"/>
      <c r="BT534" s="2"/>
      <c r="CF534" s="1"/>
    </row>
    <row r="535" spans="6:84" x14ac:dyDescent="0.3">
      <c r="F535" s="1"/>
      <c r="BS535" s="1"/>
      <c r="BT535" s="2"/>
      <c r="CF535" s="1"/>
    </row>
    <row r="536" spans="6:84" x14ac:dyDescent="0.3">
      <c r="F536" s="1"/>
      <c r="BS536" s="1"/>
      <c r="BT536" s="2"/>
      <c r="CF536" s="1"/>
    </row>
    <row r="537" spans="6:84" x14ac:dyDescent="0.3">
      <c r="F537" s="1"/>
      <c r="BS537" s="1"/>
      <c r="BT537" s="2"/>
      <c r="CF537" s="1"/>
    </row>
    <row r="538" spans="6:84" x14ac:dyDescent="0.3">
      <c r="F538" s="1"/>
      <c r="BS538" s="1"/>
      <c r="BT538" s="2"/>
    </row>
    <row r="539" spans="6:84" x14ac:dyDescent="0.3">
      <c r="F539" s="1"/>
      <c r="BS539" s="1"/>
      <c r="BT539" s="2"/>
      <c r="CD539" s="3"/>
      <c r="CF539" s="1"/>
    </row>
    <row r="540" spans="6:84" x14ac:dyDescent="0.3">
      <c r="F540" s="1"/>
      <c r="BS540" s="1"/>
      <c r="BT540" s="2"/>
      <c r="CF540" s="1"/>
    </row>
    <row r="541" spans="6:84" x14ac:dyDescent="0.3">
      <c r="F541" s="1"/>
      <c r="BS541" s="1"/>
      <c r="BT541" s="2"/>
      <c r="CD541" s="3"/>
      <c r="CF541" s="1"/>
    </row>
    <row r="542" spans="6:84" x14ac:dyDescent="0.3">
      <c r="F542" s="1"/>
      <c r="BS542" s="1"/>
      <c r="BT542" s="2"/>
      <c r="CD542" s="3"/>
      <c r="CF542" s="1"/>
    </row>
    <row r="543" spans="6:84" x14ac:dyDescent="0.3">
      <c r="F543" s="1"/>
      <c r="BS543" s="1"/>
      <c r="BT543" s="2"/>
      <c r="CD543" s="3"/>
      <c r="CF543" s="1"/>
    </row>
    <row r="544" spans="6:84" x14ac:dyDescent="0.3">
      <c r="F544" s="1"/>
      <c r="BS544" s="1"/>
      <c r="BT544" s="2"/>
      <c r="CF544" s="1"/>
    </row>
    <row r="545" spans="6:84" x14ac:dyDescent="0.3">
      <c r="F545" s="1"/>
      <c r="BS545" s="1"/>
      <c r="BT545" s="2"/>
      <c r="CF545" s="1"/>
    </row>
    <row r="546" spans="6:84" x14ac:dyDescent="0.3">
      <c r="F546" s="1"/>
      <c r="BS546" s="1"/>
      <c r="BT546" s="2"/>
      <c r="CF546" s="1"/>
    </row>
    <row r="547" spans="6:84" x14ac:dyDescent="0.3">
      <c r="F547" s="1"/>
      <c r="BS547" s="1"/>
      <c r="BT547" s="2"/>
      <c r="CF547" s="1"/>
    </row>
    <row r="548" spans="6:84" x14ac:dyDescent="0.3">
      <c r="F548" s="1"/>
      <c r="BS548" s="1"/>
      <c r="BT548" s="2"/>
      <c r="CF548" s="1"/>
    </row>
    <row r="549" spans="6:84" x14ac:dyDescent="0.3">
      <c r="F549" s="1"/>
      <c r="BS549" s="1"/>
      <c r="BT549" s="2"/>
      <c r="CF549" s="1"/>
    </row>
    <row r="550" spans="6:84" x14ac:dyDescent="0.3">
      <c r="F550" s="1"/>
      <c r="BS550" s="1"/>
      <c r="BT550" s="2"/>
      <c r="CF550" s="1"/>
    </row>
    <row r="551" spans="6:84" x14ac:dyDescent="0.3">
      <c r="F551" s="1"/>
      <c r="BS551" s="1"/>
      <c r="BT551" s="2"/>
      <c r="CF551" s="1"/>
    </row>
    <row r="552" spans="6:84" x14ac:dyDescent="0.3">
      <c r="F552" s="1"/>
      <c r="BS552" s="1"/>
      <c r="BT552" s="2"/>
      <c r="CF552" s="1"/>
    </row>
    <row r="553" spans="6:84" x14ac:dyDescent="0.3">
      <c r="F553" s="1"/>
      <c r="BS553" s="1"/>
      <c r="BT553" s="2"/>
      <c r="CF553" s="1"/>
    </row>
    <row r="554" spans="6:84" x14ac:dyDescent="0.3">
      <c r="F554" s="1"/>
      <c r="BS554" s="1"/>
      <c r="BT554" s="2"/>
      <c r="CD554" s="3"/>
      <c r="CF554" s="1"/>
    </row>
    <row r="555" spans="6:84" x14ac:dyDescent="0.3">
      <c r="F555" s="1"/>
      <c r="BS555" s="1"/>
      <c r="BT555" s="2"/>
      <c r="CD555" s="3"/>
      <c r="CF555" s="1"/>
    </row>
    <row r="556" spans="6:84" x14ac:dyDescent="0.3">
      <c r="F556" s="1"/>
      <c r="BS556" s="1"/>
      <c r="BT556" s="2"/>
      <c r="CF556" s="1"/>
    </row>
    <row r="557" spans="6:84" x14ac:dyDescent="0.3">
      <c r="F557" s="1"/>
      <c r="BS557" s="1"/>
      <c r="BT557" s="2"/>
      <c r="CD557" s="3"/>
      <c r="CF557" s="1"/>
    </row>
    <row r="558" spans="6:84" x14ac:dyDescent="0.3">
      <c r="F558" s="1"/>
      <c r="BS558" s="1"/>
      <c r="BT558" s="2"/>
      <c r="CF558" s="1"/>
    </row>
    <row r="559" spans="6:84" x14ac:dyDescent="0.3">
      <c r="F559" s="1"/>
      <c r="BS559" s="1"/>
      <c r="BT559" s="2"/>
      <c r="CF559" s="1"/>
    </row>
    <row r="560" spans="6:84" x14ac:dyDescent="0.3">
      <c r="F560" s="1"/>
      <c r="BS560" s="1"/>
      <c r="BT560" s="2"/>
      <c r="CF560" s="1"/>
    </row>
    <row r="561" spans="6:84" x14ac:dyDescent="0.3">
      <c r="F561" s="1"/>
      <c r="BS561" s="1"/>
      <c r="BT561" s="2"/>
      <c r="CD561" s="3"/>
      <c r="CF561" s="1"/>
    </row>
    <row r="562" spans="6:84" x14ac:dyDescent="0.3">
      <c r="F562" s="1"/>
      <c r="BS562" s="1"/>
      <c r="BT562" s="2"/>
      <c r="CF562" s="1"/>
    </row>
    <row r="563" spans="6:84" x14ac:dyDescent="0.3">
      <c r="F563" s="1"/>
      <c r="BS563" s="1"/>
      <c r="BT563" s="2"/>
      <c r="CF563" s="1"/>
    </row>
    <row r="564" spans="6:84" x14ac:dyDescent="0.3">
      <c r="F564" s="1"/>
      <c r="BS564" s="1"/>
      <c r="BT564" s="2"/>
      <c r="CF564" s="1"/>
    </row>
    <row r="565" spans="6:84" x14ac:dyDescent="0.3">
      <c r="F565" s="1"/>
      <c r="BS565" s="1"/>
      <c r="BT565" s="2"/>
      <c r="CD565" s="3"/>
      <c r="CF565" s="1"/>
    </row>
    <row r="566" spans="6:84" x14ac:dyDescent="0.3">
      <c r="F566" s="1"/>
      <c r="BS566" s="1"/>
      <c r="BT566" s="2"/>
      <c r="CF566" s="1"/>
    </row>
    <row r="567" spans="6:84" x14ac:dyDescent="0.3">
      <c r="F567" s="1"/>
      <c r="BS567" s="1"/>
      <c r="BT567" s="2"/>
      <c r="CF567" s="1"/>
    </row>
    <row r="568" spans="6:84" x14ac:dyDescent="0.3">
      <c r="F568" s="1"/>
      <c r="BS568" s="1"/>
      <c r="BT568" s="2"/>
      <c r="CF568" s="1"/>
    </row>
    <row r="569" spans="6:84" x14ac:dyDescent="0.3">
      <c r="F569" s="1"/>
    </row>
    <row r="570" spans="6:84" x14ac:dyDescent="0.3">
      <c r="F570" s="1"/>
      <c r="BS570" s="1"/>
      <c r="BT570" s="2"/>
      <c r="CD570" s="3"/>
      <c r="CF570" s="1"/>
    </row>
    <row r="571" spans="6:84" x14ac:dyDescent="0.3">
      <c r="F571" s="1"/>
      <c r="BS571" s="1"/>
      <c r="BT571" s="2"/>
      <c r="CF571" s="1"/>
    </row>
    <row r="572" spans="6:84" x14ac:dyDescent="0.3">
      <c r="F572" s="1"/>
      <c r="BS572" s="1"/>
      <c r="BT572" s="2"/>
      <c r="CF572" s="1"/>
    </row>
    <row r="573" spans="6:84" x14ac:dyDescent="0.3">
      <c r="F573" s="1"/>
      <c r="BS573" s="1"/>
      <c r="BT573" s="2"/>
      <c r="CD573" s="3"/>
      <c r="CF573" s="1"/>
    </row>
    <row r="574" spans="6:84" x14ac:dyDescent="0.3">
      <c r="F574" s="1"/>
      <c r="BS574" s="1"/>
      <c r="BT574" s="2"/>
    </row>
    <row r="575" spans="6:84" x14ac:dyDescent="0.3">
      <c r="F575" s="1"/>
      <c r="BS575" s="1"/>
      <c r="BT575" s="2"/>
      <c r="CD575" s="3"/>
      <c r="CF575" s="1"/>
    </row>
    <row r="576" spans="6:84" x14ac:dyDescent="0.3">
      <c r="F576" s="1"/>
      <c r="BS576" s="1"/>
      <c r="BT576" s="2"/>
      <c r="CD576" s="3"/>
      <c r="CF576" s="1"/>
    </row>
    <row r="577" spans="6:84" x14ac:dyDescent="0.3">
      <c r="F577" s="1"/>
      <c r="BS577" s="1"/>
      <c r="BT577" s="2"/>
      <c r="CF577" s="1"/>
    </row>
    <row r="578" spans="6:84" x14ac:dyDescent="0.3">
      <c r="F578" s="1"/>
      <c r="BS578" s="1"/>
      <c r="BT578" s="2"/>
      <c r="CF578" s="1"/>
    </row>
    <row r="579" spans="6:84" x14ac:dyDescent="0.3">
      <c r="F579" s="1"/>
    </row>
    <row r="580" spans="6:84" x14ac:dyDescent="0.3">
      <c r="F580" s="1"/>
      <c r="BS580" s="1"/>
      <c r="BT580" s="2"/>
    </row>
    <row r="581" spans="6:84" x14ac:dyDescent="0.3">
      <c r="F581" s="1"/>
      <c r="BS581" s="1"/>
      <c r="BT581" s="2"/>
      <c r="CD581" s="3"/>
      <c r="CF581" s="1"/>
    </row>
    <row r="582" spans="6:84" x14ac:dyDescent="0.3">
      <c r="F582" s="1"/>
      <c r="BS582" s="1"/>
      <c r="BT582" s="2"/>
      <c r="CF582" s="1"/>
    </row>
    <row r="583" spans="6:84" x14ac:dyDescent="0.3">
      <c r="F583" s="1"/>
      <c r="BS583" s="1"/>
      <c r="BT583" s="2"/>
    </row>
    <row r="584" spans="6:84" x14ac:dyDescent="0.3">
      <c r="F584" s="1"/>
    </row>
    <row r="585" spans="6:84" x14ac:dyDescent="0.3">
      <c r="F585" s="1"/>
      <c r="BS585" s="1"/>
      <c r="BT585" s="2"/>
      <c r="CD585" s="3"/>
    </row>
    <row r="586" spans="6:84" x14ac:dyDescent="0.3">
      <c r="F586" s="1"/>
    </row>
    <row r="587" spans="6:84" x14ac:dyDescent="0.3">
      <c r="F587" s="1"/>
      <c r="BS587" s="1"/>
      <c r="BT587" s="2"/>
      <c r="CD587" s="3"/>
      <c r="CF587" s="1"/>
    </row>
    <row r="588" spans="6:84" x14ac:dyDescent="0.3">
      <c r="F588" s="1"/>
      <c r="BS588" s="1"/>
      <c r="BT588" s="2"/>
    </row>
    <row r="589" spans="6:84" x14ac:dyDescent="0.3">
      <c r="F589" s="1"/>
      <c r="BS589" s="1"/>
      <c r="BT589" s="2"/>
    </row>
    <row r="590" spans="6:84" x14ac:dyDescent="0.3">
      <c r="F590" s="1"/>
    </row>
    <row r="591" spans="6:84" x14ac:dyDescent="0.3">
      <c r="F591" s="1"/>
      <c r="BS591" s="1"/>
      <c r="BT591" s="2"/>
      <c r="CF591" s="1"/>
    </row>
    <row r="592" spans="6:84" x14ac:dyDescent="0.3">
      <c r="F592" s="1"/>
      <c r="BS592" s="1"/>
      <c r="BT592" s="2"/>
    </row>
    <row r="593" spans="6:84" x14ac:dyDescent="0.3">
      <c r="F593" s="1"/>
    </row>
    <row r="594" spans="6:84" x14ac:dyDescent="0.3">
      <c r="F594" s="1"/>
    </row>
    <row r="595" spans="6:84" x14ac:dyDescent="0.3">
      <c r="F595" s="1"/>
    </row>
    <row r="596" spans="6:84" x14ac:dyDescent="0.3">
      <c r="F596" s="1"/>
    </row>
    <row r="597" spans="6:84" x14ac:dyDescent="0.3">
      <c r="F597" s="1"/>
      <c r="BS597" s="1"/>
      <c r="BT597" s="2"/>
    </row>
    <row r="598" spans="6:84" x14ac:dyDescent="0.3">
      <c r="F598" s="1"/>
      <c r="BS598" s="1"/>
      <c r="BT598" s="2"/>
    </row>
    <row r="599" spans="6:84" x14ac:dyDescent="0.3">
      <c r="F599" s="1"/>
    </row>
    <row r="600" spans="6:84" x14ac:dyDescent="0.3">
      <c r="F600" s="1"/>
    </row>
    <row r="601" spans="6:84" x14ac:dyDescent="0.3">
      <c r="F601" s="1"/>
      <c r="BS601" s="1"/>
      <c r="BT601" s="2"/>
    </row>
    <row r="602" spans="6:84" x14ac:dyDescent="0.3">
      <c r="F602" s="1"/>
    </row>
    <row r="603" spans="6:84" x14ac:dyDescent="0.3">
      <c r="F603" s="1"/>
      <c r="BS603" s="1"/>
      <c r="BT603" s="2"/>
    </row>
    <row r="604" spans="6:84" x14ac:dyDescent="0.3">
      <c r="F604" s="1"/>
    </row>
    <row r="605" spans="6:84" x14ac:dyDescent="0.3">
      <c r="F605" s="1"/>
      <c r="BS605" s="1"/>
      <c r="BT605" s="2"/>
      <c r="CF605" s="1"/>
    </row>
    <row r="606" spans="6:84" x14ac:dyDescent="0.3">
      <c r="F606" s="1"/>
      <c r="BS606" s="1"/>
      <c r="BT606" s="2"/>
      <c r="CF606" s="1"/>
    </row>
    <row r="607" spans="6:84" x14ac:dyDescent="0.3">
      <c r="F607" s="1"/>
      <c r="BS607" s="1"/>
      <c r="BT607" s="2"/>
      <c r="CF607" s="1"/>
    </row>
    <row r="608" spans="6:84" x14ac:dyDescent="0.3">
      <c r="F608" s="1"/>
      <c r="BS608" s="1"/>
      <c r="BT608" s="2"/>
      <c r="CF608" s="1"/>
    </row>
    <row r="609" spans="6:84" x14ac:dyDescent="0.3">
      <c r="F609" s="1"/>
      <c r="BS609" s="1"/>
      <c r="BT609" s="2"/>
      <c r="CF609" s="1"/>
    </row>
    <row r="610" spans="6:84" x14ac:dyDescent="0.3">
      <c r="F610" s="1"/>
    </row>
    <row r="611" spans="6:84" x14ac:dyDescent="0.3">
      <c r="F611" s="1"/>
      <c r="BS611" s="1"/>
      <c r="BT611" s="2"/>
      <c r="CF611" s="1"/>
    </row>
    <row r="612" spans="6:84" x14ac:dyDescent="0.3">
      <c r="F612" s="1"/>
      <c r="BS612" s="1"/>
      <c r="BT612" s="2"/>
      <c r="CF612" s="1"/>
    </row>
    <row r="613" spans="6:84" x14ac:dyDescent="0.3">
      <c r="F613" s="1"/>
      <c r="BS613" s="1"/>
      <c r="BT613" s="2"/>
      <c r="CF613" s="1"/>
    </row>
    <row r="614" spans="6:84" x14ac:dyDescent="0.3">
      <c r="F614" s="1"/>
      <c r="BS614" s="1"/>
      <c r="BT614" s="2"/>
      <c r="CF614" s="1"/>
    </row>
    <row r="615" spans="6:84" x14ac:dyDescent="0.3">
      <c r="F615" s="1"/>
      <c r="BS615" s="1"/>
      <c r="BT615" s="2"/>
      <c r="CD615" s="3"/>
      <c r="CF615" s="1"/>
    </row>
    <row r="616" spans="6:84" x14ac:dyDescent="0.3">
      <c r="F616" s="1"/>
      <c r="BS616" s="1"/>
      <c r="BT616" s="2"/>
    </row>
    <row r="617" spans="6:84" x14ac:dyDescent="0.3">
      <c r="F617" s="1"/>
      <c r="BS617" s="1"/>
      <c r="BT617" s="2"/>
      <c r="CF617" s="1"/>
    </row>
    <row r="618" spans="6:84" x14ac:dyDescent="0.3">
      <c r="F618" s="1"/>
      <c r="BS618" s="1"/>
      <c r="BT618" s="2"/>
      <c r="CD618" s="3"/>
      <c r="CF618" s="1"/>
    </row>
    <row r="619" spans="6:84" x14ac:dyDescent="0.3">
      <c r="F619" s="1"/>
      <c r="BS619" s="1"/>
      <c r="BT619" s="2"/>
      <c r="CF619" s="1"/>
    </row>
    <row r="620" spans="6:84" x14ac:dyDescent="0.3">
      <c r="F620" s="1"/>
      <c r="BS620" s="1"/>
      <c r="BT620" s="2"/>
      <c r="CF620" s="1"/>
    </row>
    <row r="621" spans="6:84" x14ac:dyDescent="0.3">
      <c r="F621" s="1"/>
      <c r="BS621" s="1"/>
      <c r="BT621" s="2"/>
      <c r="CF621" s="1"/>
    </row>
    <row r="622" spans="6:84" x14ac:dyDescent="0.3">
      <c r="F622" s="1"/>
      <c r="BS622" s="1"/>
      <c r="BT622" s="2"/>
      <c r="CF622" s="1"/>
    </row>
    <row r="623" spans="6:84" x14ac:dyDescent="0.3">
      <c r="F623" s="1"/>
      <c r="BS623" s="1"/>
      <c r="BT623" s="2"/>
      <c r="CF623" s="1"/>
    </row>
    <row r="624" spans="6:84" x14ac:dyDescent="0.3">
      <c r="F624" s="1"/>
      <c r="BS624" s="1"/>
      <c r="BT624" s="2"/>
      <c r="CF624" s="1"/>
    </row>
    <row r="625" spans="6:84" x14ac:dyDescent="0.3">
      <c r="F625" s="1"/>
      <c r="BS625" s="1"/>
      <c r="BT625" s="2"/>
      <c r="CF625" s="1"/>
    </row>
    <row r="626" spans="6:84" x14ac:dyDescent="0.3">
      <c r="F626" s="1"/>
      <c r="BS626" s="1"/>
      <c r="BT626" s="2"/>
      <c r="CF626" s="1"/>
    </row>
    <row r="627" spans="6:84" x14ac:dyDescent="0.3">
      <c r="F627" s="1"/>
      <c r="BS627" s="1"/>
      <c r="BT627" s="2"/>
      <c r="CF627" s="1"/>
    </row>
    <row r="628" spans="6:84" x14ac:dyDescent="0.3">
      <c r="F628" s="1"/>
      <c r="BS628" s="1"/>
      <c r="BT628" s="2"/>
      <c r="CF628" s="1"/>
    </row>
    <row r="629" spans="6:84" x14ac:dyDescent="0.3">
      <c r="F629" s="1"/>
      <c r="BS629" s="1"/>
      <c r="BT629" s="2"/>
      <c r="CF629" s="1"/>
    </row>
    <row r="630" spans="6:84" x14ac:dyDescent="0.3">
      <c r="F630" s="1"/>
      <c r="BS630" s="1"/>
      <c r="BT630" s="2"/>
      <c r="CF630" s="1"/>
    </row>
    <row r="631" spans="6:84" x14ac:dyDescent="0.3">
      <c r="F631" s="1"/>
      <c r="BS631" s="1"/>
      <c r="BT631" s="2"/>
      <c r="CF631" s="1"/>
    </row>
    <row r="632" spans="6:84" x14ac:dyDescent="0.3">
      <c r="F632" s="1"/>
      <c r="BS632" s="1"/>
      <c r="BT632" s="2"/>
      <c r="CF632" s="1"/>
    </row>
    <row r="633" spans="6:84" x14ac:dyDescent="0.3">
      <c r="F633" s="1"/>
      <c r="BS633" s="1"/>
      <c r="BT633" s="2"/>
      <c r="CF633" s="1"/>
    </row>
    <row r="634" spans="6:84" x14ac:dyDescent="0.3">
      <c r="F634" s="1"/>
      <c r="BS634" s="1"/>
      <c r="BT634" s="2"/>
      <c r="CF634" s="1"/>
    </row>
    <row r="635" spans="6:84" x14ac:dyDescent="0.3">
      <c r="F635" s="1"/>
      <c r="BS635" s="1"/>
      <c r="BT635" s="2"/>
      <c r="CF635" s="1"/>
    </row>
    <row r="636" spans="6:84" x14ac:dyDescent="0.3">
      <c r="F636" s="1"/>
      <c r="BS636" s="1"/>
      <c r="BT636" s="2"/>
      <c r="CF636" s="1"/>
    </row>
    <row r="637" spans="6:84" x14ac:dyDescent="0.3">
      <c r="F637" s="1"/>
      <c r="BS637" s="1"/>
      <c r="BT637" s="2"/>
      <c r="CF637" s="1"/>
    </row>
    <row r="638" spans="6:84" x14ac:dyDescent="0.3">
      <c r="F638" s="1"/>
      <c r="BS638" s="1"/>
      <c r="BT638" s="2"/>
      <c r="CF638" s="1"/>
    </row>
    <row r="639" spans="6:84" x14ac:dyDescent="0.3">
      <c r="F639" s="1"/>
      <c r="BS639" s="1"/>
      <c r="BT639" s="2"/>
      <c r="CF639" s="1"/>
    </row>
    <row r="640" spans="6:84" x14ac:dyDescent="0.3">
      <c r="F640" s="1"/>
      <c r="BS640" s="1"/>
      <c r="BT640" s="2"/>
      <c r="CF640" s="1"/>
    </row>
    <row r="641" spans="6:84" x14ac:dyDescent="0.3">
      <c r="F641" s="1"/>
      <c r="BS641" s="1"/>
      <c r="BT641" s="2"/>
      <c r="CF641" s="1"/>
    </row>
    <row r="642" spans="6:84" x14ac:dyDescent="0.3">
      <c r="F642" s="1"/>
      <c r="BS642" s="1"/>
      <c r="BT642" s="2"/>
      <c r="CF642" s="1"/>
    </row>
    <row r="643" spans="6:84" x14ac:dyDescent="0.3">
      <c r="F643" s="1"/>
      <c r="BS643" s="1"/>
      <c r="BT643" s="2"/>
      <c r="CF643" s="1"/>
    </row>
    <row r="644" spans="6:84" x14ac:dyDescent="0.3">
      <c r="F644" s="1"/>
      <c r="BS644" s="1"/>
      <c r="BT644" s="2"/>
      <c r="CF644" s="1"/>
    </row>
    <row r="645" spans="6:84" x14ac:dyDescent="0.3">
      <c r="F645" s="1"/>
      <c r="BS645" s="1"/>
      <c r="BT645" s="2"/>
      <c r="CF645" s="1"/>
    </row>
    <row r="646" spans="6:84" x14ac:dyDescent="0.3">
      <c r="F646" s="1"/>
      <c r="BS646" s="1"/>
      <c r="BT646" s="2"/>
      <c r="CF646" s="1"/>
    </row>
    <row r="647" spans="6:84" x14ac:dyDescent="0.3">
      <c r="F647" s="1"/>
      <c r="BS647" s="1"/>
      <c r="BT647" s="2"/>
      <c r="CF647" s="1"/>
    </row>
    <row r="648" spans="6:84" x14ac:dyDescent="0.3">
      <c r="F648" s="1"/>
    </row>
    <row r="649" spans="6:84" x14ac:dyDescent="0.3">
      <c r="F649" s="1"/>
      <c r="BS649" s="1"/>
      <c r="BT649" s="2"/>
      <c r="CF649" s="1"/>
    </row>
    <row r="650" spans="6:84" x14ac:dyDescent="0.3">
      <c r="F650" s="1"/>
      <c r="BS650" s="1"/>
      <c r="BT650" s="2"/>
      <c r="CF650" s="1"/>
    </row>
    <row r="651" spans="6:84" x14ac:dyDescent="0.3">
      <c r="F651" s="1"/>
      <c r="BS651" s="1"/>
      <c r="BT651" s="2"/>
      <c r="CF651" s="1"/>
    </row>
    <row r="652" spans="6:84" x14ac:dyDescent="0.3">
      <c r="F652" s="1"/>
      <c r="BS652" s="1"/>
      <c r="BT652" s="2"/>
      <c r="CF652" s="1"/>
    </row>
    <row r="653" spans="6:84" x14ac:dyDescent="0.3">
      <c r="F653" s="1"/>
      <c r="BS653" s="1"/>
      <c r="BT653" s="2"/>
      <c r="CF653" s="1"/>
    </row>
    <row r="654" spans="6:84" x14ac:dyDescent="0.3">
      <c r="F654" s="1"/>
      <c r="BS654" s="1"/>
      <c r="BT654" s="2"/>
      <c r="CF654" s="1"/>
    </row>
    <row r="655" spans="6:84" x14ac:dyDescent="0.3">
      <c r="F655" s="1"/>
      <c r="BS655" s="1"/>
      <c r="BT655" s="2"/>
      <c r="CF655" s="1"/>
    </row>
    <row r="656" spans="6:84" x14ac:dyDescent="0.3">
      <c r="F656" s="1"/>
      <c r="BS656" s="1"/>
      <c r="BT656" s="2"/>
      <c r="CF656" s="1"/>
    </row>
    <row r="657" spans="6:84" x14ac:dyDescent="0.3">
      <c r="F657" s="1"/>
      <c r="BS657" s="1"/>
      <c r="BT657" s="2"/>
      <c r="CD657" s="3"/>
      <c r="CF657" s="1"/>
    </row>
    <row r="658" spans="6:84" x14ac:dyDescent="0.3">
      <c r="F658" s="1"/>
      <c r="BS658" s="1"/>
      <c r="BT658" s="2"/>
      <c r="CF658" s="1"/>
    </row>
    <row r="659" spans="6:84" x14ac:dyDescent="0.3">
      <c r="F659" s="1"/>
      <c r="BS659" s="1"/>
      <c r="BT659" s="2"/>
      <c r="CF659" s="1"/>
    </row>
    <row r="660" spans="6:84" x14ac:dyDescent="0.3">
      <c r="F660" s="1"/>
      <c r="BS660" s="1"/>
      <c r="BT660" s="2"/>
      <c r="CF660" s="1"/>
    </row>
    <row r="661" spans="6:84" x14ac:dyDescent="0.3">
      <c r="F661" s="1"/>
      <c r="BS661" s="1"/>
      <c r="BT661" s="2"/>
      <c r="CF661" s="1"/>
    </row>
    <row r="662" spans="6:84" x14ac:dyDescent="0.3">
      <c r="F662" s="1"/>
      <c r="BS662" s="1"/>
      <c r="BT662" s="2"/>
      <c r="CF662" s="1"/>
    </row>
    <row r="663" spans="6:84" x14ac:dyDescent="0.3">
      <c r="F663" s="1"/>
      <c r="BS663" s="1"/>
      <c r="BT663" s="2"/>
      <c r="CF663" s="1"/>
    </row>
    <row r="664" spans="6:84" x14ac:dyDescent="0.3">
      <c r="F664" s="1"/>
      <c r="BS664" s="1"/>
      <c r="BT664" s="2"/>
      <c r="CF664" s="1"/>
    </row>
    <row r="665" spans="6:84" x14ac:dyDescent="0.3">
      <c r="F665" s="1"/>
      <c r="BS665" s="1"/>
      <c r="BT665" s="2"/>
      <c r="CF665" s="1"/>
    </row>
    <row r="666" spans="6:84" x14ac:dyDescent="0.3">
      <c r="F666" s="1"/>
      <c r="BS666" s="1"/>
      <c r="BT666" s="2"/>
      <c r="CF666" s="1"/>
    </row>
    <row r="667" spans="6:84" x14ac:dyDescent="0.3">
      <c r="F667" s="1"/>
      <c r="BS667" s="1"/>
      <c r="BT667" s="2"/>
    </row>
    <row r="668" spans="6:84" x14ac:dyDescent="0.3">
      <c r="F668" s="1"/>
      <c r="BS668" s="1"/>
      <c r="BT668" s="2"/>
      <c r="CF668" s="1"/>
    </row>
    <row r="669" spans="6:84" x14ac:dyDescent="0.3">
      <c r="F669" s="1"/>
      <c r="BS669" s="1"/>
      <c r="BT669" s="2"/>
      <c r="CF669" s="1"/>
    </row>
    <row r="670" spans="6:84" x14ac:dyDescent="0.3">
      <c r="F670" s="1"/>
      <c r="BS670" s="1"/>
      <c r="BT670" s="2"/>
      <c r="CF670" s="1"/>
    </row>
    <row r="671" spans="6:84" x14ac:dyDescent="0.3">
      <c r="F671" s="1"/>
      <c r="BS671" s="1"/>
      <c r="BT671" s="2"/>
      <c r="CF671" s="1"/>
    </row>
    <row r="672" spans="6:84" x14ac:dyDescent="0.3">
      <c r="F672" s="1"/>
      <c r="BS672" s="1"/>
      <c r="BT672" s="2"/>
      <c r="CF672" s="1"/>
    </row>
    <row r="673" spans="5:84" x14ac:dyDescent="0.3">
      <c r="F673" s="1"/>
      <c r="BS673" s="1"/>
      <c r="BT673" s="2"/>
      <c r="CF673" s="1"/>
    </row>
    <row r="674" spans="5:84" x14ac:dyDescent="0.3">
      <c r="F674" s="1"/>
    </row>
    <row r="675" spans="5:84" x14ac:dyDescent="0.3">
      <c r="F675" s="1"/>
      <c r="BS675" s="1"/>
      <c r="BT675" s="2"/>
    </row>
    <row r="676" spans="5:84" x14ac:dyDescent="0.3">
      <c r="F676" s="1"/>
      <c r="BS676" s="1"/>
      <c r="BT676" s="2"/>
    </row>
    <row r="677" spans="5:84" x14ac:dyDescent="0.3">
      <c r="F677" s="1"/>
    </row>
    <row r="678" spans="5:84" x14ac:dyDescent="0.3">
      <c r="F678" s="1"/>
      <c r="BS678" s="1"/>
      <c r="BT678" s="2"/>
    </row>
    <row r="679" spans="5:84" x14ac:dyDescent="0.3">
      <c r="F679" s="1"/>
    </row>
    <row r="680" spans="5:84" x14ac:dyDescent="0.3">
      <c r="F680" s="1"/>
      <c r="CD680" s="3"/>
    </row>
    <row r="681" spans="5:84" x14ac:dyDescent="0.3">
      <c r="F681" s="1"/>
    </row>
    <row r="682" spans="5:84" x14ac:dyDescent="0.3">
      <c r="F682" s="1"/>
      <c r="BS682" s="1"/>
      <c r="BT682" s="2"/>
    </row>
    <row r="683" spans="5:84" x14ac:dyDescent="0.3">
      <c r="F683" s="1"/>
    </row>
    <row r="685" spans="5:84" x14ac:dyDescent="0.3">
      <c r="E685" t="s">
        <v>306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W685">
        <v>0</v>
      </c>
      <c r="X685">
        <v>0</v>
      </c>
      <c r="Y685">
        <v>0</v>
      </c>
      <c r="Z685">
        <v>0</v>
      </c>
      <c r="AA685">
        <v>0</v>
      </c>
      <c r="AB685">
        <v>0</v>
      </c>
      <c r="AC685">
        <v>189.38</v>
      </c>
      <c r="AD685">
        <v>0</v>
      </c>
      <c r="AE685">
        <v>1015.72</v>
      </c>
      <c r="AF685">
        <v>0</v>
      </c>
      <c r="AG685">
        <v>0</v>
      </c>
      <c r="AH685">
        <v>0</v>
      </c>
      <c r="AI685">
        <v>0</v>
      </c>
      <c r="AJ685">
        <v>0</v>
      </c>
      <c r="AK685">
        <v>4487.6099999999997</v>
      </c>
      <c r="AL685">
        <v>0</v>
      </c>
      <c r="AM685">
        <v>0</v>
      </c>
      <c r="AN685">
        <v>0</v>
      </c>
      <c r="AO685">
        <v>0</v>
      </c>
      <c r="AP685">
        <v>0</v>
      </c>
      <c r="AQ685">
        <v>16.739999999999998</v>
      </c>
      <c r="AR685">
        <v>0</v>
      </c>
      <c r="AS685">
        <v>0</v>
      </c>
      <c r="AT685">
        <v>0</v>
      </c>
      <c r="AU685">
        <v>0</v>
      </c>
      <c r="AV685">
        <v>0</v>
      </c>
      <c r="AW685">
        <v>0</v>
      </c>
      <c r="AX685">
        <v>0</v>
      </c>
      <c r="AY685">
        <v>0</v>
      </c>
      <c r="AZ685">
        <v>0</v>
      </c>
      <c r="BA685">
        <v>0</v>
      </c>
      <c r="BB685">
        <v>0</v>
      </c>
      <c r="BC685">
        <v>0</v>
      </c>
      <c r="BD685">
        <v>0</v>
      </c>
      <c r="BE685">
        <v>0</v>
      </c>
      <c r="BF685">
        <v>0</v>
      </c>
      <c r="BG685">
        <v>0</v>
      </c>
      <c r="BI685">
        <v>691.8</v>
      </c>
      <c r="BJ685">
        <v>819.8</v>
      </c>
      <c r="BK685">
        <v>947.5</v>
      </c>
      <c r="BL685" s="4">
        <v>14544.02</v>
      </c>
      <c r="BM685" s="4">
        <v>2181.7600000000002</v>
      </c>
      <c r="BN685" s="4">
        <v>16725.78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sdrascd7-IESANPA134655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 Adams</cp:lastModifiedBy>
  <dcterms:created xsi:type="dcterms:W3CDTF">2025-04-22T08:11:58Z</dcterms:created>
  <dcterms:modified xsi:type="dcterms:W3CDTF">2025-04-30T15:12:14Z</dcterms:modified>
</cp:coreProperties>
</file>