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72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1820" i="1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G1815"/>
  <c r="F1815"/>
  <c r="C1815"/>
  <c r="K1814"/>
  <c r="J1814"/>
  <c r="G1814"/>
  <c r="F1814"/>
  <c r="C1814"/>
  <c r="K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G1441"/>
  <c r="F1441"/>
  <c r="C1441"/>
  <c r="K1440"/>
  <c r="J1440"/>
  <c r="G1440"/>
  <c r="F1440"/>
  <c r="C1440"/>
  <c r="K1439"/>
  <c r="G1439"/>
  <c r="F1439"/>
  <c r="C1439"/>
  <c r="K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G1306"/>
  <c r="F1306"/>
  <c r="C1306"/>
  <c r="K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G1063"/>
  <c r="F1063"/>
  <c r="C1063"/>
  <c r="K1062"/>
  <c r="J1062"/>
  <c r="G1062"/>
  <c r="F1062"/>
  <c r="C1062"/>
  <c r="K1061"/>
  <c r="J1061"/>
  <c r="G1061"/>
  <c r="F1061"/>
  <c r="C1061"/>
  <c r="K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G957"/>
  <c r="F957"/>
  <c r="C957"/>
  <c r="K956"/>
  <c r="J956"/>
  <c r="G956"/>
  <c r="F956"/>
  <c r="C956"/>
  <c r="K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F536"/>
  <c r="G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G487"/>
  <c r="F487"/>
  <c r="C487"/>
  <c r="K486"/>
  <c r="G486"/>
  <c r="F486"/>
  <c r="C486"/>
  <c r="K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G477"/>
  <c r="F477"/>
  <c r="C477"/>
  <c r="K476"/>
  <c r="J476"/>
  <c r="G476"/>
  <c r="F476"/>
  <c r="C476"/>
  <c r="K475"/>
  <c r="J475"/>
  <c r="G475"/>
  <c r="F475"/>
  <c r="C475"/>
  <c r="K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G280"/>
  <c r="F280"/>
  <c r="C280"/>
  <c r="K279"/>
  <c r="J279"/>
  <c r="G279"/>
  <c r="F279"/>
  <c r="C279"/>
  <c r="K278"/>
  <c r="J278"/>
  <c r="G278"/>
  <c r="F278"/>
  <c r="C278"/>
  <c r="K277"/>
  <c r="G277"/>
  <c r="F277"/>
  <c r="C277"/>
  <c r="K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G160"/>
  <c r="F160"/>
  <c r="K189"/>
  <c r="G189"/>
  <c r="F189"/>
  <c r="C189"/>
  <c r="K188"/>
  <c r="G188"/>
  <c r="F188"/>
  <c r="C188"/>
  <c r="K187"/>
  <c r="G187"/>
  <c r="F187"/>
  <c r="C187"/>
  <c r="K186"/>
  <c r="G186"/>
  <c r="F186"/>
  <c r="C186"/>
  <c r="K185"/>
  <c r="G185"/>
  <c r="F185"/>
  <c r="C185"/>
  <c r="K184"/>
  <c r="G184"/>
  <c r="F184"/>
  <c r="C184"/>
  <c r="K183"/>
  <c r="G183"/>
  <c r="F183"/>
  <c r="C183"/>
  <c r="K182"/>
  <c r="G182"/>
  <c r="F182"/>
  <c r="C182"/>
  <c r="K181"/>
  <c r="G181"/>
  <c r="F181"/>
  <c r="C181"/>
  <c r="K180"/>
  <c r="G180"/>
  <c r="F180"/>
  <c r="C180"/>
  <c r="K179"/>
  <c r="G179"/>
  <c r="F179"/>
  <c r="C179"/>
  <c r="K178"/>
  <c r="G178"/>
  <c r="F178"/>
  <c r="C178"/>
  <c r="K177"/>
  <c r="G177"/>
  <c r="F177"/>
  <c r="C177"/>
  <c r="K176"/>
  <c r="G176"/>
  <c r="F176"/>
  <c r="C176"/>
  <c r="K175"/>
  <c r="G175"/>
  <c r="F175"/>
  <c r="C175"/>
  <c r="K174"/>
  <c r="G174"/>
  <c r="F174"/>
  <c r="C174"/>
  <c r="K173"/>
  <c r="G173"/>
  <c r="F173"/>
  <c r="C173"/>
  <c r="K172"/>
  <c r="G172"/>
  <c r="F172"/>
  <c r="C172"/>
  <c r="K171"/>
  <c r="G171"/>
  <c r="F171"/>
  <c r="C171"/>
  <c r="K170"/>
  <c r="G170"/>
  <c r="F170"/>
  <c r="C170"/>
  <c r="K169"/>
  <c r="G169"/>
  <c r="F169"/>
  <c r="C169"/>
  <c r="K168"/>
  <c r="G168"/>
  <c r="F168"/>
  <c r="C168"/>
  <c r="K167"/>
  <c r="G167"/>
  <c r="F167"/>
  <c r="C167"/>
  <c r="K166"/>
  <c r="G166"/>
  <c r="F166"/>
  <c r="C166"/>
  <c r="K165"/>
  <c r="G165"/>
  <c r="F165"/>
  <c r="C165"/>
  <c r="K164"/>
  <c r="G164"/>
  <c r="F164"/>
  <c r="C164"/>
  <c r="K163"/>
  <c r="G163"/>
  <c r="F163"/>
  <c r="C163"/>
  <c r="K162"/>
  <c r="G162"/>
  <c r="F162"/>
  <c r="C162"/>
  <c r="K161"/>
  <c r="G161"/>
  <c r="F161"/>
  <c r="C161"/>
  <c r="K160"/>
  <c r="C160"/>
  <c r="K159"/>
  <c r="G159"/>
  <c r="F159"/>
  <c r="C159"/>
  <c r="K158"/>
  <c r="G158"/>
  <c r="F158"/>
  <c r="C158"/>
  <c r="K157"/>
  <c r="G157"/>
  <c r="F157"/>
  <c r="C157"/>
  <c r="K156"/>
  <c r="G156"/>
  <c r="F156"/>
  <c r="C156"/>
  <c r="K155"/>
  <c r="G155"/>
  <c r="F155"/>
  <c r="C155"/>
  <c r="K154"/>
  <c r="G154"/>
  <c r="F154"/>
  <c r="C154"/>
  <c r="K153"/>
  <c r="G153"/>
  <c r="F153"/>
  <c r="C153"/>
  <c r="K152"/>
  <c r="G152"/>
  <c r="F152"/>
  <c r="C152"/>
  <c r="K151"/>
  <c r="G151"/>
  <c r="F151"/>
  <c r="C151"/>
  <c r="K150"/>
  <c r="G150"/>
  <c r="F150"/>
  <c r="C150"/>
  <c r="K149"/>
  <c r="G149"/>
  <c r="F149"/>
  <c r="C149"/>
  <c r="K148"/>
  <c r="G148"/>
  <c r="F148"/>
  <c r="C148"/>
  <c r="K147"/>
  <c r="G147"/>
  <c r="F147"/>
  <c r="C147"/>
  <c r="K146"/>
  <c r="G146"/>
  <c r="F146"/>
  <c r="C146"/>
  <c r="K145"/>
  <c r="G145"/>
  <c r="F145"/>
  <c r="C145"/>
  <c r="K144"/>
  <c r="G144"/>
  <c r="F144"/>
  <c r="C144"/>
  <c r="K143"/>
  <c r="G143"/>
  <c r="F143"/>
  <c r="C143"/>
  <c r="K142"/>
  <c r="G142"/>
  <c r="F142"/>
  <c r="C142"/>
  <c r="K141"/>
  <c r="G141"/>
  <c r="F141"/>
  <c r="C141"/>
  <c r="K140"/>
  <c r="G140"/>
  <c r="F140"/>
  <c r="C140"/>
  <c r="K139"/>
  <c r="G139"/>
  <c r="F139"/>
  <c r="C139"/>
  <c r="K138"/>
  <c r="G138"/>
  <c r="F138"/>
  <c r="C138"/>
  <c r="K137"/>
  <c r="G137"/>
  <c r="F137"/>
  <c r="C137"/>
  <c r="K136"/>
  <c r="G136"/>
  <c r="F136"/>
  <c r="C136"/>
  <c r="K135"/>
  <c r="G135"/>
  <c r="F135"/>
  <c r="C135"/>
  <c r="K134"/>
  <c r="G134"/>
  <c r="F134"/>
  <c r="C134"/>
  <c r="K133"/>
  <c r="G133"/>
  <c r="F133"/>
  <c r="C133"/>
  <c r="K132"/>
  <c r="G132"/>
  <c r="F132"/>
  <c r="C132"/>
  <c r="K131"/>
  <c r="G131"/>
  <c r="F131"/>
  <c r="C131"/>
  <c r="K130"/>
  <c r="G130"/>
  <c r="F130"/>
  <c r="C130"/>
  <c r="K129"/>
  <c r="G129"/>
  <c r="F129"/>
  <c r="C129"/>
  <c r="K128"/>
  <c r="G128"/>
  <c r="F128"/>
  <c r="C128"/>
  <c r="K127"/>
  <c r="G127"/>
  <c r="F127"/>
  <c r="C127"/>
  <c r="K126"/>
  <c r="G126"/>
  <c r="F126"/>
  <c r="C126"/>
  <c r="K125"/>
  <c r="G125"/>
  <c r="F125"/>
  <c r="C125"/>
  <c r="K124"/>
  <c r="G124"/>
  <c r="F124"/>
  <c r="C124"/>
  <c r="K123"/>
  <c r="G123"/>
  <c r="F123"/>
  <c r="C123"/>
  <c r="K122"/>
  <c r="G122"/>
  <c r="F122"/>
  <c r="C122"/>
  <c r="K121"/>
  <c r="G121"/>
  <c r="F121"/>
  <c r="C121"/>
  <c r="K120"/>
  <c r="G120"/>
  <c r="F120"/>
  <c r="C120"/>
  <c r="K119"/>
  <c r="G119"/>
  <c r="F119"/>
  <c r="C119"/>
  <c r="K118"/>
  <c r="G118"/>
  <c r="F118"/>
  <c r="C118"/>
  <c r="K117"/>
  <c r="G117"/>
  <c r="F117"/>
  <c r="C117"/>
  <c r="K116"/>
  <c r="G116"/>
  <c r="F116"/>
  <c r="C116"/>
  <c r="K115"/>
  <c r="G115"/>
  <c r="F115"/>
  <c r="C115"/>
  <c r="K114"/>
  <c r="G114"/>
  <c r="F114"/>
  <c r="C114"/>
  <c r="K113"/>
  <c r="G113"/>
  <c r="F113"/>
  <c r="C113"/>
  <c r="K112"/>
  <c r="G112"/>
  <c r="F112"/>
  <c r="C112"/>
  <c r="K111"/>
  <c r="G111"/>
  <c r="F111"/>
  <c r="C111"/>
  <c r="K110"/>
  <c r="G110"/>
  <c r="F110"/>
  <c r="C110"/>
  <c r="K109"/>
  <c r="G109"/>
  <c r="F109"/>
  <c r="C109"/>
  <c r="K108"/>
  <c r="G108"/>
  <c r="F108"/>
  <c r="C108"/>
  <c r="K107"/>
  <c r="G107"/>
  <c r="F107"/>
  <c r="C107"/>
  <c r="K106"/>
  <c r="G106"/>
  <c r="F106"/>
  <c r="C106"/>
  <c r="K105"/>
  <c r="G105"/>
  <c r="F105"/>
  <c r="C105"/>
  <c r="K104"/>
  <c r="G104"/>
  <c r="F104"/>
  <c r="C104"/>
  <c r="K103"/>
  <c r="G103"/>
  <c r="F103"/>
  <c r="C103"/>
  <c r="K102"/>
  <c r="G102"/>
  <c r="F102"/>
  <c r="C102"/>
  <c r="K101"/>
  <c r="G101"/>
  <c r="F101"/>
  <c r="C101"/>
  <c r="K100"/>
  <c r="G100"/>
  <c r="F100"/>
  <c r="C100"/>
  <c r="K99"/>
  <c r="G99"/>
  <c r="F99"/>
  <c r="C99"/>
  <c r="K98"/>
  <c r="G98"/>
  <c r="F98"/>
  <c r="C98"/>
  <c r="K97"/>
  <c r="G97"/>
  <c r="F97"/>
  <c r="C97"/>
  <c r="K96"/>
  <c r="G96"/>
  <c r="F96"/>
  <c r="C96"/>
  <c r="K95"/>
  <c r="G95"/>
  <c r="F95"/>
  <c r="C95"/>
  <c r="K94"/>
  <c r="G94"/>
  <c r="F94"/>
  <c r="C94"/>
  <c r="K93"/>
  <c r="G93"/>
  <c r="F93"/>
  <c r="C93"/>
  <c r="K92"/>
  <c r="G92"/>
  <c r="F92"/>
  <c r="C92"/>
  <c r="K91"/>
  <c r="G91"/>
  <c r="F91"/>
  <c r="C91"/>
  <c r="K90"/>
  <c r="G90"/>
  <c r="F90"/>
  <c r="C90"/>
  <c r="K89"/>
  <c r="G89"/>
  <c r="F89"/>
  <c r="C89"/>
  <c r="K88"/>
  <c r="G88"/>
  <c r="F88"/>
  <c r="C88"/>
  <c r="K87"/>
  <c r="G87"/>
  <c r="F87"/>
  <c r="C87"/>
  <c r="K86"/>
  <c r="G86"/>
  <c r="F86"/>
  <c r="C86"/>
  <c r="K85"/>
  <c r="G85"/>
  <c r="F85"/>
  <c r="C85"/>
  <c r="K84"/>
  <c r="G84"/>
  <c r="F84"/>
  <c r="C84"/>
  <c r="K83"/>
  <c r="G83"/>
  <c r="F83"/>
  <c r="C83"/>
  <c r="K82"/>
  <c r="G82"/>
  <c r="F82"/>
  <c r="C82"/>
  <c r="K81"/>
  <c r="G81"/>
  <c r="F81"/>
  <c r="C81"/>
  <c r="K80"/>
  <c r="G80"/>
  <c r="F80"/>
  <c r="C80"/>
  <c r="K79"/>
  <c r="G79"/>
  <c r="F79"/>
  <c r="C79"/>
  <c r="K78"/>
  <c r="G78"/>
  <c r="F78"/>
  <c r="C78"/>
  <c r="K77"/>
  <c r="G77"/>
  <c r="F77"/>
  <c r="C77"/>
  <c r="K76"/>
  <c r="G76"/>
  <c r="F76"/>
  <c r="C76"/>
  <c r="K75"/>
  <c r="G75"/>
  <c r="F75"/>
  <c r="C75"/>
  <c r="K74"/>
  <c r="G74"/>
  <c r="F74"/>
  <c r="C74"/>
  <c r="K73"/>
  <c r="G73"/>
  <c r="F73"/>
  <c r="C73"/>
  <c r="K72"/>
  <c r="G72"/>
  <c r="F72"/>
  <c r="C72"/>
  <c r="K71"/>
  <c r="G71"/>
  <c r="F71"/>
  <c r="C71"/>
  <c r="K70"/>
  <c r="G70"/>
  <c r="F70"/>
  <c r="C70"/>
  <c r="K69"/>
  <c r="G69"/>
  <c r="F69"/>
  <c r="C69"/>
  <c r="K68"/>
  <c r="G68"/>
  <c r="F68"/>
  <c r="C68"/>
  <c r="K67"/>
  <c r="G67"/>
  <c r="F67"/>
  <c r="C67"/>
  <c r="K66"/>
  <c r="G66"/>
  <c r="F66"/>
  <c r="C66"/>
  <c r="K65"/>
  <c r="G65"/>
  <c r="F65"/>
  <c r="C65"/>
  <c r="K64"/>
  <c r="G64"/>
  <c r="F64"/>
  <c r="C64"/>
  <c r="K63"/>
  <c r="G63"/>
  <c r="F63"/>
  <c r="C63"/>
  <c r="K62"/>
  <c r="G62"/>
  <c r="F62"/>
  <c r="C62"/>
  <c r="K61"/>
  <c r="G61"/>
  <c r="F61"/>
  <c r="C61"/>
  <c r="K60"/>
  <c r="G60"/>
  <c r="F60"/>
  <c r="C60"/>
  <c r="K59"/>
  <c r="G59"/>
  <c r="F59"/>
  <c r="C59"/>
  <c r="K58"/>
  <c r="G58"/>
  <c r="F58"/>
  <c r="C58"/>
  <c r="K57"/>
  <c r="G57"/>
  <c r="F57"/>
  <c r="C57"/>
  <c r="K56"/>
  <c r="G56"/>
  <c r="F56"/>
  <c r="C56"/>
  <c r="K55"/>
  <c r="G55"/>
  <c r="F55"/>
  <c r="C55"/>
  <c r="K54"/>
  <c r="G54"/>
  <c r="F54"/>
  <c r="C54"/>
  <c r="K53"/>
  <c r="G53"/>
  <c r="F53"/>
  <c r="C53"/>
  <c r="K52"/>
  <c r="G52"/>
  <c r="F52"/>
  <c r="C52"/>
  <c r="K51"/>
  <c r="G51"/>
  <c r="F51"/>
  <c r="C51"/>
  <c r="K50"/>
  <c r="G50"/>
  <c r="F50"/>
  <c r="C50"/>
  <c r="K49"/>
  <c r="G49"/>
  <c r="F49"/>
  <c r="C49"/>
  <c r="K48"/>
  <c r="G48"/>
  <c r="F48"/>
  <c r="C48"/>
  <c r="K47"/>
  <c r="G47"/>
  <c r="F47"/>
  <c r="C47"/>
  <c r="K46"/>
  <c r="G46"/>
  <c r="F46"/>
  <c r="C46"/>
  <c r="K45"/>
  <c r="G45"/>
  <c r="F45"/>
  <c r="C45"/>
  <c r="K44"/>
  <c r="G44"/>
  <c r="F44"/>
  <c r="C44"/>
  <c r="K43"/>
  <c r="G43"/>
  <c r="F43"/>
  <c r="C43"/>
  <c r="K42"/>
  <c r="G42"/>
  <c r="F42"/>
  <c r="C42"/>
  <c r="K41"/>
  <c r="G41"/>
  <c r="F41"/>
  <c r="C41"/>
  <c r="K40"/>
  <c r="G40"/>
  <c r="F40"/>
  <c r="C40"/>
  <c r="K39"/>
  <c r="G39"/>
  <c r="F39"/>
  <c r="C39"/>
  <c r="K38"/>
  <c r="G38"/>
  <c r="F38"/>
  <c r="C38"/>
  <c r="K37"/>
  <c r="G37"/>
  <c r="F37"/>
  <c r="C37"/>
  <c r="K36"/>
  <c r="G36"/>
  <c r="F36"/>
  <c r="C36"/>
  <c r="K35"/>
  <c r="G35"/>
  <c r="F35"/>
  <c r="C35"/>
  <c r="K34"/>
  <c r="G34"/>
  <c r="F34"/>
  <c r="C34"/>
  <c r="K33"/>
  <c r="G33"/>
  <c r="F33"/>
  <c r="C33"/>
  <c r="K32"/>
  <c r="G32"/>
  <c r="F32"/>
  <c r="C32"/>
  <c r="K31"/>
  <c r="G31"/>
  <c r="F31"/>
  <c r="C31"/>
  <c r="K30"/>
  <c r="G30"/>
  <c r="F30"/>
  <c r="C30"/>
  <c r="K29"/>
  <c r="G29"/>
  <c r="F29"/>
  <c r="C29"/>
  <c r="K28"/>
  <c r="G28"/>
  <c r="F28"/>
  <c r="C28"/>
  <c r="K27"/>
  <c r="G27"/>
  <c r="F27"/>
  <c r="C27"/>
  <c r="K26"/>
  <c r="G26"/>
  <c r="F26"/>
  <c r="C26"/>
  <c r="K25"/>
  <c r="G25"/>
  <c r="F25"/>
  <c r="C25"/>
  <c r="K24"/>
  <c r="G24"/>
  <c r="F24"/>
  <c r="C24"/>
  <c r="K23"/>
  <c r="G23"/>
  <c r="F23"/>
  <c r="C23"/>
  <c r="K22"/>
  <c r="G22"/>
  <c r="F22"/>
  <c r="C22"/>
  <c r="K21"/>
  <c r="G21"/>
  <c r="F21"/>
  <c r="C21"/>
  <c r="K20"/>
  <c r="G20"/>
  <c r="F20"/>
  <c r="C20"/>
  <c r="K19"/>
  <c r="G19"/>
  <c r="F19"/>
  <c r="C19"/>
  <c r="K18"/>
  <c r="G18"/>
  <c r="F18"/>
  <c r="C18"/>
  <c r="K17"/>
  <c r="G17"/>
  <c r="F17"/>
  <c r="C17"/>
  <c r="K16"/>
  <c r="G16"/>
  <c r="F16"/>
  <c r="C16"/>
  <c r="K15"/>
  <c r="G15"/>
  <c r="F15"/>
  <c r="C15"/>
  <c r="K14"/>
  <c r="G14"/>
  <c r="F14"/>
  <c r="C14"/>
  <c r="K13"/>
  <c r="G13"/>
  <c r="F13"/>
  <c r="C13"/>
  <c r="K12"/>
  <c r="G12"/>
  <c r="F12"/>
  <c r="C12"/>
  <c r="K11"/>
  <c r="G11"/>
  <c r="F11"/>
  <c r="C11"/>
  <c r="K10"/>
  <c r="G10"/>
  <c r="F10"/>
  <c r="C10"/>
  <c r="K9"/>
  <c r="G9"/>
  <c r="F9"/>
  <c r="C9"/>
  <c r="K8"/>
  <c r="G8"/>
  <c r="F8"/>
  <c r="C8"/>
  <c r="K7"/>
  <c r="G7"/>
  <c r="F7"/>
  <c r="C7"/>
  <c r="K6"/>
  <c r="G6"/>
  <c r="F6"/>
  <c r="C6"/>
</calcChain>
</file>

<file path=xl/sharedStrings.xml><?xml version="1.0" encoding="utf-8"?>
<sst xmlns="http://schemas.openxmlformats.org/spreadsheetml/2006/main" count="7463" uniqueCount="830">
  <si>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</si>
  <si>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</si>
  <si>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</si>
  <si>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</si>
  <si>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04/12/2019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</si>
  <si>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</si>
  <si>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</si>
  <si>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</si>
  <si>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</si>
  <si>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</si>
  <si>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</si>
  <si>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</si>
  <si>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</si>
  <si>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</si>
  <si>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</si>
  <si>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Status</t>
  </si>
  <si>
    <t>Parcel No</t>
  </si>
  <si>
    <t>No Prcls</t>
  </si>
  <si>
    <t>Tot Kgs</t>
  </si>
  <si>
    <t xml:space="preserve">Festo               </t>
  </si>
  <si>
    <t xml:space="preserve">IRVIN &amp; JOHNSON LTD                     </t>
  </si>
  <si>
    <t>JNX</t>
  </si>
  <si>
    <t>WOODSTOCK</t>
  </si>
  <si>
    <t>Downloaded</t>
  </si>
  <si>
    <t xml:space="preserve">BEARING MAN GROUP                       </t>
  </si>
  <si>
    <t>DROSTE PARK</t>
  </si>
  <si>
    <t xml:space="preserve">PIETER BOSCH                            </t>
  </si>
  <si>
    <t>HONEYDEW</t>
  </si>
  <si>
    <t xml:space="preserve">EGLI PRECISION ENGENNERING PTY LTD      </t>
  </si>
  <si>
    <t>MKONDENI</t>
  </si>
  <si>
    <t xml:space="preserve">HENKEL S.A (PTY) LTD                    </t>
  </si>
  <si>
    <t>ALRODE</t>
  </si>
  <si>
    <t xml:space="preserve">Precision Separators                    </t>
  </si>
  <si>
    <t>KOEDOESPOORT</t>
  </si>
  <si>
    <t xml:space="preserve">BMG BELLVILLE 0120                      </t>
  </si>
  <si>
    <t>STIKLAND</t>
  </si>
  <si>
    <t xml:space="preserve">ACEPAK PACKAGING SYSTEMS                </t>
  </si>
  <si>
    <t>MONTAGUE GARDENS</t>
  </si>
  <si>
    <t xml:space="preserve">TF DESIGN (PTY) LTD                     </t>
  </si>
  <si>
    <t>STELLENBOSCH</t>
  </si>
  <si>
    <t xml:space="preserve">APEX AUTOMATIONN (PTY)LTD               </t>
  </si>
  <si>
    <t>PORT ELIZABETH</t>
  </si>
  <si>
    <t xml:space="preserve">H.G MOLENAAR (PTY) LTD                  </t>
  </si>
  <si>
    <t>PAARL</t>
  </si>
  <si>
    <t xml:space="preserve">CONTINENTAL TYRE SA                     </t>
  </si>
  <si>
    <t>STRUANDALE</t>
  </si>
  <si>
    <t xml:space="preserve">TENNECO EMISSION CONTROL                </t>
  </si>
  <si>
    <t xml:space="preserve">CHC RESOURECES DEPORT                   </t>
  </si>
  <si>
    <t>PROSPECTON</t>
  </si>
  <si>
    <t xml:space="preserve">MASSAMATIC PTY LTD                      </t>
  </si>
  <si>
    <t>PAROW EAST</t>
  </si>
  <si>
    <t xml:space="preserve">ALBANY BAKERIES                         </t>
  </si>
  <si>
    <t>WALTLOO</t>
  </si>
  <si>
    <t xml:space="preserve">AMS BEARING CC                          </t>
  </si>
  <si>
    <t>JACOBS</t>
  </si>
  <si>
    <t xml:space="preserve">CAPITAL MAITANACE                       </t>
  </si>
  <si>
    <t>BOKSBURG</t>
  </si>
  <si>
    <t xml:space="preserve">NR EXTREME ENGINEERING &amp; PIPING         </t>
  </si>
  <si>
    <t>CONGELLA</t>
  </si>
  <si>
    <t xml:space="preserve">HYDROMATIC                              </t>
  </si>
  <si>
    <t>PAARDENEILAND</t>
  </si>
  <si>
    <t xml:space="preserve">CONSOL GLASS (PTY) LTD                  </t>
  </si>
  <si>
    <t>BELLVILLE SOUTH</t>
  </si>
  <si>
    <t xml:space="preserve">CLOVER SA (PTY) LTD                     </t>
  </si>
  <si>
    <t>NORTHDENE</t>
  </si>
  <si>
    <t xml:space="preserve">FESTO DUR OFFICE                        </t>
  </si>
  <si>
    <t>SPRINGFIELD PARK</t>
  </si>
  <si>
    <t xml:space="preserve">CT INVENT PTY LTD                       </t>
  </si>
  <si>
    <t>MONDEOR</t>
  </si>
  <si>
    <t xml:space="preserve">DIYA VALVES INTERNATIONALS CC           </t>
  </si>
  <si>
    <t>PIETERMARITZBURG</t>
  </si>
  <si>
    <t xml:space="preserve">UNILEVER SOUTH AFRICA (PTY) LTD         </t>
  </si>
  <si>
    <t>DURBAN</t>
  </si>
  <si>
    <t xml:space="preserve">MITAS CORPORATION (PTY)LTD              </t>
  </si>
  <si>
    <t>NORTH RIDING</t>
  </si>
  <si>
    <t xml:space="preserve">BEVCAN                                  </t>
  </si>
  <si>
    <t>NUFFIELD</t>
  </si>
  <si>
    <t xml:space="preserve">FIRST NATIONAL BATTERY                  </t>
  </si>
  <si>
    <t>EAST LONDON</t>
  </si>
  <si>
    <t xml:space="preserve">KARAN BEEF FEEDLOT                      </t>
  </si>
  <si>
    <t>HEIDELBERG</t>
  </si>
  <si>
    <t xml:space="preserve">HYDRABERG HYDRAULICS CC                 </t>
  </si>
  <si>
    <t xml:space="preserve">COMPRESSED AIR EQUIPMENT                </t>
  </si>
  <si>
    <t xml:space="preserve">MAGNACORP 397 CC/TA CONCEPT             </t>
  </si>
  <si>
    <t xml:space="preserve">ILLOVO SUGAR LTD                        </t>
  </si>
  <si>
    <t>EDENVALE</t>
  </si>
  <si>
    <t xml:space="preserve">CONTROL SYSTEMS                         </t>
  </si>
  <si>
    <t>RUSTENBURG</t>
  </si>
  <si>
    <t xml:space="preserve">MBAKE  BAKERY EQUIPMENT                 </t>
  </si>
  <si>
    <t>WESTGATE</t>
  </si>
  <si>
    <t xml:space="preserve">OPEN DOOR TRADERS CC                    </t>
  </si>
  <si>
    <t xml:space="preserve">HARTMANS INDUTRIAL EQUIPMENT            </t>
  </si>
  <si>
    <t>BLOEMFONTEIN</t>
  </si>
  <si>
    <t xml:space="preserve">THE SOUTH AFRICAN BREWERIES LTD         </t>
  </si>
  <si>
    <t xml:space="preserve">EFAMATIC MACHINE TOOLS                  </t>
  </si>
  <si>
    <t>CLEVELAND</t>
  </si>
  <si>
    <t xml:space="preserve">PG BISON A DIV OF KAP DIVERSIFIED       </t>
  </si>
  <si>
    <t xml:space="preserve">DE BEERS GROUP SERVICES                 </t>
  </si>
  <si>
    <t>BOOYSENS RESERVE</t>
  </si>
  <si>
    <t xml:space="preserve">ZIPCORD INDUSTRIES (PTY)LTD             </t>
  </si>
  <si>
    <t>CENTURION</t>
  </si>
  <si>
    <t xml:space="preserve">BENTELER AUTOMOTIVE SA (PTY) LTD        </t>
  </si>
  <si>
    <t>UITENHAGE</t>
  </si>
  <si>
    <t xml:space="preserve">PIONEER FOODS (PTY) LTD                 </t>
  </si>
  <si>
    <t>BELLAIR</t>
  </si>
  <si>
    <t xml:space="preserve">SASOL DYNO NOBEL PTY LTD                </t>
  </si>
  <si>
    <t>EKANDUSTRIA</t>
  </si>
  <si>
    <t xml:space="preserve">SIQALO FOODS (PTY)LTD                   </t>
  </si>
  <si>
    <t xml:space="preserve">PIONEER FOOD PTY LTD                    </t>
  </si>
  <si>
    <t xml:space="preserve">CLOVER WATERS PTY LTD                   </t>
  </si>
  <si>
    <t xml:space="preserve">VESCOTECH                               </t>
  </si>
  <si>
    <t>POTCHEFSTROOM</t>
  </si>
  <si>
    <t xml:space="preserve">HARDWARE MECCA (PTY)LTD                 </t>
  </si>
  <si>
    <t>HARRISMITH</t>
  </si>
  <si>
    <t xml:space="preserve">TFM INDUSTRIES PTY LTD                  </t>
  </si>
  <si>
    <t>CLAYVILLE</t>
  </si>
  <si>
    <t xml:space="preserve">FRESENIUS KABI MANUFACTURING            </t>
  </si>
  <si>
    <t>KORSTEN</t>
  </si>
  <si>
    <t xml:space="preserve">MEXAN PRODUCTS                          </t>
  </si>
  <si>
    <t>PINETOWN</t>
  </si>
  <si>
    <t xml:space="preserve">DKT &amp; PARTNERS                          </t>
  </si>
  <si>
    <t>PERSEVERANCE</t>
  </si>
  <si>
    <t xml:space="preserve">FLEXICON AFRICA PTY LTD                 </t>
  </si>
  <si>
    <t>NEAVE TSP</t>
  </si>
  <si>
    <t xml:space="preserve">HACKMACK ENTERPRISES                    </t>
  </si>
  <si>
    <t>ARCADIA</t>
  </si>
  <si>
    <t xml:space="preserve">I M E SA                                </t>
  </si>
  <si>
    <t xml:space="preserve">IMPROCHEM (PTY)LTD                      </t>
  </si>
  <si>
    <t>JOHANNESBURG</t>
  </si>
  <si>
    <t xml:space="preserve">NAMPAK LIQUID PACKAGING                 </t>
  </si>
  <si>
    <t>ISANDO</t>
  </si>
  <si>
    <t xml:space="preserve">MAIN STREET 1310(PTY) L.T.D             </t>
  </si>
  <si>
    <t>KLIPRIVIER</t>
  </si>
  <si>
    <t xml:space="preserve">ALDOR AFRICA                            </t>
  </si>
  <si>
    <t>STORMMILL</t>
  </si>
  <si>
    <t xml:space="preserve">ATC INNOVATION (PTY) LTD                </t>
  </si>
  <si>
    <t>ROSSLYN</t>
  </si>
  <si>
    <t xml:space="preserve">CSM ENGINEERING CC                      </t>
  </si>
  <si>
    <t xml:space="preserve">TI GROUP AUTOMOTIVE SYSTEM              </t>
  </si>
  <si>
    <t xml:space="preserve">FAURECIA EXHAUST SYSTEMS (PTY) LTD      </t>
  </si>
  <si>
    <t xml:space="preserve">S.A. LITHO PRINTINGS &amp; PACK. (S)        </t>
  </si>
  <si>
    <t>PAROW</t>
  </si>
  <si>
    <t xml:space="preserve">CIM AUTOMATION                          </t>
  </si>
  <si>
    <t xml:space="preserve">DES GROUP (PTY)LTD                      </t>
  </si>
  <si>
    <t xml:space="preserve">LITTLE GREEN BEVERAGES                  </t>
  </si>
  <si>
    <t>EPPING INDUSTRIAL</t>
  </si>
  <si>
    <t xml:space="preserve">SAPPI SA                                </t>
  </si>
  <si>
    <t>STANGER</t>
  </si>
  <si>
    <t>OCEAN LEGACY MARINE ENGINEERING (PTY)LTD</t>
  </si>
  <si>
    <t xml:space="preserve">PAK 2000 (PTY) LTD                      </t>
  </si>
  <si>
    <t xml:space="preserve">MAIN STREET 1310 PTY LTD                </t>
  </si>
  <si>
    <t xml:space="preserve">VICTORY ELECTRICAL CC                   </t>
  </si>
  <si>
    <t>MILNERTON</t>
  </si>
  <si>
    <t xml:space="preserve">KIMBERLEY-CLARK S.A                     </t>
  </si>
  <si>
    <t xml:space="preserve">RCL FOODS CONSUMER PTY                  </t>
  </si>
  <si>
    <t>WORCESTER</t>
  </si>
  <si>
    <t xml:space="preserve">UNILEVER ANDERBOLT HOMECARE LIQUIDS     </t>
  </si>
  <si>
    <t>ANDERBOLT</t>
  </si>
  <si>
    <t>MOBENI</t>
  </si>
  <si>
    <t xml:space="preserve">TROPICAL PLASTICS &amp; PACKAGING (PTY) LTD </t>
  </si>
  <si>
    <t xml:space="preserve">CONTINENTAL BISCUITS (PTY)LTD           </t>
  </si>
  <si>
    <t>AEROTON</t>
  </si>
  <si>
    <t xml:space="preserve">BEARING MAN T/A BMG0901                 </t>
  </si>
  <si>
    <t xml:space="preserve">PRO PROJECT MACHINERY PTY LTD           </t>
  </si>
  <si>
    <t>BLACKHEATH</t>
  </si>
  <si>
    <t xml:space="preserve">FESTO CPT                               </t>
  </si>
  <si>
    <t>YSTERPLAAT</t>
  </si>
  <si>
    <t xml:space="preserve">GOSSAMER STRUCTURES CC                  </t>
  </si>
  <si>
    <t>SOMERSET WEST</t>
  </si>
  <si>
    <t xml:space="preserve">FOXOLUTION SYSTEMS ENG CC               </t>
  </si>
  <si>
    <t>SUNNYDALE</t>
  </si>
  <si>
    <t xml:space="preserve">UNIQUE HYDRA (PTY)LTD                   </t>
  </si>
  <si>
    <t xml:space="preserve">TONGAAT HULETT STARCH PTY LTD           </t>
  </si>
  <si>
    <t xml:space="preserve">NATIONAL BRANDS BIS / SNK DIV           </t>
  </si>
  <si>
    <t xml:space="preserve">MPACT PLASTICS                          </t>
  </si>
  <si>
    <t>WADEVILLE</t>
  </si>
  <si>
    <t xml:space="preserve">MARLYN INSTRUMENTATION CC               </t>
  </si>
  <si>
    <t xml:space="preserve">COREL INSTRUMENTATION &amp; CONTRO          </t>
  </si>
  <si>
    <t>VAALPARK</t>
  </si>
  <si>
    <t xml:space="preserve">AER O CURE CC                           </t>
  </si>
  <si>
    <t>WYNBERG</t>
  </si>
  <si>
    <t xml:space="preserve">STARKE INDUSTRIES CC                    </t>
  </si>
  <si>
    <t xml:space="preserve">ERGO MINING                             </t>
  </si>
  <si>
    <t>BRAKPAN</t>
  </si>
  <si>
    <t xml:space="preserve">FILMATIC PACKAGING SYSTEM (PTY) LTD     </t>
  </si>
  <si>
    <t xml:space="preserve">NON FERROUS METAL WORKS SA PTY          </t>
  </si>
  <si>
    <t>ISIPINGO</t>
  </si>
  <si>
    <t xml:space="preserve">H.W.S INDUSTRIES (PTY) LTD              </t>
  </si>
  <si>
    <t xml:space="preserve">DES GROUP (PTY) LTD                     </t>
  </si>
  <si>
    <t>UMBOGINTWINI</t>
  </si>
  <si>
    <t xml:space="preserve">FAIRFIELD DAIRY PTY LTD                 </t>
  </si>
  <si>
    <t>HOWICK</t>
  </si>
  <si>
    <t xml:space="preserve">CAPE OIL AND MARGRAINE                  </t>
  </si>
  <si>
    <t>MAITLAND</t>
  </si>
  <si>
    <t xml:space="preserve">MECHANICAL CONCEPTS CC                  </t>
  </si>
  <si>
    <t xml:space="preserve">VANNPAX PACKAGING SUPPORT               </t>
  </si>
  <si>
    <t xml:space="preserve">LAFARGE INDUSTRIES SA                   </t>
  </si>
  <si>
    <t>RANDFONTEIN</t>
  </si>
  <si>
    <t xml:space="preserve">CONSOL GLASS                            </t>
  </si>
  <si>
    <t xml:space="preserve">POLYOAK PACKAGING PTY LTD               </t>
  </si>
  <si>
    <t xml:space="preserve">PROCESS DYNAMICS PTY LTD                </t>
  </si>
  <si>
    <t>RHODESFIELD</t>
  </si>
  <si>
    <t xml:space="preserve">HERAEUS ELECTRO NITE                    </t>
  </si>
  <si>
    <t xml:space="preserve">DIVFOOD A DIV OF NAMPAK PRODUCTS LTD    </t>
  </si>
  <si>
    <t>VANDERBIJLPARK</t>
  </si>
  <si>
    <t xml:space="preserve">HARVARD PROJECTS                        </t>
  </si>
  <si>
    <t>MARAISBURG</t>
  </si>
  <si>
    <t xml:space="preserve">BENTELER SA                             </t>
  </si>
  <si>
    <t xml:space="preserve">GRW ENGINERING                          </t>
  </si>
  <si>
    <t xml:space="preserve">LIQUI BOX (PTY)LTD                      </t>
  </si>
  <si>
    <t>ATHLONE INDUSTRIA 2</t>
  </si>
  <si>
    <t xml:space="preserve">RHEINMETALL DENEL MUNITION              </t>
  </si>
  <si>
    <t>FIRGROVE</t>
  </si>
  <si>
    <t xml:space="preserve">BOWLER PLASTICS (PTY) LTD               </t>
  </si>
  <si>
    <t>OTTERY</t>
  </si>
  <si>
    <t xml:space="preserve">EXCEL TOOLING                           </t>
  </si>
  <si>
    <t>NORTH END</t>
  </si>
  <si>
    <t xml:space="preserve">ANALOG &amp; DIGITAL POWER ELECTRONICS      </t>
  </si>
  <si>
    <t xml:space="preserve">Rand Refinery                           </t>
  </si>
  <si>
    <t>Germiston</t>
  </si>
  <si>
    <t>BENONI</t>
  </si>
  <si>
    <t xml:space="preserve">DANONE SA PTY LTD                       </t>
  </si>
  <si>
    <t xml:space="preserve">ABERDARE CABLES (PTY) LTD               </t>
  </si>
  <si>
    <t>ELANDSFONTEIN</t>
  </si>
  <si>
    <t xml:space="preserve">CTP PRINTERS CPT                        </t>
  </si>
  <si>
    <t xml:space="preserve">ELEMENT SIX PRODUCTION                  </t>
  </si>
  <si>
    <t xml:space="preserve">TM ENGINEERING                          </t>
  </si>
  <si>
    <t>RANDBURG</t>
  </si>
  <si>
    <t xml:space="preserve">ALUVIN SECURISEAL                       </t>
  </si>
  <si>
    <t>DRIEHOEK</t>
  </si>
  <si>
    <t xml:space="preserve">SODECIA SA                              </t>
  </si>
  <si>
    <t>SILVERTON</t>
  </si>
  <si>
    <t xml:space="preserve">DISTELL (PTY) LTD                       </t>
  </si>
  <si>
    <t xml:space="preserve">BM FOOD MANUFACTURERS                   </t>
  </si>
  <si>
    <t xml:space="preserve">BRANDLINE PACKAGING (PTY)LTD            </t>
  </si>
  <si>
    <t>JET PARK</t>
  </si>
  <si>
    <t xml:space="preserve">PACIFIC FLUID COMPONENTS CC             </t>
  </si>
  <si>
    <t>QUEENSBURGH</t>
  </si>
  <si>
    <t>TIGER CONSUMER BRANDS LTD T/A TIGER MILL</t>
  </si>
  <si>
    <t xml:space="preserve">DISTELL                                 </t>
  </si>
  <si>
    <t xml:space="preserve">Mavtech Technologies Ltd                </t>
  </si>
  <si>
    <t xml:space="preserve">GUD HOLDINGS (PTY)LTD                   </t>
  </si>
  <si>
    <t xml:space="preserve">RYMCO PTY LTD ACHOR YEAST               </t>
  </si>
  <si>
    <t xml:space="preserve">PREMIER CAPE TOWN WHEAT MILL            </t>
  </si>
  <si>
    <t>SALT RIVER</t>
  </si>
  <si>
    <t xml:space="preserve">COCA COLA BEVERAGES SA                  </t>
  </si>
  <si>
    <t>GERMISTON</t>
  </si>
  <si>
    <t xml:space="preserve">IPACKCHEM PTY LTD                       </t>
  </si>
  <si>
    <t>KYA SAND</t>
  </si>
  <si>
    <t xml:space="preserve">JONES INDUSTRIAL MIXES                  </t>
  </si>
  <si>
    <t xml:space="preserve">BME PACKAGING CC                        </t>
  </si>
  <si>
    <t>LONGMEADOW EXT 8</t>
  </si>
  <si>
    <t xml:space="preserve">FOODSERV SOLUTIONS                      </t>
  </si>
  <si>
    <t>DENVER</t>
  </si>
  <si>
    <t xml:space="preserve">DYNAMIC SYSTEMS                         </t>
  </si>
  <si>
    <t>GLENASHLEY</t>
  </si>
  <si>
    <t xml:space="preserve">NATIONAL PACKAGING SYSTEMS              </t>
  </si>
  <si>
    <t>WESTMEAD</t>
  </si>
  <si>
    <t xml:space="preserve">CALDEIRA ENGENEERING                    </t>
  </si>
  <si>
    <t xml:space="preserve">FORD OF SOUTHERN AFRICA AX9WA           </t>
  </si>
  <si>
    <t xml:space="preserve">JENDAMARK AUTOMATION PTY LTD            </t>
  </si>
  <si>
    <t xml:space="preserve">CTP WEB PRINTERS JOHANNESBURG           </t>
  </si>
  <si>
    <t xml:space="preserve">RAPID INDUSTRIAL SUPPLIES PTY LTD       </t>
  </si>
  <si>
    <t xml:space="preserve">PIONEER FOODS (PTY)LTD                  </t>
  </si>
  <si>
    <t xml:space="preserve">COCA -COLA BEVERAGES SA (PTY) LTD       </t>
  </si>
  <si>
    <t>DEVLAND</t>
  </si>
  <si>
    <t xml:space="preserve">BREWBEV                                 </t>
  </si>
  <si>
    <t xml:space="preserve">RCL FOODS CONSUMER                      </t>
  </si>
  <si>
    <t>BOLTONIA</t>
  </si>
  <si>
    <t xml:space="preserve">INNOVATIVE WATER CARE S.A (PTY)LTD      </t>
  </si>
  <si>
    <t>CHLOORKOP</t>
  </si>
  <si>
    <t xml:space="preserve">T E M TOOLING CC                        </t>
  </si>
  <si>
    <t>SUNNYRIDGE</t>
  </si>
  <si>
    <t xml:space="preserve">NESTLE SOUTH AFRICA (PTY) L.T.D         </t>
  </si>
  <si>
    <t xml:space="preserve">BASF SA PTY LTD                         </t>
  </si>
  <si>
    <t xml:space="preserve">NATIONAL CERAMIC INDUSTRIES SA          </t>
  </si>
  <si>
    <t>BABELEGI</t>
  </si>
  <si>
    <t xml:space="preserve">ILLOVO SUGAR LTD - SEZELA               </t>
  </si>
  <si>
    <t>MOUNT EDGECOMBE</t>
  </si>
  <si>
    <t xml:space="preserve">HULAMIN OPERATIONS PTY LTD              </t>
  </si>
  <si>
    <t xml:space="preserve">STEELWOOD INTERNATIONAL PTY LTD         </t>
  </si>
  <si>
    <t>LANSERIA</t>
  </si>
  <si>
    <t xml:space="preserve">GREG PERKS                              </t>
  </si>
  <si>
    <t>PLETTENBERG BAY</t>
  </si>
  <si>
    <t xml:space="preserve">SCHAEFFLER SOUTH AFRICA                 </t>
  </si>
  <si>
    <t>ESTADEAL</t>
  </si>
  <si>
    <t xml:space="preserve">EVEREADY (PTY) LTD                      </t>
  </si>
  <si>
    <t xml:space="preserve">BEARING &amp; HYDRAULIC SPARES              </t>
  </si>
  <si>
    <t>OLIFANTSFONTEIN</t>
  </si>
  <si>
    <t xml:space="preserve">ACTISOL CC T/A EX-ES GENERAL            </t>
  </si>
  <si>
    <t xml:space="preserve">CLURE PROJECTS CC                       </t>
  </si>
  <si>
    <t xml:space="preserve">S4 INTEGRATION (PTY) LTD                </t>
  </si>
  <si>
    <t xml:space="preserve">BMG EAST LONDON                         </t>
  </si>
  <si>
    <t xml:space="preserve">PROMAX                                  </t>
  </si>
  <si>
    <t>PRETORIA</t>
  </si>
  <si>
    <t xml:space="preserve">MERCEDES - BENZ S.A LIMITED             </t>
  </si>
  <si>
    <t xml:space="preserve">MECHATRONICS                            </t>
  </si>
  <si>
    <t xml:space="preserve">SHATTERPRUFE TRADING SA                 </t>
  </si>
  <si>
    <t xml:space="preserve">TOP LINE STEEL SYSTEMS CC               </t>
  </si>
  <si>
    <t xml:space="preserve">BEIER ENVIROTEC                         </t>
  </si>
  <si>
    <t xml:space="preserve">EAST COAST INSTRUMENTATION SALES        </t>
  </si>
  <si>
    <t xml:space="preserve">CONVEYALL NATAL CC                      </t>
  </si>
  <si>
    <t xml:space="preserve">BEARING MAN GROUP (PTY)LTD              </t>
  </si>
  <si>
    <t xml:space="preserve">ISOFA / STROCAM                         </t>
  </si>
  <si>
    <t>SUNDERLAND RIDGE</t>
  </si>
  <si>
    <t xml:space="preserve">WATCH TOWER BIBLE TRACT SOCIETY OF SA   </t>
  </si>
  <si>
    <t>RANGEVIEW</t>
  </si>
  <si>
    <t xml:space="preserve">AUTOLIV SA                              </t>
  </si>
  <si>
    <t>CHAMDOR</t>
  </si>
  <si>
    <t xml:space="preserve">CASH ACC-CARMAKY GROUP                  </t>
  </si>
  <si>
    <t>CSM BEARING AND PNEUMATIC SUPPLIES PTY L</t>
  </si>
  <si>
    <t xml:space="preserve">PRODUCTIVE SYSTEMS CC                   </t>
  </si>
  <si>
    <t>ROOIHUISKRAAL</t>
  </si>
  <si>
    <t xml:space="preserve">AGM 2 TRUST                             </t>
  </si>
  <si>
    <t>LOTHAIR</t>
  </si>
  <si>
    <t xml:space="preserve">HYBAR CC                                </t>
  </si>
  <si>
    <t xml:space="preserve">Slk Bolt And Nuts                       </t>
  </si>
  <si>
    <t>SELBY</t>
  </si>
  <si>
    <t xml:space="preserve">THERMITEC CC                            </t>
  </si>
  <si>
    <t xml:space="preserve">ABI DIV OF SAB LTD                      </t>
  </si>
  <si>
    <t>PHOENIX INDUSTRIAL AREA</t>
  </si>
  <si>
    <t xml:space="preserve">TECHNOVAA PACKAGING                     </t>
  </si>
  <si>
    <t xml:space="preserve">VEOLIA WATER SOLUTIONS &amp;-               </t>
  </si>
  <si>
    <t>KEMPTON PARK</t>
  </si>
  <si>
    <t xml:space="preserve">ROBOTIC HANDLING SYSTEM Cc              </t>
  </si>
  <si>
    <t>ARAUNA</t>
  </si>
  <si>
    <t xml:space="preserve">PREMIER FMCG (PTY) LTD                  </t>
  </si>
  <si>
    <t>KROONSTAD</t>
  </si>
  <si>
    <t xml:space="preserve">QUALIPAK (PTY) LTD                      </t>
  </si>
  <si>
    <t xml:space="preserve">PFG BUILDING GLASS                      </t>
  </si>
  <si>
    <t>SPRINGS</t>
  </si>
  <si>
    <t xml:space="preserve">KELLOGGS CO OF SA                       </t>
  </si>
  <si>
    <t>NEW ERA</t>
  </si>
  <si>
    <t xml:space="preserve">BMS ENGINEERING                         </t>
  </si>
  <si>
    <t>DURBANVILLE</t>
  </si>
  <si>
    <t xml:space="preserve">HYDRAQUIP                               </t>
  </si>
  <si>
    <t>DAL JOSAFAT</t>
  </si>
  <si>
    <t xml:space="preserve">PREMIER FMCG                            </t>
  </si>
  <si>
    <t xml:space="preserve">ORION INGENIEURSWERKE                   </t>
  </si>
  <si>
    <t>PRETORIA NORTH</t>
  </si>
  <si>
    <t xml:space="preserve">BORBET SA (PTY) LTD                     </t>
  </si>
  <si>
    <t xml:space="preserve">ETVAAL MEUBELVERVAARDIGERS              </t>
  </si>
  <si>
    <t>BRONKHORSTSPRUIT</t>
  </si>
  <si>
    <t xml:space="preserve">CONRO PRECISION                         </t>
  </si>
  <si>
    <t xml:space="preserve">TUPPERWARE SA                           </t>
  </si>
  <si>
    <t xml:space="preserve">PFERD SA PTY LTD                        </t>
  </si>
  <si>
    <t>SPARTAN</t>
  </si>
  <si>
    <t xml:space="preserve">ACTOM PTY LTD                           </t>
  </si>
  <si>
    <t xml:space="preserve">FIRST QUANTUM MINERALS SA (PTY) LTD     </t>
  </si>
  <si>
    <t xml:space="preserve">INDIGO BRANDS (PTY)LTD                  </t>
  </si>
  <si>
    <t xml:space="preserve">RCL FOODCORP (PTY) LTD                  </t>
  </si>
  <si>
    <t>ALBANY BAKERY A DIVISION OF TIGER BRANDS</t>
  </si>
  <si>
    <t>ALBANY BAKERIES A DIVISION OF TIGER BRAN</t>
  </si>
  <si>
    <t>MANABA BEACH</t>
  </si>
  <si>
    <t xml:space="preserve">BAGTECH INTERNATIONAL (PTY)LTD          </t>
  </si>
  <si>
    <t>Durban</t>
  </si>
  <si>
    <t xml:space="preserve">MERCEDES BENZ SOUTH AFRICA LIMITED      </t>
  </si>
  <si>
    <t>GATELY TSP</t>
  </si>
  <si>
    <t xml:space="preserve">OFFSET PRESS SUPPLIES (PTY) LTD         </t>
  </si>
  <si>
    <t>KILLARNEY GARDENS</t>
  </si>
  <si>
    <t xml:space="preserve">COCA -COLA BEVERAGES SOUTH AFRICA (PTY) </t>
  </si>
  <si>
    <t>PHOENIX INDUSTRIAL PARK</t>
  </si>
  <si>
    <t xml:space="preserve">LEDA ENGINEERING SERVICES CC            </t>
  </si>
  <si>
    <t xml:space="preserve">AVION EAST RAND PTY LTD                 </t>
  </si>
  <si>
    <t xml:space="preserve">CHEMLINK SA (PTY) LTD                   </t>
  </si>
  <si>
    <t>DALESIDE</t>
  </si>
  <si>
    <t xml:space="preserve">GUD HOLDINGS PE                         </t>
  </si>
  <si>
    <t xml:space="preserve">DALEIN AGRI PLAN PTY LTD                </t>
  </si>
  <si>
    <t>LEEUWFONTEIN</t>
  </si>
  <si>
    <t xml:space="preserve">STRAIT ACCESS TECHNOLOGIES HOLDINGS     </t>
  </si>
  <si>
    <t>OBSERVATORY</t>
  </si>
  <si>
    <t xml:space="preserve">S.A.M.E WATER                           </t>
  </si>
  <si>
    <t>ALBERTON</t>
  </si>
  <si>
    <t xml:space="preserve">AEL MINING SERVICES LIMITED             </t>
  </si>
  <si>
    <t>MODDERFONTEIN</t>
  </si>
  <si>
    <t xml:space="preserve">FLS TECHNICAL SERVICE                   </t>
  </si>
  <si>
    <t>LAKESIDE</t>
  </si>
  <si>
    <t xml:space="preserve">NATIONAL BRANDS LIMITED                 </t>
  </si>
  <si>
    <t xml:space="preserve">COLGATE PALMOLIVE LTD                   </t>
  </si>
  <si>
    <t xml:space="preserve">GRIPPER &amp; CO (PTY) LTD                  </t>
  </si>
  <si>
    <t xml:space="preserve">FILKRAFT ( PTY) LTD                     </t>
  </si>
  <si>
    <t xml:space="preserve">UNIVERSITY OF STELLENBOSCH-CREDITORS    </t>
  </si>
  <si>
    <t xml:space="preserve">REHAU POLYMER (PTY) LTD                 </t>
  </si>
  <si>
    <t>FORT JACKSON</t>
  </si>
  <si>
    <t xml:space="preserve">TITUS CONSULTING Cc                     </t>
  </si>
  <si>
    <t>GONUBIE</t>
  </si>
  <si>
    <t xml:space="preserve">SUNTEX PTY LTD                          </t>
  </si>
  <si>
    <t>BUTTERWORTH EXT 7</t>
  </si>
  <si>
    <t xml:space="preserve">USS PACTECH PTY LTD                     </t>
  </si>
  <si>
    <t>BRYANSTON</t>
  </si>
  <si>
    <t xml:space="preserve">MPACT PLASTICS COMPRESSION MOULDING     </t>
  </si>
  <si>
    <t xml:space="preserve">PHARMACARE LTD T/A ASPEN                </t>
  </si>
  <si>
    <t xml:space="preserve">MICROMATH TRADING 168 CC                </t>
  </si>
  <si>
    <t xml:space="preserve">NESTLE SOUTH AFRICA (PTY) LTD           </t>
  </si>
  <si>
    <t xml:space="preserve">SOUTHERN PULP MACHINERY                 </t>
  </si>
  <si>
    <t xml:space="preserve">MONDI LIMITED                           </t>
  </si>
  <si>
    <t>MEREBANK</t>
  </si>
  <si>
    <t xml:space="preserve">PARMALAT SA                             </t>
  </si>
  <si>
    <t>KYALAMI</t>
  </si>
  <si>
    <t xml:space="preserve">DICKON HALL FOODS                       </t>
  </si>
  <si>
    <t>SOUTHDALE</t>
  </si>
  <si>
    <t xml:space="preserve">AGV MANAGEMENT                          </t>
  </si>
  <si>
    <t>IRENE</t>
  </si>
  <si>
    <t xml:space="preserve">UNILEVER SOUTH AFRICA (PTY)LTD          </t>
  </si>
  <si>
    <t>MAYDON WHARF</t>
  </si>
  <si>
    <t xml:space="preserve">UNILEVER SA PTY LTD                     </t>
  </si>
  <si>
    <t xml:space="preserve">ENTERPRISE FOODS                        </t>
  </si>
  <si>
    <t xml:space="preserve">CBI ELECTRIC TELECOM CABLES             </t>
  </si>
  <si>
    <t>BRITS</t>
  </si>
  <si>
    <t xml:space="preserve">TOYOTA BOSHOKU SA PTY LTD               </t>
  </si>
  <si>
    <t xml:space="preserve">FAMOUS BRANDS MANAGEMENT                </t>
  </si>
  <si>
    <t>MIDRAND</t>
  </si>
  <si>
    <t xml:space="preserve">THE COMBUSTION GROUP (PTY) LTD          </t>
  </si>
  <si>
    <t xml:space="preserve">VEOLIA WATER SOLUTIONS                  </t>
  </si>
  <si>
    <t xml:space="preserve">APPLIED COATING TECHNOLOGIES SA         </t>
  </si>
  <si>
    <t>MEADOWDALE</t>
  </si>
  <si>
    <t xml:space="preserve">SHATTERPRUFE TRADING AS A               </t>
  </si>
  <si>
    <t xml:space="preserve">JOHNSON MATTHEY PTY LTD                 </t>
  </si>
  <si>
    <t>GERMISTON SOUTH</t>
  </si>
  <si>
    <t xml:space="preserve">BMW ROSSLYN                             </t>
  </si>
  <si>
    <t xml:space="preserve">FV PACKING SYSTEM                       </t>
  </si>
  <si>
    <t>ALLANDALE EXT 11</t>
  </si>
  <si>
    <t xml:space="preserve">MITTAL STEEL SOUTH AFRICA LIMITED       </t>
  </si>
  <si>
    <t xml:space="preserve">JONKER SAILPLANES (PTY)LTD              </t>
  </si>
  <si>
    <t xml:space="preserve">INDUSTRIAL CONTROL AUTOMATION           </t>
  </si>
  <si>
    <t xml:space="preserve">LIQUI BOX                               </t>
  </si>
  <si>
    <t>ATHLONE</t>
  </si>
  <si>
    <t>TIGER BRANDS SNACKS &amp; TREATS &amp; BEVERAGES</t>
  </si>
  <si>
    <t xml:space="preserve">THE SIMBA GROUP PTY LTD                 </t>
  </si>
  <si>
    <t xml:space="preserve">UMICORE CATALYST SA PTY LTD             </t>
  </si>
  <si>
    <t>DEAL PARTY</t>
  </si>
  <si>
    <t xml:space="preserve">TRUDA SNACKS                            </t>
  </si>
  <si>
    <t xml:space="preserve">FOODCORP PTY LTD MILLING                </t>
  </si>
  <si>
    <t xml:space="preserve">HYDROMATIC ENTERPRISES PTY LTD          </t>
  </si>
  <si>
    <t>MARBURG</t>
  </si>
  <si>
    <t xml:space="preserve">FEDERAL MOGUL ENGINE BEARINGS (PTY) LTD </t>
  </si>
  <si>
    <t xml:space="preserve">IRVIN &amp; JONSON LTD                      </t>
  </si>
  <si>
    <t xml:space="preserve">METIER MIXED CONCRETE                   </t>
  </si>
  <si>
    <t>PHOENIX</t>
  </si>
  <si>
    <t xml:space="preserve">PROGETTO INTERNATIONAL                  </t>
  </si>
  <si>
    <t xml:space="preserve">JFE ELECTRONIC ENGINEERING              </t>
  </si>
  <si>
    <t>BEACONVALE</t>
  </si>
  <si>
    <t xml:space="preserve">ACAP HYDRO PNEUMATIC SUPPLY CC          </t>
  </si>
  <si>
    <t xml:space="preserve">LADYSMITH TRADING CO.                   </t>
  </si>
  <si>
    <t>LADYSMITH</t>
  </si>
  <si>
    <t xml:space="preserve">CHEMPLUS CC                             </t>
  </si>
  <si>
    <t>ROODEPOORT</t>
  </si>
  <si>
    <t xml:space="preserve">ALBANY BAKERIES A DIVISION OF TIGER-    </t>
  </si>
  <si>
    <t xml:space="preserve">RESCUE TECHNOLOGY CC                    </t>
  </si>
  <si>
    <t xml:space="preserve">ISOWAL SA PTY LTD                       </t>
  </si>
  <si>
    <t xml:space="preserve">BUILD IT BETLHEHEM                      </t>
  </si>
  <si>
    <t>BETHLEHEM</t>
  </si>
  <si>
    <t xml:space="preserve">DYNAMIC FLUID CONTROL                   </t>
  </si>
  <si>
    <t xml:space="preserve">FORD MOTORING CO OF SA                  </t>
  </si>
  <si>
    <t xml:space="preserve">NEOPAK                                  </t>
  </si>
  <si>
    <t xml:space="preserve">NNOVATIVE AUTOMATION (PTY)LTD           </t>
  </si>
  <si>
    <t xml:space="preserve">WEBBING PRODUCTS                        </t>
  </si>
  <si>
    <t>COCKETTS HOPE</t>
  </si>
  <si>
    <t xml:space="preserve">AQUAPLAN CC                             </t>
  </si>
  <si>
    <t>POMONA</t>
  </si>
  <si>
    <t xml:space="preserve">NEOPAK PTY LTD                          </t>
  </si>
  <si>
    <t xml:space="preserve">UNILIVER                                </t>
  </si>
  <si>
    <t xml:space="preserve">AM SYSTEMS INTEGRATION                  </t>
  </si>
  <si>
    <t>BOKSBURG EAST</t>
  </si>
  <si>
    <t xml:space="preserve">PREMIER FMCG (PTY)LTD                   </t>
  </si>
  <si>
    <t xml:space="preserve">HIGH FORCE HYDRAULIC PNEUMATIC &amp;        </t>
  </si>
  <si>
    <t>RETREAT</t>
  </si>
  <si>
    <t xml:space="preserve">BALLENA TRADING 31 PTY LTD              </t>
  </si>
  <si>
    <t xml:space="preserve">VANESCO PTY LTD                         </t>
  </si>
  <si>
    <t>ROBERTVILLE</t>
  </si>
  <si>
    <t xml:space="preserve">CONSOLIDATED WIRE INDUSTRIES (PTY) LTD  </t>
  </si>
  <si>
    <t xml:space="preserve">CNL INDUSTRIAL MINING SUPPLIES          </t>
  </si>
  <si>
    <t>CARLETONVILLE</t>
  </si>
  <si>
    <t xml:space="preserve">AUTOMA MULTI STYRENE                    </t>
  </si>
  <si>
    <t xml:space="preserve">MARCOM PLASTICS CC                      </t>
  </si>
  <si>
    <t xml:space="preserve">HALEWOOD INTERNATIONAL                  </t>
  </si>
  <si>
    <t>APEX INDUSTRIAL</t>
  </si>
  <si>
    <t xml:space="preserve">SPRINGS BEE GEE ELECT WHOLE CC          </t>
  </si>
  <si>
    <t xml:space="preserve">REGRADE MASTERS                         </t>
  </si>
  <si>
    <t>BOKSBURG NORTH</t>
  </si>
  <si>
    <t xml:space="preserve">NESTLE SA                               </t>
  </si>
  <si>
    <t>HAMMANSKRAAL</t>
  </si>
  <si>
    <t xml:space="preserve">TRANSVAAL HYDRAULICS                    </t>
  </si>
  <si>
    <t xml:space="preserve">ATELIER SA PTY LTD                      </t>
  </si>
  <si>
    <t xml:space="preserve">CTP GRAVURE                             </t>
  </si>
  <si>
    <t xml:space="preserve">HULAMIN OPERATIONTS PTY LTD             </t>
  </si>
  <si>
    <t xml:space="preserve">NORMANDIEN FARMS                        </t>
  </si>
  <si>
    <t>THORNVILLE</t>
  </si>
  <si>
    <t xml:space="preserve">IMARA AUTOMATION                        </t>
  </si>
  <si>
    <t>SIDWELL</t>
  </si>
  <si>
    <t xml:space="preserve">BEARING MAN GROUP T/A BMG 0901          </t>
  </si>
  <si>
    <t xml:space="preserve">BEARING &amp; ACCESSORIES CC                </t>
  </si>
  <si>
    <t xml:space="preserve">MACSTEEL COIL PROCESSING                </t>
  </si>
  <si>
    <t xml:space="preserve">PRIME INTERNATINAL TRDAING              </t>
  </si>
  <si>
    <t>SANDTON</t>
  </si>
  <si>
    <t xml:space="preserve">MARTIN &amp; MARTIN PTY LTD                 </t>
  </si>
  <si>
    <t xml:space="preserve">MAXION WHEELS SA                        </t>
  </si>
  <si>
    <t xml:space="preserve">PAILPAC PTY LTD                         </t>
  </si>
  <si>
    <t>GILLITTS</t>
  </si>
  <si>
    <t xml:space="preserve">RG BROSE AUTOMOTIVE COMPONENTS          </t>
  </si>
  <si>
    <t xml:space="preserve">AFGRI POULTRY (PTY)LTD                  </t>
  </si>
  <si>
    <t>SUNDRA</t>
  </si>
  <si>
    <t xml:space="preserve">BBF SAFETY GROUP PTY LTD                </t>
  </si>
  <si>
    <t xml:space="preserve">MR CARRIERS                             </t>
  </si>
  <si>
    <t>CLAIRWOOD</t>
  </si>
  <si>
    <t xml:space="preserve">RCL FOODS CONSUMER (PTY)LTD             </t>
  </si>
  <si>
    <t>HAMMARSDALE</t>
  </si>
  <si>
    <t xml:space="preserve">SANMIK AGENCIES CC                      </t>
  </si>
  <si>
    <t>GEORGE INDUSTRIA</t>
  </si>
  <si>
    <t xml:space="preserve">GSK CONSUMER HEALTHCARE SA PTY LTD      </t>
  </si>
  <si>
    <t xml:space="preserve">DNH MANUFACTURING (PTY) LTD             </t>
  </si>
  <si>
    <t xml:space="preserve">ADIENT PASDEC PTY                       </t>
  </si>
  <si>
    <t xml:space="preserve">ACK SOLUTIONS PTY LTD                   </t>
  </si>
  <si>
    <t xml:space="preserve">POLYOAK PACKAGING (PTY) LTD             </t>
  </si>
  <si>
    <t>DIEP RIVER</t>
  </si>
  <si>
    <t xml:space="preserve">C &amp; M HYDRAULIC SERVICES                </t>
  </si>
  <si>
    <t xml:space="preserve">EBERSPACHER SOUTH AFRICA (PTY) LTD      </t>
  </si>
  <si>
    <t xml:space="preserve">HYBRID AUTOMATION CC                    </t>
  </si>
  <si>
    <t>BRIARDENE</t>
  </si>
  <si>
    <t xml:space="preserve">PNEUMATIC AID                           </t>
  </si>
  <si>
    <t xml:space="preserve">PRODUCTIVE ENGINEERING CC               </t>
  </si>
  <si>
    <t>CAPE TOWN</t>
  </si>
  <si>
    <t xml:space="preserve">GRW ENGINEERING PTY LTD                 </t>
  </si>
  <si>
    <t>BELLVILLE</t>
  </si>
  <si>
    <t xml:space="preserve">ACCUTECH WEIGHING SERVICES              </t>
  </si>
  <si>
    <t xml:space="preserve">MERPAK ENVELOPES                        </t>
  </si>
  <si>
    <t xml:space="preserve">NON FERROUS METAL WORKS                 </t>
  </si>
  <si>
    <t>KERRY INGREDIENTS SOUTH AFRICA (PTY) LTD</t>
  </si>
  <si>
    <t xml:space="preserve">TRANSNET ENGINEERING                    </t>
  </si>
  <si>
    <t xml:space="preserve">EMENEM INDUSTRIAL CC                    </t>
  </si>
  <si>
    <t xml:space="preserve">EVERITE BUILDING DIVISION               </t>
  </si>
  <si>
    <t xml:space="preserve">TOTAL MINING CC                         </t>
  </si>
  <si>
    <t xml:space="preserve">KOOGAN PLASTICS                         </t>
  </si>
  <si>
    <t>LENASIA</t>
  </si>
  <si>
    <t xml:space="preserve">PRO PROJECT ENGINEERING                 </t>
  </si>
  <si>
    <t>KUILS RIVER</t>
  </si>
  <si>
    <t xml:space="preserve">CIRCUIT BREAKER INDUSTRIES PTY LTD      </t>
  </si>
  <si>
    <t xml:space="preserve">PPC CEMENT SA (PTY)LTD                  </t>
  </si>
  <si>
    <t>HERIOTDALE</t>
  </si>
  <si>
    <t xml:space="preserve">M &amp; C BEARINGS &amp; TRANSMISSION           </t>
  </si>
  <si>
    <t>NIGEL</t>
  </si>
  <si>
    <t xml:space="preserve">GREIF SA PTY LTD                        </t>
  </si>
  <si>
    <t xml:space="preserve">SAINT GOBAIN CONSTRUCTION PRODUCTS      </t>
  </si>
  <si>
    <t xml:space="preserve">FESTO PLZ                               </t>
  </si>
  <si>
    <t>NEWTON PARK</t>
  </si>
  <si>
    <t xml:space="preserve">NJC MANUFACTURING (PTY) LTD             </t>
  </si>
  <si>
    <t>TERENURE</t>
  </si>
  <si>
    <t xml:space="preserve">L'OREAL MANUFACTURING (PTY)LTD          </t>
  </si>
  <si>
    <t xml:space="preserve">CHET CHEMICALS A DIV OF                 </t>
  </si>
  <si>
    <t xml:space="preserve">LINDE + WIEMANN (PTY) LTD               </t>
  </si>
  <si>
    <t xml:space="preserve">PREFORMED LINE PRODUCTS SA              </t>
  </si>
  <si>
    <t xml:space="preserve">SMITHS MANUFACTURING PTY LTD            </t>
  </si>
  <si>
    <t xml:space="preserve">FELTEX AUTOMOTIVE DIVISION              </t>
  </si>
  <si>
    <t xml:space="preserve">MARLEY SA PTY LTD                       </t>
  </si>
  <si>
    <t xml:space="preserve">VOMAK INDUSTRIAL                        </t>
  </si>
  <si>
    <t>ALBEMARLE</t>
  </si>
  <si>
    <t xml:space="preserve">SETON SA PTY LTD                        </t>
  </si>
  <si>
    <t>VORSTERSKROON</t>
  </si>
  <si>
    <t xml:space="preserve">NEUMATICS KZN                           </t>
  </si>
  <si>
    <t>UMBILO</t>
  </si>
  <si>
    <t xml:space="preserve">ADCOCK INGRAM HEALTHCARE                </t>
  </si>
  <si>
    <t xml:space="preserve">NOVUS PRINT (PTY) LTD                   </t>
  </si>
  <si>
    <t>CITY DEEP</t>
  </si>
  <si>
    <t xml:space="preserve">NATIONAL BIOPRODUCTS INST               </t>
  </si>
  <si>
    <t xml:space="preserve">SEECOR BLOW MOULDERS                    </t>
  </si>
  <si>
    <t>VIKING VILLAGE</t>
  </si>
  <si>
    <t xml:space="preserve">SMMF SOFTWARE TECHNOLOGIES              </t>
  </si>
  <si>
    <t xml:space="preserve">DURR SOUTH AFRICA                       </t>
  </si>
  <si>
    <t>FRAMESBY</t>
  </si>
  <si>
    <t xml:space="preserve">PETROLEUM REPAIR                        </t>
  </si>
  <si>
    <t xml:space="preserve">RYMCO PTY LTD T/A ANCHOR YEAST          </t>
  </si>
  <si>
    <t>INDUSTRIA</t>
  </si>
  <si>
    <t xml:space="preserve">STAR HYDRAULICS &amp; PNEUMATICS            </t>
  </si>
  <si>
    <t>DUNCANVILLE</t>
  </si>
  <si>
    <t xml:space="preserve">SASOL INFRACHEM                         </t>
  </si>
  <si>
    <t>WENTWORTH</t>
  </si>
  <si>
    <t xml:space="preserve">JOHN BEAN TECHNOLOGIES PTY LTD          </t>
  </si>
  <si>
    <t xml:space="preserve">WHIRLPOOL S.A                           </t>
  </si>
  <si>
    <t>ISITHEBE</t>
  </si>
  <si>
    <t xml:space="preserve">SUPERIOR PACKAGING INDUSTRIES (PTY) LTD </t>
  </si>
  <si>
    <t>NDABENI</t>
  </si>
  <si>
    <t xml:space="preserve">Saint-Gobain Construction Products      </t>
  </si>
  <si>
    <t xml:space="preserve">RCL FOODS CONSUMER (PTY) LTD            </t>
  </si>
  <si>
    <t xml:space="preserve">WILMAR CONTINENTAL EDIBLE OILS          </t>
  </si>
  <si>
    <t xml:space="preserve">RCL FOODS CONSUMER BEVERAGES            </t>
  </si>
  <si>
    <t>PRETORIA WEST</t>
  </si>
  <si>
    <t xml:space="preserve">VENUS STAR 120CC                        </t>
  </si>
  <si>
    <t xml:space="preserve">KIMBERLY CLARK                          </t>
  </si>
  <si>
    <t xml:space="preserve">UNIVERSAL AUTOMATED SYSTEMS PTY LTD     </t>
  </si>
  <si>
    <t>HONEY DEW</t>
  </si>
  <si>
    <t xml:space="preserve">BRITISH AMERICAN TOBACCO SA (PTY) LTD   </t>
  </si>
  <si>
    <t xml:space="preserve">PPC CEMENT SA (PTY) LTD                 </t>
  </si>
  <si>
    <t>DWAALBOOM</t>
  </si>
  <si>
    <t xml:space="preserve">CONSUPAQ (PTY) LTD                      </t>
  </si>
  <si>
    <t>DURBAN NORTH</t>
  </si>
  <si>
    <t xml:space="preserve">TIGER BRANDS CHOCOLATE UNIT             </t>
  </si>
  <si>
    <t xml:space="preserve">GRINDING MEDIA SOUTH AFRICA             </t>
  </si>
  <si>
    <t xml:space="preserve">SPIRAX SARCO SA                         </t>
  </si>
  <si>
    <t xml:space="preserve">THYSSENKRUPP SOUTH AFRICA               </t>
  </si>
  <si>
    <t>SUNNINGHILL</t>
  </si>
  <si>
    <t xml:space="preserve">DUNLOP INDUSTRIAL PRODUCTS PTY LTD      </t>
  </si>
  <si>
    <t xml:space="preserve">ISEGEN S. A                             </t>
  </si>
  <si>
    <t xml:space="preserve">ISUZU MOTORS S.A (PTY)LTD               </t>
  </si>
  <si>
    <t xml:space="preserve">TSITSIKAMMA CRYSTAL WATER               </t>
  </si>
  <si>
    <t>TSITSIKAMMA</t>
  </si>
  <si>
    <t xml:space="preserve">CFW INDUSTRIES (PTY) LTD                </t>
  </si>
  <si>
    <t>PAROW INDUSTRIA</t>
  </si>
  <si>
    <t xml:space="preserve">0017063719 G.U.D Holding                </t>
  </si>
  <si>
    <t xml:space="preserve">ILLOVO SUGAR LTD DALTON                 </t>
  </si>
  <si>
    <t>DALTON</t>
  </si>
  <si>
    <t xml:space="preserve">UNILEVER SA                             </t>
  </si>
  <si>
    <t xml:space="preserve">DR OETKER SOUTH AFRICA (PTY) L.T.D      </t>
  </si>
  <si>
    <t xml:space="preserve">SPRING MEADOW DAIRY FARM (PTY)LTD       </t>
  </si>
  <si>
    <t>NOTTINGHAM ROAD</t>
  </si>
  <si>
    <t xml:space="preserve">SAPPI SA LTD                            </t>
  </si>
  <si>
    <t xml:space="preserve">ENTYCE BEVERAGES                        </t>
  </si>
  <si>
    <t xml:space="preserve">CRABTREE ELECTRICAL ACCESSORIE          </t>
  </si>
  <si>
    <t xml:space="preserve">GROUP 1 ENGENEERING INTERNATIONAL       </t>
  </si>
  <si>
    <t xml:space="preserve">POWER TEAM SA (PTY) L.T.D               </t>
  </si>
  <si>
    <t xml:space="preserve">INDOCO REMEDIES                         </t>
  </si>
  <si>
    <t>BEDFORDVIEW</t>
  </si>
  <si>
    <t xml:space="preserve">ADCOCK INGRAM CRITICAL CARE PTY LTD     </t>
  </si>
  <si>
    <t xml:space="preserve">IDWALA CARBONATES                       </t>
  </si>
  <si>
    <t>NEWLANDS</t>
  </si>
  <si>
    <t xml:space="preserve">UMOYA AUTOMATION CC                     </t>
  </si>
  <si>
    <t>ALBERTON NORTH</t>
  </si>
  <si>
    <t xml:space="preserve">GRANROTH (PTY)LTD                       </t>
  </si>
  <si>
    <t xml:space="preserve">METROCAS CC                             </t>
  </si>
  <si>
    <t>VORNA VALLEY</t>
  </si>
  <si>
    <t xml:space="preserve">RECKITT BENCKISER SA                    </t>
  </si>
  <si>
    <t xml:space="preserve">KRONES SA PTY LTD                       </t>
  </si>
  <si>
    <t xml:space="preserve">COCA COLA CANNERS OF SA                 </t>
  </si>
  <si>
    <t xml:space="preserve">DEW CRISP PTY LTD                       </t>
  </si>
  <si>
    <t>BEYERS NAUDE</t>
  </si>
  <si>
    <t xml:space="preserve">FOODCORP PTY LTD                        </t>
  </si>
  <si>
    <t xml:space="preserve">STARLIGHT WHOLESALERS                   </t>
  </si>
  <si>
    <t xml:space="preserve">RCL FOODS SUGAR &amp; MILLING PTY LTD       </t>
  </si>
  <si>
    <t xml:space="preserve">MUDI APPLIEDTECHNOLOGY                  </t>
  </si>
  <si>
    <t xml:space="preserve">ILLOVO SUGAR LTD-SEZELA                 </t>
  </si>
  <si>
    <t xml:space="preserve">HENDOK DISTRIBUTION (PTY) LTD           </t>
  </si>
  <si>
    <t xml:space="preserve">RHEINMETALL LAINGSDALE (PTY) LTD        </t>
  </si>
  <si>
    <t xml:space="preserve">CRICKLEY DAIRY CC                       </t>
  </si>
  <si>
    <t>QUEENSTOWN</t>
  </si>
  <si>
    <t xml:space="preserve">TIGER CONSUMER BRANDS LTD               </t>
  </si>
  <si>
    <t xml:space="preserve">FORD MOTOR CO. SA MANUFACTURING         </t>
  </si>
  <si>
    <t xml:space="preserve">FAIR CAPE DAIRIES (PTY) LTD             </t>
  </si>
  <si>
    <t xml:space="preserve">BMG PORT ELIZABETH 0142                 </t>
  </si>
  <si>
    <t xml:space="preserve">VIDEX WIRE PRODUCTS PTY LTD             </t>
  </si>
  <si>
    <t xml:space="preserve">UNILEVER S.A (PTY)LTD                   </t>
  </si>
  <si>
    <t xml:space="preserve">COCHRANE STEEL                          </t>
  </si>
  <si>
    <t xml:space="preserve">ALBANY BAKERY RANDFONTEIN               </t>
  </si>
  <si>
    <t xml:space="preserve">LEONARD DIGLER (PTY)LTD                 </t>
  </si>
  <si>
    <t xml:space="preserve">VAAL FLUID SYSTEMS SA (PTY) LTD         </t>
  </si>
  <si>
    <t>VEREENIGING</t>
  </si>
  <si>
    <t xml:space="preserve">SIME DARBY HUDSON &amp; KINGHT              </t>
  </si>
  <si>
    <t xml:space="preserve">DALE TECHNICAL SERVICES (PTY) LTD       </t>
  </si>
  <si>
    <t>COSMO CITY</t>
  </si>
  <si>
    <t xml:space="preserve">SOUTHERN SERVICES CC                    </t>
  </si>
  <si>
    <t xml:space="preserve">PROPET S.A (PTY) LTD                    </t>
  </si>
  <si>
    <t xml:space="preserve">JACQUES DU PLESSIS                      </t>
  </si>
  <si>
    <t>AUDAS EST</t>
  </si>
  <si>
    <t xml:space="preserve">UNILEVER SOUTH AFRICA PTY LTD PMB TEA   </t>
  </si>
  <si>
    <t>WILLOWTON</t>
  </si>
  <si>
    <t xml:space="preserve">PRECISION METAL PRODUCTS                </t>
  </si>
  <si>
    <t xml:space="preserve">WINTERTIDE TRADING 69 CC                </t>
  </si>
  <si>
    <t xml:space="preserve">CLIFFORD MACHINES &amp; TECHNOLOGY PTY LTD  </t>
  </si>
  <si>
    <t xml:space="preserve">CAXTON WORKS                            </t>
  </si>
  <si>
    <t xml:space="preserve">TENNECO RIDE CONTROL SA                 </t>
  </si>
  <si>
    <t xml:space="preserve">BADER SA PTY LTD                        </t>
  </si>
  <si>
    <t>GARANKUWA</t>
  </si>
  <si>
    <t xml:space="preserve">COLUMBIT PTY /T/A INDUSTRIES            </t>
  </si>
  <si>
    <t xml:space="preserve">SABASTIAN ELECTRICAL WHOLESALE CC       </t>
  </si>
  <si>
    <t xml:space="preserve">CULINARY A DIV OF TIGER CONSUMER BRANDS </t>
  </si>
  <si>
    <t xml:space="preserve">MCCAIN FOOD SOUTH AFRICA PTY LTD        </t>
  </si>
  <si>
    <t>DELMAS EXT 1</t>
  </si>
  <si>
    <t xml:space="preserve">BEVCAN A DIV OF NAMPAK PRODUCT LTD      </t>
  </si>
  <si>
    <t>ECHAR CONSTRACTION EQUIPMENT MANUFACTURE</t>
  </si>
  <si>
    <t xml:space="preserve">UV + IR ENGINEERING PTY LTD             </t>
  </si>
  <si>
    <t xml:space="preserve">GOLDEN ERA PRINTER                      </t>
  </si>
  <si>
    <t>MOGWASE</t>
  </si>
  <si>
    <t xml:space="preserve">CDP MANUFACTURING CC                    </t>
  </si>
  <si>
    <t xml:space="preserve">MAVTECH                                 </t>
  </si>
  <si>
    <t xml:space="preserve">HALL LONGMORE HOLDINGS PTY LTD          </t>
  </si>
  <si>
    <t xml:space="preserve">ILLOVO SUGAR                            </t>
  </si>
  <si>
    <t xml:space="preserve">MAHLE BEHR SOUTH AFRCA (PTY) LTD        </t>
  </si>
  <si>
    <t>NEW GERMANY</t>
  </si>
  <si>
    <t xml:space="preserve">COCA COLA PENINSULA BEVERAGES           </t>
  </si>
  <si>
    <t xml:space="preserve">FUEL INDUSTRY SERVICES PTY LTD          </t>
  </si>
  <si>
    <t xml:space="preserve">PREMIER BAKERY                          </t>
  </si>
  <si>
    <t xml:space="preserve">GENERAL PNEUMATICS NATAL PTY LTD        </t>
  </si>
  <si>
    <t xml:space="preserve">ANDERSON ENGINEERING &amp;                  </t>
  </si>
  <si>
    <t xml:space="preserve">MISTER SWEET PTY LTD                    </t>
  </si>
  <si>
    <t xml:space="preserve">SMA ENGINEERING S.A. (PTY) LTD          </t>
  </si>
  <si>
    <t>WOODBROOK</t>
  </si>
  <si>
    <t xml:space="preserve">YANFENG SA AUTOMOTIVE                   </t>
  </si>
  <si>
    <t xml:space="preserve">BOYSEN EXHAUST TECHNOLOGY RSA (PTY) LTD </t>
  </si>
  <si>
    <t xml:space="preserve">MSG SYSTEMS                             </t>
  </si>
  <si>
    <t xml:space="preserve">G N MOTOR REWINDING                     </t>
  </si>
  <si>
    <t>PATENSIE</t>
  </si>
  <si>
    <t xml:space="preserve">POLYOAK PACKAGING                       </t>
  </si>
  <si>
    <t xml:space="preserve">CASCADE SALES &amp; DISTRIBUTION (PTY0 LTD  </t>
  </si>
  <si>
    <t xml:space="preserve">DISA                                    </t>
  </si>
  <si>
    <t xml:space="preserve">SIGNAL INSTRUMENTATION CC               </t>
  </si>
  <si>
    <t xml:space="preserve">AGRIPLAS                                </t>
  </si>
  <si>
    <t xml:space="preserve">I.M.S ENGINEERING                       </t>
  </si>
  <si>
    <t xml:space="preserve">ZF LEMFORDER SA (PTY)LTD                </t>
  </si>
  <si>
    <t xml:space="preserve">PELCHEM / NECSA PTY                     </t>
  </si>
  <si>
    <t>HARTBEESPOORT</t>
  </si>
  <si>
    <t xml:space="preserve">SEALED AIR AFRICA (PTY) LTD             </t>
  </si>
  <si>
    <t xml:space="preserve">GOLDMANN ENGINEERING CC                 </t>
  </si>
  <si>
    <t>PAARDEN ISLAND</t>
  </si>
  <si>
    <t xml:space="preserve">LESEDI SKILLS ACADEMY                   </t>
  </si>
  <si>
    <t xml:space="preserve">SHATTERPRUFE TRADING                    </t>
  </si>
  <si>
    <t xml:space="preserve">FILTEC AUTOMATION PTY LTD               </t>
  </si>
  <si>
    <t xml:space="preserve">SASOL CHEMICALS SA                      </t>
  </si>
  <si>
    <t>SASOLBURG</t>
  </si>
  <si>
    <t xml:space="preserve">VENTURE DIVERSIFIED PRODUCTS(PTY)LTD    </t>
  </si>
  <si>
    <t xml:space="preserve">AUTO INDUSTRIAL MACHINING               </t>
  </si>
  <si>
    <t xml:space="preserve">PLASTIC OMNIUM AUTO INERGY SA           </t>
  </si>
  <si>
    <t xml:space="preserve">KELPACK MANUFACTURING (PTY)LTD          </t>
  </si>
  <si>
    <t>RED HILL</t>
  </si>
  <si>
    <t xml:space="preserve">BEIR SAFETY FOOTWEAR A DIVISION OF      </t>
  </si>
  <si>
    <t xml:space="preserve">TONGAAT HULLETTS GROUP LTD              </t>
  </si>
  <si>
    <t>ROSSBURGH</t>
  </si>
  <si>
    <t xml:space="preserve">ROBOTIC INNOVATIONS PTY                 </t>
  </si>
  <si>
    <t>KROMBERG &amp; SCHUBERT CABLE &amp; WIRE PTY LTD</t>
  </si>
  <si>
    <t xml:space="preserve">WEIR MINERALS AFRICA                    </t>
  </si>
  <si>
    <t xml:space="preserve">CAVALETTO 98                            </t>
  </si>
  <si>
    <t xml:space="preserve">DUNLOP BELTING PRODUCTS PTY LTD         </t>
  </si>
  <si>
    <t xml:space="preserve">AUTO X PTY LTD                          </t>
  </si>
  <si>
    <t xml:space="preserve">NOVUS PRINT PTY LTD                     </t>
  </si>
  <si>
    <t xml:space="preserve">TOPLINE TOOLING (PTY)LTD                </t>
  </si>
  <si>
    <t xml:space="preserve">UNIVERSAL PAPER &amp; PLASTIC               </t>
  </si>
  <si>
    <t>GA-RANKUWA</t>
  </si>
  <si>
    <t xml:space="preserve">APPLE CONTROLS CC T/ A APPLECON         </t>
  </si>
  <si>
    <t>WATERGLEN</t>
  </si>
  <si>
    <t xml:space="preserve">PAARL PNEUMATICS CC                     </t>
  </si>
  <si>
    <t xml:space="preserve">PIONEER FOOD T/A ESCOURT MILL           </t>
  </si>
  <si>
    <t xml:space="preserve">FEDERAL MOGUL FRICTION PRODUCTS         </t>
  </si>
  <si>
    <t xml:space="preserve">TIGER CONSUMER BRANDS                   </t>
  </si>
  <si>
    <t xml:space="preserve">WOODLANDS RESOURCE RECOVERY PLANT       </t>
  </si>
  <si>
    <t>HUMANSDORP</t>
  </si>
  <si>
    <t xml:space="preserve">TIGER BRANDS SNACKS , TREANTS BEVERAGES </t>
  </si>
  <si>
    <t>ROODEKOP</t>
  </si>
  <si>
    <t xml:space="preserve">THE SIMBA GROUP                         </t>
  </si>
  <si>
    <t xml:space="preserve">BLUEBIRD MANUFACTURING 54 CC            </t>
  </si>
  <si>
    <t>SWARTRUGGENS</t>
  </si>
  <si>
    <t xml:space="preserve">BUHLER PTY LTD                          </t>
  </si>
  <si>
    <t xml:space="preserve">TIGER BRANDS                            </t>
  </si>
  <si>
    <t xml:space="preserve">KARAN BEEF (PTY) LTD                    </t>
  </si>
  <si>
    <t>BALFOUR</t>
  </si>
  <si>
    <t xml:space="preserve">INDECON CC                              </t>
  </si>
  <si>
    <t xml:space="preserve">EIS ENGINEERING &amp; IND SUPPLIES          </t>
  </si>
  <si>
    <t xml:space="preserve">ONESOURCE GENERSL                       </t>
  </si>
  <si>
    <t>CONSTANTIA KLOOF EXT 4</t>
  </si>
  <si>
    <t xml:space="preserve">SP AUTOMOTIVE PROFILE SCALING           </t>
  </si>
  <si>
    <t xml:space="preserve">INNOVATIVE MINING PRODUCTS (PTY)LTD     </t>
  </si>
  <si>
    <t xml:space="preserve">MALUTS PTY LTD                          </t>
  </si>
  <si>
    <t>WELLINGTON</t>
  </si>
  <si>
    <t xml:space="preserve">FONTANA MANUFACTURERS PTY LTD           </t>
  </si>
  <si>
    <t>UMKOMAAS</t>
  </si>
  <si>
    <t xml:space="preserve">SPECIAL FORMWORK (PTY) LTD              </t>
  </si>
  <si>
    <t xml:space="preserve">NESTLE SOUTH AFRICA (PTY)LTD            </t>
  </si>
  <si>
    <t>STANDERTON</t>
  </si>
  <si>
    <t xml:space="preserve">AUTOMATION TECHNIQUES                   </t>
  </si>
  <si>
    <t xml:space="preserve">TRM SUPPLIES CC                         </t>
  </si>
  <si>
    <t xml:space="preserve">BAYER PTY LTD                           </t>
  </si>
  <si>
    <t xml:space="preserve">VOLKSWAGEN OF SA (VC 3055)              </t>
  </si>
  <si>
    <t xml:space="preserve">CLOVER SA (PTY)LTD                      </t>
  </si>
  <si>
    <t xml:space="preserve">DG IMPEX CC                             </t>
  </si>
  <si>
    <t>KELVIN</t>
  </si>
  <si>
    <t xml:space="preserve">VALIDUS MEDICAL (PTY) LTD               </t>
  </si>
  <si>
    <t xml:space="preserve">COEGA DAIRY (PTY) LTD                   </t>
  </si>
  <si>
    <t>COEGA</t>
  </si>
  <si>
    <t xml:space="preserve">PAMODZI UNIQUE ENGINEERING              </t>
  </si>
  <si>
    <t>LILIANTON</t>
  </si>
  <si>
    <t xml:space="preserve">ACDC DYNAMICS CC                        </t>
  </si>
  <si>
    <t xml:space="preserve">PRIME INSTRUMENTATION CC                </t>
  </si>
  <si>
    <t xml:space="preserve">CAPE GATE                               </t>
  </si>
  <si>
    <t xml:space="preserve">GLEDHOW SUGAR CO. PTY LTD               </t>
  </si>
  <si>
    <t xml:space="preserve">KANTEY &amp; TEMPLER PTY LTD                </t>
  </si>
  <si>
    <t>WESTVILLE DURBAN</t>
  </si>
  <si>
    <t xml:space="preserve">OPTIMUSBIO PTY LTD                      </t>
  </si>
  <si>
    <t>BRUMMERIA</t>
  </si>
  <si>
    <t xml:space="preserve">CROWN CHICKENS (PTY) LTD                </t>
  </si>
  <si>
    <t xml:space="preserve">PREMIER FOODS (PTY) LTD                 </t>
  </si>
  <si>
    <t xml:space="preserve">S.G PLASTIC CONSTRUCION CC              </t>
  </si>
  <si>
    <t xml:space="preserve">BLENDCOR (PTY) LTD                      </t>
  </si>
  <si>
    <t>FYNNLAND</t>
  </si>
  <si>
    <t xml:space="preserve">NESTLE SOUTH AFRICA PTY LTD             </t>
  </si>
  <si>
    <t>ESTCOURT</t>
  </si>
  <si>
    <t xml:space="preserve">ADVANCED COMPRESSOR TECHNOLOGY          </t>
  </si>
  <si>
    <t xml:space="preserve">EASTERN TRADING CO.                     </t>
  </si>
  <si>
    <t>EIKENHOF</t>
  </si>
  <si>
    <t xml:space="preserve">PRIME INSTRUMENTATION Cc                </t>
  </si>
  <si>
    <t>KLERKSDORP</t>
  </si>
  <si>
    <t xml:space="preserve">MARCE FIRE FIGHTING TECHNOLOGY          </t>
  </si>
  <si>
    <t>LYTTELTON</t>
  </si>
  <si>
    <t xml:space="preserve">PRAGA TECHNICAL PTY LTD                 </t>
  </si>
  <si>
    <t xml:space="preserve">SANOFI INDUSTRIES SA (PTY)LTD           </t>
  </si>
  <si>
    <t xml:space="preserve">ATLANTIS FOUNDRY                        </t>
  </si>
  <si>
    <t>ATLANTIS</t>
  </si>
  <si>
    <t xml:space="preserve">JOHNSON AND JOHNSON (PTY) LTD           </t>
  </si>
  <si>
    <t xml:space="preserve">SERITI NEW VAAL COLLIERY                </t>
  </si>
  <si>
    <t xml:space="preserve">LABOTEC (PTY) LTD                       </t>
  </si>
  <si>
    <t>HALFWAY HOUSE</t>
  </si>
  <si>
    <t xml:space="preserve">PCS GLOBAL (PTY) LTD                    </t>
  </si>
  <si>
    <t>RANDJIES PARK</t>
  </si>
  <si>
    <t xml:space="preserve">ESKORT LTD                              </t>
  </si>
  <si>
    <t xml:space="preserve">VAKTIN HYDRAULICS (PTY)LTD              </t>
  </si>
  <si>
    <t xml:space="preserve">BLISS CHEMICALS                         </t>
  </si>
  <si>
    <t xml:space="preserve">PACKAGED METERING &amp; PUMPING SOLUTION CC </t>
  </si>
  <si>
    <t xml:space="preserve">MEGA - PAK                              </t>
  </si>
  <si>
    <t xml:space="preserve">TIME FREIGHT LADY SMITH                 </t>
  </si>
  <si>
    <t xml:space="preserve">ATC INNOVATION (PTY)LTD                 </t>
  </si>
  <si>
    <t xml:space="preserve">CLOVER MILKWAY (PTY)LTD                 </t>
  </si>
  <si>
    <t xml:space="preserve">ADCOCK INGRAM HEALTHCARE (PTY)LTD       </t>
  </si>
  <si>
    <t xml:space="preserve">HEUNIS STEEL PTY LTD                    </t>
  </si>
  <si>
    <t>KIRKNEY</t>
  </si>
  <si>
    <t xml:space="preserve">RHODES FOOD GROUP                       </t>
  </si>
  <si>
    <t xml:space="preserve">DISTELL (PTY)LTD                        </t>
  </si>
  <si>
    <t xml:space="preserve">MARLEY PIPE SYSTEMS SA PTY LTD          </t>
  </si>
  <si>
    <t xml:space="preserve">SENIOR FLEXONICS (SA) (PTY) LTD         </t>
  </si>
  <si>
    <t>THORNTON</t>
  </si>
  <si>
    <t>AIRPORT INDUSTRIA</t>
  </si>
  <si>
    <t xml:space="preserve">REHAU POLYMER PTY LTD                   </t>
  </si>
  <si>
    <t xml:space="preserve">PIONEER FOOD GROCERIES PTY LTD          </t>
  </si>
  <si>
    <t>CERES</t>
  </si>
  <si>
    <t xml:space="preserve">SKYNET RUSTENBURG                       </t>
  </si>
  <si>
    <t>Rustenburg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</si>
</sst>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4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2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9</xdr:col>
      <xdr:colOff>428625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777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20"/>
  <sheetViews>
    <sheetView tabSelected="1" topLeftCell="A1627" workbookViewId="0">
      <selection activeCell="B1642" sqref="B1642"/>
    </sheetView>
  </sheetViews>
  <sheetFormatPr defaultColWidth="10.7109375" defaultRowHeight="12.75"/>
  <cols>
    <col min="1" max="2" width="10.7109375" style="3" customWidth="1"/>
    <col min="3" max="3" width="11.7109375" style="3" bestFit="1" customWidth="1"/>
    <col min="4" max="4" width="6.28515625" style="3" customWidth="1"/>
    <col min="5" max="5" width="14" style="3" customWidth="1"/>
    <col min="6" max="10" width="10.7109375" style="3" customWidth="1"/>
    <col min="11" max="11" width="16.85546875" style="3" bestFit="1" customWidth="1"/>
    <col min="12" max="12" width="4.7109375" style="3" customWidth="1"/>
    <col min="13" max="13" width="6.7109375" style="3" customWidth="1"/>
    <col min="14" max="16384" width="10.7109375" style="3"/>
  </cols>
  <sheetData>
    <row r="1" spans="1:13" ht="41.25" customHeight="1">
      <c r="A1" s="1" t="s">
        <v>0</v>
      </c>
      <c r="B1" s="1" t="s">
        <v>1</v>
      </c>
      <c r="C1" s="20" t="s">
        <v>2</v>
      </c>
      <c r="D1" s="20"/>
      <c r="E1" s="20"/>
      <c r="F1" s="2"/>
      <c r="G1" s="2"/>
      <c r="H1" s="2"/>
      <c r="I1" s="2"/>
      <c r="J1" s="2"/>
      <c r="K1" s="2"/>
      <c r="L1" s="2"/>
      <c r="M1" s="2"/>
    </row>
    <row r="2" spans="1:13">
      <c r="A2" s="1" t="s">
        <v>3</v>
      </c>
      <c r="B2" s="4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1" t="s">
        <v>5</v>
      </c>
      <c r="B3" s="5">
        <v>0.70000000000000007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6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</row>
    <row r="6" spans="1:13">
      <c r="A6" s="7">
        <v>43803</v>
      </c>
      <c r="B6" s="8">
        <v>0.69513888888888886</v>
      </c>
      <c r="C6" s="2" t="str">
        <f>"FES1162726769"</f>
        <v>FES1162726769</v>
      </c>
      <c r="D6" s="2" t="s">
        <v>19</v>
      </c>
      <c r="E6" s="2" t="s">
        <v>20</v>
      </c>
      <c r="F6" s="2" t="str">
        <f>"2170720200 "</f>
        <v xml:space="preserve">2170720200 </v>
      </c>
      <c r="G6" s="2" t="str">
        <f t="shared" ref="G6:G14" si="0">"ON1"</f>
        <v>ON1</v>
      </c>
      <c r="H6" s="2" t="s">
        <v>21</v>
      </c>
      <c r="I6" s="2" t="s">
        <v>22</v>
      </c>
      <c r="J6" s="2" t="s">
        <v>23</v>
      </c>
      <c r="K6" s="2" t="str">
        <f>"PFES1162726769_0001"</f>
        <v>PFES1162726769_0001</v>
      </c>
      <c r="L6" s="2">
        <v>1</v>
      </c>
      <c r="M6" s="2">
        <v>1</v>
      </c>
    </row>
    <row r="7" spans="1:13">
      <c r="A7" s="7">
        <v>43803</v>
      </c>
      <c r="B7" s="8">
        <v>0.69374999999999998</v>
      </c>
      <c r="C7" s="2" t="str">
        <f>"FES1162726841"</f>
        <v>FES1162726841</v>
      </c>
      <c r="D7" s="2" t="s">
        <v>19</v>
      </c>
      <c r="E7" s="2" t="s">
        <v>24</v>
      </c>
      <c r="F7" s="2" t="str">
        <f>"2170720289 "</f>
        <v xml:space="preserve">2170720289 </v>
      </c>
      <c r="G7" s="2" t="str">
        <f t="shared" si="0"/>
        <v>ON1</v>
      </c>
      <c r="H7" s="2" t="s">
        <v>21</v>
      </c>
      <c r="I7" s="2" t="s">
        <v>25</v>
      </c>
      <c r="J7" s="2" t="s">
        <v>23</v>
      </c>
      <c r="K7" s="2" t="str">
        <f>"PFES1162726841_0001"</f>
        <v>PFES1162726841_0001</v>
      </c>
      <c r="L7" s="2">
        <v>1</v>
      </c>
      <c r="M7" s="2">
        <v>1</v>
      </c>
    </row>
    <row r="8" spans="1:13">
      <c r="A8" s="7">
        <v>43803</v>
      </c>
      <c r="B8" s="8">
        <v>0.69305555555555554</v>
      </c>
      <c r="C8" s="2" t="str">
        <f>"FES1162726785"</f>
        <v>FES1162726785</v>
      </c>
      <c r="D8" s="2" t="s">
        <v>19</v>
      </c>
      <c r="E8" s="2" t="s">
        <v>24</v>
      </c>
      <c r="F8" s="2" t="str">
        <f>"2170720231 "</f>
        <v xml:space="preserve">2170720231 </v>
      </c>
      <c r="G8" s="2" t="str">
        <f t="shared" si="0"/>
        <v>ON1</v>
      </c>
      <c r="H8" s="2" t="s">
        <v>21</v>
      </c>
      <c r="I8" s="2" t="s">
        <v>25</v>
      </c>
      <c r="J8" s="2" t="s">
        <v>23</v>
      </c>
      <c r="K8" s="2" t="str">
        <f>"PFES1162726785_0001"</f>
        <v>PFES1162726785_0001</v>
      </c>
      <c r="L8" s="2">
        <v>1</v>
      </c>
      <c r="M8" s="2">
        <v>1</v>
      </c>
    </row>
    <row r="9" spans="1:13">
      <c r="A9" s="7">
        <v>43803</v>
      </c>
      <c r="B9" s="8">
        <v>0.69236111111111109</v>
      </c>
      <c r="C9" s="2" t="str">
        <f>"FES1162726778"</f>
        <v>FES1162726778</v>
      </c>
      <c r="D9" s="2" t="s">
        <v>19</v>
      </c>
      <c r="E9" s="2" t="s">
        <v>26</v>
      </c>
      <c r="F9" s="2" t="str">
        <f>"2170720221 "</f>
        <v xml:space="preserve">2170720221 </v>
      </c>
      <c r="G9" s="2" t="str">
        <f t="shared" si="0"/>
        <v>ON1</v>
      </c>
      <c r="H9" s="2" t="s">
        <v>21</v>
      </c>
      <c r="I9" s="2" t="s">
        <v>27</v>
      </c>
      <c r="J9" s="2" t="s">
        <v>23</v>
      </c>
      <c r="K9" s="2" t="str">
        <f>"PFES1162726778_0001"</f>
        <v>PFES1162726778_0001</v>
      </c>
      <c r="L9" s="2">
        <v>1</v>
      </c>
      <c r="M9" s="2">
        <v>1</v>
      </c>
    </row>
    <row r="10" spans="1:13">
      <c r="A10" s="7">
        <v>43803</v>
      </c>
      <c r="B10" s="8">
        <v>0.68541666666666667</v>
      </c>
      <c r="C10" s="2" t="str">
        <f>"FES1162726767"</f>
        <v>FES1162726767</v>
      </c>
      <c r="D10" s="2" t="s">
        <v>19</v>
      </c>
      <c r="E10" s="2" t="s">
        <v>28</v>
      </c>
      <c r="F10" s="2" t="str">
        <f>"217071916 "</f>
        <v xml:space="preserve">217071916 </v>
      </c>
      <c r="G10" s="2" t="str">
        <f t="shared" si="0"/>
        <v>ON1</v>
      </c>
      <c r="H10" s="2" t="s">
        <v>21</v>
      </c>
      <c r="I10" s="2" t="s">
        <v>29</v>
      </c>
      <c r="J10" s="2" t="s">
        <v>23</v>
      </c>
      <c r="K10" s="2" t="str">
        <f>"PFES1162726767_0001"</f>
        <v>PFES1162726767_0001</v>
      </c>
      <c r="L10" s="2">
        <v>1</v>
      </c>
      <c r="M10" s="2">
        <v>3</v>
      </c>
    </row>
    <row r="11" spans="1:13">
      <c r="A11" s="7">
        <v>43803</v>
      </c>
      <c r="B11" s="8">
        <v>0.68541666666666667</v>
      </c>
      <c r="C11" s="2" t="str">
        <f>"FES1162726829"</f>
        <v>FES1162726829</v>
      </c>
      <c r="D11" s="2" t="s">
        <v>19</v>
      </c>
      <c r="E11" s="2" t="s">
        <v>30</v>
      </c>
      <c r="F11" s="2" t="str">
        <f>"2170712075 "</f>
        <v xml:space="preserve">2170712075 </v>
      </c>
      <c r="G11" s="2" t="str">
        <f t="shared" si="0"/>
        <v>ON1</v>
      </c>
      <c r="H11" s="2" t="s">
        <v>21</v>
      </c>
      <c r="I11" s="2" t="s">
        <v>31</v>
      </c>
      <c r="J11" s="2" t="s">
        <v>23</v>
      </c>
      <c r="K11" s="2" t="str">
        <f>"PFES1162726829_0001"</f>
        <v>PFES1162726829_0001</v>
      </c>
      <c r="L11" s="2">
        <v>1</v>
      </c>
      <c r="M11" s="2">
        <v>2</v>
      </c>
    </row>
    <row r="12" spans="1:13">
      <c r="A12" s="7">
        <v>43803</v>
      </c>
      <c r="B12" s="8">
        <v>0.68472222222222223</v>
      </c>
      <c r="C12" s="2" t="str">
        <f>"FES1162726740"</f>
        <v>FES1162726740</v>
      </c>
      <c r="D12" s="2" t="s">
        <v>19</v>
      </c>
      <c r="E12" s="2" t="s">
        <v>32</v>
      </c>
      <c r="F12" s="2" t="str">
        <f>"21707198933 "</f>
        <v xml:space="preserve">21707198933 </v>
      </c>
      <c r="G12" s="2" t="str">
        <f t="shared" si="0"/>
        <v>ON1</v>
      </c>
      <c r="H12" s="2" t="s">
        <v>21</v>
      </c>
      <c r="I12" s="2" t="s">
        <v>33</v>
      </c>
      <c r="J12" s="2" t="s">
        <v>23</v>
      </c>
      <c r="K12" s="2" t="str">
        <f>"PFES1162726740_0001"</f>
        <v>PFES1162726740_0001</v>
      </c>
      <c r="L12" s="2">
        <v>1</v>
      </c>
      <c r="M12" s="2">
        <v>3</v>
      </c>
    </row>
    <row r="13" spans="1:13">
      <c r="A13" s="7">
        <v>43803</v>
      </c>
      <c r="B13" s="8">
        <v>0.68472222222222223</v>
      </c>
      <c r="C13" s="2" t="str">
        <f>"FES1162726722"</f>
        <v>FES1162726722</v>
      </c>
      <c r="D13" s="2" t="s">
        <v>19</v>
      </c>
      <c r="E13" s="2" t="s">
        <v>34</v>
      </c>
      <c r="F13" s="2" t="str">
        <f>"2170720149 "</f>
        <v xml:space="preserve">2170720149 </v>
      </c>
      <c r="G13" s="2" t="str">
        <f t="shared" si="0"/>
        <v>ON1</v>
      </c>
      <c r="H13" s="2" t="s">
        <v>21</v>
      </c>
      <c r="I13" s="2" t="s">
        <v>35</v>
      </c>
      <c r="J13" s="2" t="s">
        <v>23</v>
      </c>
      <c r="K13" s="2" t="str">
        <f>"PFES1162726722_0001"</f>
        <v>PFES1162726722_0001</v>
      </c>
      <c r="L13" s="2">
        <v>1</v>
      </c>
      <c r="M13" s="2">
        <v>1</v>
      </c>
    </row>
    <row r="14" spans="1:13">
      <c r="A14" s="7">
        <v>43803</v>
      </c>
      <c r="B14" s="8">
        <v>0.68402777777777779</v>
      </c>
      <c r="C14" s="2" t="str">
        <f>"FES1162726558"</f>
        <v>FES1162726558</v>
      </c>
      <c r="D14" s="2" t="s">
        <v>19</v>
      </c>
      <c r="E14" s="2" t="s">
        <v>36</v>
      </c>
      <c r="F14" s="2" t="str">
        <f>"2170720030 "</f>
        <v xml:space="preserve">2170720030 </v>
      </c>
      <c r="G14" s="2" t="str">
        <f t="shared" si="0"/>
        <v>ON1</v>
      </c>
      <c r="H14" s="2" t="s">
        <v>21</v>
      </c>
      <c r="I14" s="2" t="s">
        <v>37</v>
      </c>
      <c r="J14" s="2" t="s">
        <v>23</v>
      </c>
      <c r="K14" s="2" t="str">
        <f>"PFES1162726558_0001"</f>
        <v>PFES1162726558_0001</v>
      </c>
      <c r="L14" s="2">
        <v>1</v>
      </c>
      <c r="M14" s="2">
        <v>1</v>
      </c>
    </row>
    <row r="15" spans="1:13">
      <c r="A15" s="7">
        <v>43803</v>
      </c>
      <c r="B15" s="8">
        <v>0.68333333333333324</v>
      </c>
      <c r="C15" s="2" t="str">
        <f>"FES1162726801"</f>
        <v>FES1162726801</v>
      </c>
      <c r="D15" s="2" t="s">
        <v>19</v>
      </c>
      <c r="E15" s="2" t="s">
        <v>34</v>
      </c>
      <c r="F15" s="2" t="str">
        <f>"21707120408 "</f>
        <v xml:space="preserve">21707120408 </v>
      </c>
      <c r="G15" s="2" t="str">
        <f>"DBC"</f>
        <v>DBC</v>
      </c>
      <c r="H15" s="2" t="s">
        <v>21</v>
      </c>
      <c r="I15" s="2" t="s">
        <v>35</v>
      </c>
      <c r="J15" s="2" t="s">
        <v>23</v>
      </c>
      <c r="K15" s="2" t="str">
        <f>"PFES1162726801_0001"</f>
        <v>PFES1162726801_0001</v>
      </c>
      <c r="L15" s="2">
        <v>1</v>
      </c>
      <c r="M15" s="2">
        <v>20</v>
      </c>
    </row>
    <row r="16" spans="1:13">
      <c r="A16" s="7">
        <v>43803</v>
      </c>
      <c r="B16" s="8">
        <v>0.68333333333333324</v>
      </c>
      <c r="C16" s="2" t="str">
        <f>"FES1162726886"</f>
        <v>FES1162726886</v>
      </c>
      <c r="D16" s="2" t="s">
        <v>19</v>
      </c>
      <c r="E16" s="2" t="s">
        <v>38</v>
      </c>
      <c r="F16" s="2" t="str">
        <f>"2170720335 "</f>
        <v xml:space="preserve">2170720335 </v>
      </c>
      <c r="G16" s="2" t="str">
        <f t="shared" ref="G16:G47" si="1">"ON1"</f>
        <v>ON1</v>
      </c>
      <c r="H16" s="2" t="s">
        <v>21</v>
      </c>
      <c r="I16" s="2" t="s">
        <v>39</v>
      </c>
      <c r="J16" s="2" t="s">
        <v>23</v>
      </c>
      <c r="K16" s="2" t="str">
        <f>"PFES1162726886_0001"</f>
        <v>PFES1162726886_0001</v>
      </c>
      <c r="L16" s="2">
        <v>1</v>
      </c>
      <c r="M16" s="2">
        <v>1</v>
      </c>
    </row>
    <row r="17" spans="1:13">
      <c r="A17" s="7">
        <v>43803</v>
      </c>
      <c r="B17" s="8">
        <v>0.68263888888888891</v>
      </c>
      <c r="C17" s="2" t="str">
        <f>"FES1162726831"</f>
        <v>FES1162726831</v>
      </c>
      <c r="D17" s="2" t="s">
        <v>19</v>
      </c>
      <c r="E17" s="2" t="s">
        <v>40</v>
      </c>
      <c r="F17" s="2" t="str">
        <f>"2170719693 "</f>
        <v xml:space="preserve">2170719693 </v>
      </c>
      <c r="G17" s="2" t="str">
        <f t="shared" si="1"/>
        <v>ON1</v>
      </c>
      <c r="H17" s="2" t="s">
        <v>21</v>
      </c>
      <c r="I17" s="2" t="s">
        <v>41</v>
      </c>
      <c r="J17" s="2" t="s">
        <v>23</v>
      </c>
      <c r="K17" s="2" t="str">
        <f>"PFES1162726831_0001"</f>
        <v>PFES1162726831_0001</v>
      </c>
      <c r="L17" s="2">
        <v>1</v>
      </c>
      <c r="M17" s="2">
        <v>1</v>
      </c>
    </row>
    <row r="18" spans="1:13">
      <c r="A18" s="7">
        <v>43803</v>
      </c>
      <c r="B18" s="8">
        <v>0.68194444444444446</v>
      </c>
      <c r="C18" s="2" t="str">
        <f>"FES1162726594"</f>
        <v>FES1162726594</v>
      </c>
      <c r="D18" s="2" t="s">
        <v>19</v>
      </c>
      <c r="E18" s="2" t="s">
        <v>42</v>
      </c>
      <c r="F18" s="2" t="str">
        <f>"2170719382 "</f>
        <v xml:space="preserve">2170719382 </v>
      </c>
      <c r="G18" s="2" t="str">
        <f t="shared" si="1"/>
        <v>ON1</v>
      </c>
      <c r="H18" s="2" t="s">
        <v>21</v>
      </c>
      <c r="I18" s="2" t="s">
        <v>43</v>
      </c>
      <c r="J18" s="2" t="s">
        <v>23</v>
      </c>
      <c r="K18" s="2" t="str">
        <f>"PFES1162726594_0001"</f>
        <v>PFES1162726594_0001</v>
      </c>
      <c r="L18" s="2">
        <v>1</v>
      </c>
      <c r="M18" s="2">
        <v>8</v>
      </c>
    </row>
    <row r="19" spans="1:13">
      <c r="A19" s="7">
        <v>43803</v>
      </c>
      <c r="B19" s="8">
        <v>0.68055555555555547</v>
      </c>
      <c r="C19" s="2" t="str">
        <f>"FES1162726607"</f>
        <v>FES1162726607</v>
      </c>
      <c r="D19" s="2" t="s">
        <v>19</v>
      </c>
      <c r="E19" s="2" t="s">
        <v>44</v>
      </c>
      <c r="F19" s="2" t="str">
        <f>"2170720084 "</f>
        <v xml:space="preserve">2170720084 </v>
      </c>
      <c r="G19" s="2" t="str">
        <f t="shared" si="1"/>
        <v>ON1</v>
      </c>
      <c r="H19" s="2" t="s">
        <v>21</v>
      </c>
      <c r="I19" s="2" t="s">
        <v>45</v>
      </c>
      <c r="J19" s="2" t="s">
        <v>23</v>
      </c>
      <c r="K19" s="2" t="str">
        <f>"PFES1162726607_0001"</f>
        <v>PFES1162726607_0001</v>
      </c>
      <c r="L19" s="2">
        <v>1</v>
      </c>
      <c r="M19" s="2">
        <v>1</v>
      </c>
    </row>
    <row r="20" spans="1:13">
      <c r="A20" s="7">
        <v>43803</v>
      </c>
      <c r="B20" s="8">
        <v>0.68055555555555547</v>
      </c>
      <c r="C20" s="2" t="str">
        <f>"FES1162726676"</f>
        <v>FES1162726676</v>
      </c>
      <c r="D20" s="2" t="s">
        <v>19</v>
      </c>
      <c r="E20" s="2" t="s">
        <v>46</v>
      </c>
      <c r="F20" s="2" t="str">
        <f>"2170718042 "</f>
        <v xml:space="preserve">2170718042 </v>
      </c>
      <c r="G20" s="2" t="str">
        <f t="shared" si="1"/>
        <v>ON1</v>
      </c>
      <c r="H20" s="2" t="s">
        <v>21</v>
      </c>
      <c r="I20" s="2" t="s">
        <v>45</v>
      </c>
      <c r="J20" s="2" t="s">
        <v>23</v>
      </c>
      <c r="K20" s="2" t="str">
        <f>"PFES1162726676_0001"</f>
        <v>PFES1162726676_0001</v>
      </c>
      <c r="L20" s="2">
        <v>1</v>
      </c>
      <c r="M20" s="2">
        <v>5</v>
      </c>
    </row>
    <row r="21" spans="1:13">
      <c r="A21" s="7">
        <v>43803</v>
      </c>
      <c r="B21" s="8">
        <v>0.67986111111111114</v>
      </c>
      <c r="C21" s="2" t="str">
        <f>"FES1162726830"</f>
        <v>FES1162726830</v>
      </c>
      <c r="D21" s="2" t="s">
        <v>19</v>
      </c>
      <c r="E21" s="2" t="s">
        <v>47</v>
      </c>
      <c r="F21" s="2" t="str">
        <f>"2170715883 "</f>
        <v xml:space="preserve">2170715883 </v>
      </c>
      <c r="G21" s="2" t="str">
        <f t="shared" si="1"/>
        <v>ON1</v>
      </c>
      <c r="H21" s="2" t="s">
        <v>21</v>
      </c>
      <c r="I21" s="2" t="s">
        <v>48</v>
      </c>
      <c r="J21" s="2" t="s">
        <v>23</v>
      </c>
      <c r="K21" s="2" t="str">
        <f>"PFES1162726830_0001"</f>
        <v>PFES1162726830_0001</v>
      </c>
      <c r="L21" s="2">
        <v>1</v>
      </c>
      <c r="M21" s="2">
        <v>1</v>
      </c>
    </row>
    <row r="22" spans="1:13">
      <c r="A22" s="7">
        <v>43803</v>
      </c>
      <c r="B22" s="8">
        <v>0.67986111111111114</v>
      </c>
      <c r="C22" s="2" t="str">
        <f>"FES1162726618"</f>
        <v>FES1162726618</v>
      </c>
      <c r="D22" s="2" t="s">
        <v>19</v>
      </c>
      <c r="E22" s="2" t="s">
        <v>49</v>
      </c>
      <c r="F22" s="2" t="str">
        <f>"2170720099 "</f>
        <v xml:space="preserve">2170720099 </v>
      </c>
      <c r="G22" s="2" t="str">
        <f t="shared" si="1"/>
        <v>ON1</v>
      </c>
      <c r="H22" s="2" t="s">
        <v>21</v>
      </c>
      <c r="I22" s="2" t="s">
        <v>50</v>
      </c>
      <c r="J22" s="2" t="s">
        <v>23</v>
      </c>
      <c r="K22" s="2" t="str">
        <f>"PFES1162726618_0001"</f>
        <v>PFES1162726618_0001</v>
      </c>
      <c r="L22" s="2">
        <v>2</v>
      </c>
      <c r="M22" s="2">
        <v>7</v>
      </c>
    </row>
    <row r="23" spans="1:13">
      <c r="A23" s="7">
        <v>43803</v>
      </c>
      <c r="B23" s="8">
        <v>0.6791666666666667</v>
      </c>
      <c r="C23" s="2" t="str">
        <f>"FES1162726838"</f>
        <v>FES1162726838</v>
      </c>
      <c r="D23" s="2" t="s">
        <v>19</v>
      </c>
      <c r="E23" s="2" t="s">
        <v>53</v>
      </c>
      <c r="F23" s="2" t="str">
        <f>"2170720284 "</f>
        <v xml:space="preserve">2170720284 </v>
      </c>
      <c r="G23" s="2" t="str">
        <f t="shared" si="1"/>
        <v>ON1</v>
      </c>
      <c r="H23" s="2" t="s">
        <v>21</v>
      </c>
      <c r="I23" s="2" t="s">
        <v>54</v>
      </c>
      <c r="J23" s="2" t="s">
        <v>23</v>
      </c>
      <c r="K23" s="2" t="str">
        <f>"PFES1162726838_0001"</f>
        <v>PFES1162726838_0001</v>
      </c>
      <c r="L23" s="2">
        <v>1</v>
      </c>
      <c r="M23" s="2">
        <v>1</v>
      </c>
    </row>
    <row r="24" spans="1:13">
      <c r="A24" s="7">
        <v>43803</v>
      </c>
      <c r="B24" s="8">
        <v>0.6791666666666667</v>
      </c>
      <c r="C24" s="2" t="str">
        <f>"FES1162726561"</f>
        <v>FES1162726561</v>
      </c>
      <c r="D24" s="2" t="s">
        <v>19</v>
      </c>
      <c r="E24" s="2" t="s">
        <v>55</v>
      </c>
      <c r="F24" s="2" t="str">
        <f>"2170720029 "</f>
        <v xml:space="preserve">2170720029 </v>
      </c>
      <c r="G24" s="2" t="str">
        <f t="shared" si="1"/>
        <v>ON1</v>
      </c>
      <c r="H24" s="2" t="s">
        <v>21</v>
      </c>
      <c r="I24" s="2" t="s">
        <v>56</v>
      </c>
      <c r="J24" s="2" t="s">
        <v>23</v>
      </c>
      <c r="K24" s="2" t="str">
        <f>"PFES1162726561_0001"</f>
        <v>PFES1162726561_0001</v>
      </c>
      <c r="L24" s="2">
        <v>1</v>
      </c>
      <c r="M24" s="2">
        <v>9</v>
      </c>
    </row>
    <row r="25" spans="1:13">
      <c r="A25" s="7">
        <v>43803</v>
      </c>
      <c r="B25" s="8">
        <v>0.67847222222222225</v>
      </c>
      <c r="C25" s="2" t="str">
        <f>"FES1162726510"</f>
        <v>FES1162726510</v>
      </c>
      <c r="D25" s="2" t="s">
        <v>19</v>
      </c>
      <c r="E25" s="2" t="s">
        <v>34</v>
      </c>
      <c r="F25" s="2" t="str">
        <f>"2170719961 "</f>
        <v xml:space="preserve">2170719961 </v>
      </c>
      <c r="G25" s="2" t="str">
        <f t="shared" si="1"/>
        <v>ON1</v>
      </c>
      <c r="H25" s="2" t="s">
        <v>21</v>
      </c>
      <c r="I25" s="2" t="s">
        <v>35</v>
      </c>
      <c r="J25" s="2" t="s">
        <v>23</v>
      </c>
      <c r="K25" s="2" t="str">
        <f>"PFES1162726510_0001"</f>
        <v>PFES1162726510_0001</v>
      </c>
      <c r="L25" s="2">
        <v>1</v>
      </c>
      <c r="M25" s="2">
        <v>2</v>
      </c>
    </row>
    <row r="26" spans="1:13">
      <c r="A26" s="7">
        <v>43803</v>
      </c>
      <c r="B26" s="8">
        <v>0.67847222222222225</v>
      </c>
      <c r="C26" s="2" t="str">
        <f>"FES1162726878"</f>
        <v>FES1162726878</v>
      </c>
      <c r="D26" s="2" t="s">
        <v>19</v>
      </c>
      <c r="E26" s="2" t="s">
        <v>57</v>
      </c>
      <c r="F26" s="2" t="str">
        <f>"2170720321 "</f>
        <v xml:space="preserve">2170720321 </v>
      </c>
      <c r="G26" s="2" t="str">
        <f t="shared" si="1"/>
        <v>ON1</v>
      </c>
      <c r="H26" s="2" t="s">
        <v>21</v>
      </c>
      <c r="I26" s="2" t="s">
        <v>58</v>
      </c>
      <c r="J26" s="2" t="s">
        <v>23</v>
      </c>
      <c r="K26" s="2" t="str">
        <f>"PFES1162726878_0001"</f>
        <v>PFES1162726878_0001</v>
      </c>
      <c r="L26" s="2">
        <v>1</v>
      </c>
      <c r="M26" s="2">
        <v>1</v>
      </c>
    </row>
    <row r="27" spans="1:13">
      <c r="A27" s="7">
        <v>43803</v>
      </c>
      <c r="B27" s="8">
        <v>0.67847222222222225</v>
      </c>
      <c r="C27" s="2" t="str">
        <f>"FES1162726800"</f>
        <v>FES1162726800</v>
      </c>
      <c r="D27" s="2" t="s">
        <v>19</v>
      </c>
      <c r="E27" s="2" t="s">
        <v>59</v>
      </c>
      <c r="F27" s="2" t="str">
        <f>"217071246 "</f>
        <v xml:space="preserve">217071246 </v>
      </c>
      <c r="G27" s="2" t="str">
        <f t="shared" si="1"/>
        <v>ON1</v>
      </c>
      <c r="H27" s="2" t="s">
        <v>21</v>
      </c>
      <c r="I27" s="2" t="s">
        <v>60</v>
      </c>
      <c r="J27" s="2" t="s">
        <v>23</v>
      </c>
      <c r="K27" s="2" t="str">
        <f>"PFES1162726800_0001"</f>
        <v>PFES1162726800_0001</v>
      </c>
      <c r="L27" s="2">
        <v>1</v>
      </c>
      <c r="M27" s="2">
        <v>2</v>
      </c>
    </row>
    <row r="28" spans="1:13">
      <c r="A28" s="7">
        <v>43803</v>
      </c>
      <c r="B28" s="8">
        <v>0.6777777777777777</v>
      </c>
      <c r="C28" s="2" t="str">
        <f>"FES1162726646"</f>
        <v>FES1162726646</v>
      </c>
      <c r="D28" s="2" t="s">
        <v>19</v>
      </c>
      <c r="E28" s="2" t="s">
        <v>61</v>
      </c>
      <c r="F28" s="2" t="str">
        <f>"21707122 "</f>
        <v xml:space="preserve">21707122 </v>
      </c>
      <c r="G28" s="2" t="str">
        <f t="shared" si="1"/>
        <v>ON1</v>
      </c>
      <c r="H28" s="2" t="s">
        <v>21</v>
      </c>
      <c r="I28" s="2" t="s">
        <v>62</v>
      </c>
      <c r="J28" s="2" t="s">
        <v>23</v>
      </c>
      <c r="K28" s="2" t="str">
        <f>"PFES1162726646_0001"</f>
        <v>PFES1162726646_0001</v>
      </c>
      <c r="L28" s="2">
        <v>1</v>
      </c>
      <c r="M28" s="2">
        <v>4</v>
      </c>
    </row>
    <row r="29" spans="1:13">
      <c r="A29" s="7">
        <v>43803</v>
      </c>
      <c r="B29" s="8">
        <v>0.6777777777777777</v>
      </c>
      <c r="C29" s="2" t="str">
        <f>"FES1162726891"</f>
        <v>FES1162726891</v>
      </c>
      <c r="D29" s="2" t="s">
        <v>19</v>
      </c>
      <c r="E29" s="2" t="s">
        <v>53</v>
      </c>
      <c r="F29" s="2" t="str">
        <f>"217071333 "</f>
        <v xml:space="preserve">217071333 </v>
      </c>
      <c r="G29" s="2" t="str">
        <f t="shared" si="1"/>
        <v>ON1</v>
      </c>
      <c r="H29" s="2" t="s">
        <v>21</v>
      </c>
      <c r="I29" s="2" t="s">
        <v>54</v>
      </c>
      <c r="J29" s="2" t="s">
        <v>23</v>
      </c>
      <c r="K29" s="2" t="str">
        <f>"PFES1162726891_0001"</f>
        <v>PFES1162726891_0001</v>
      </c>
      <c r="L29" s="2">
        <v>1</v>
      </c>
      <c r="M29" s="2">
        <v>2</v>
      </c>
    </row>
    <row r="30" spans="1:13">
      <c r="A30" s="7">
        <v>43803</v>
      </c>
      <c r="B30" s="8">
        <v>0.6777777777777777</v>
      </c>
      <c r="C30" s="2" t="str">
        <f>"FES1162726833"</f>
        <v>FES1162726833</v>
      </c>
      <c r="D30" s="2" t="s">
        <v>19</v>
      </c>
      <c r="E30" s="2" t="s">
        <v>63</v>
      </c>
      <c r="F30" s="2" t="str">
        <f>"2170720277 "</f>
        <v xml:space="preserve">2170720277 </v>
      </c>
      <c r="G30" s="2" t="str">
        <f t="shared" si="1"/>
        <v>ON1</v>
      </c>
      <c r="H30" s="2" t="s">
        <v>21</v>
      </c>
      <c r="I30" s="2" t="s">
        <v>64</v>
      </c>
      <c r="J30" s="2" t="s">
        <v>23</v>
      </c>
      <c r="K30" s="2" t="str">
        <f>"PFES1162726833_0001"</f>
        <v>PFES1162726833_0001</v>
      </c>
      <c r="L30" s="2">
        <v>1</v>
      </c>
      <c r="M30" s="2">
        <v>1</v>
      </c>
    </row>
    <row r="31" spans="1:13">
      <c r="A31" s="7">
        <v>43803</v>
      </c>
      <c r="B31" s="8">
        <v>0.6777777777777777</v>
      </c>
      <c r="C31" s="2" t="str">
        <f>"FES1162726798"</f>
        <v>FES1162726798</v>
      </c>
      <c r="D31" s="2" t="s">
        <v>19</v>
      </c>
      <c r="E31" s="2" t="s">
        <v>34</v>
      </c>
      <c r="F31" s="2" t="str">
        <f>"2170712043 "</f>
        <v xml:space="preserve">2170712043 </v>
      </c>
      <c r="G31" s="2" t="str">
        <f t="shared" si="1"/>
        <v>ON1</v>
      </c>
      <c r="H31" s="2" t="s">
        <v>21</v>
      </c>
      <c r="I31" s="2" t="s">
        <v>35</v>
      </c>
      <c r="J31" s="2" t="s">
        <v>23</v>
      </c>
      <c r="K31" s="2" t="str">
        <f>"PFES1162726798_0001"</f>
        <v>PFES1162726798_0001</v>
      </c>
      <c r="L31" s="2">
        <v>1</v>
      </c>
      <c r="M31" s="2">
        <v>12</v>
      </c>
    </row>
    <row r="32" spans="1:13">
      <c r="A32" s="7">
        <v>43803</v>
      </c>
      <c r="B32" s="8">
        <v>0.67708333333333337</v>
      </c>
      <c r="C32" s="2" t="str">
        <f>"FES1162726834"</f>
        <v>FES1162726834</v>
      </c>
      <c r="D32" s="2" t="s">
        <v>19</v>
      </c>
      <c r="E32" s="2" t="s">
        <v>65</v>
      </c>
      <c r="F32" s="2" t="str">
        <f>"2170712078 "</f>
        <v xml:space="preserve">2170712078 </v>
      </c>
      <c r="G32" s="2" t="str">
        <f t="shared" si="1"/>
        <v>ON1</v>
      </c>
      <c r="H32" s="2" t="s">
        <v>21</v>
      </c>
      <c r="I32" s="2" t="s">
        <v>66</v>
      </c>
      <c r="J32" s="2" t="s">
        <v>23</v>
      </c>
      <c r="K32" s="2" t="str">
        <f>"PFES1162726834_0001"</f>
        <v>PFES1162726834_0001</v>
      </c>
      <c r="L32" s="2">
        <v>1</v>
      </c>
      <c r="M32" s="2">
        <v>1</v>
      </c>
    </row>
    <row r="33" spans="1:13">
      <c r="A33" s="7">
        <v>43803</v>
      </c>
      <c r="B33" s="8">
        <v>0.67708333333333337</v>
      </c>
      <c r="C33" s="2" t="str">
        <f>"FES1162726752"</f>
        <v>FES1162726752</v>
      </c>
      <c r="D33" s="2" t="s">
        <v>19</v>
      </c>
      <c r="E33" s="2" t="s">
        <v>67</v>
      </c>
      <c r="F33" s="2" t="str">
        <f>"2170720109 "</f>
        <v xml:space="preserve">2170720109 </v>
      </c>
      <c r="G33" s="2" t="str">
        <f t="shared" si="1"/>
        <v>ON1</v>
      </c>
      <c r="H33" s="2" t="s">
        <v>21</v>
      </c>
      <c r="I33" s="2" t="s">
        <v>68</v>
      </c>
      <c r="J33" s="2" t="s">
        <v>23</v>
      </c>
      <c r="K33" s="2" t="str">
        <f>"PFES1162726752_0001"</f>
        <v>PFES1162726752_0001</v>
      </c>
      <c r="L33" s="2">
        <v>1</v>
      </c>
      <c r="M33" s="2">
        <v>1</v>
      </c>
    </row>
    <row r="34" spans="1:13">
      <c r="A34" s="7">
        <v>43803</v>
      </c>
      <c r="B34" s="8">
        <v>0.67638888888888893</v>
      </c>
      <c r="C34" s="2" t="str">
        <f>"FES1162726860"</f>
        <v>FES1162726860</v>
      </c>
      <c r="D34" s="2" t="s">
        <v>19</v>
      </c>
      <c r="E34" s="2" t="s">
        <v>69</v>
      </c>
      <c r="F34" s="2" t="str">
        <f>"21707130230 "</f>
        <v xml:space="preserve">21707130230 </v>
      </c>
      <c r="G34" s="2" t="str">
        <f t="shared" si="1"/>
        <v>ON1</v>
      </c>
      <c r="H34" s="2" t="s">
        <v>21</v>
      </c>
      <c r="I34" s="2" t="s">
        <v>70</v>
      </c>
      <c r="J34" s="2" t="s">
        <v>23</v>
      </c>
      <c r="K34" s="2" t="str">
        <f>"PFES1162726860_0001"</f>
        <v>PFES1162726860_0001</v>
      </c>
      <c r="L34" s="2">
        <v>1</v>
      </c>
      <c r="M34" s="2">
        <v>6</v>
      </c>
    </row>
    <row r="35" spans="1:13">
      <c r="A35" s="7">
        <v>43803</v>
      </c>
      <c r="B35" s="8">
        <v>0.67638888888888893</v>
      </c>
      <c r="C35" s="2" t="str">
        <f>"FES1162726824"</f>
        <v>FES1162726824</v>
      </c>
      <c r="D35" s="2" t="s">
        <v>19</v>
      </c>
      <c r="E35" s="2" t="s">
        <v>53</v>
      </c>
      <c r="F35" s="2" t="str">
        <f>"2170715234 "</f>
        <v xml:space="preserve">2170715234 </v>
      </c>
      <c r="G35" s="2" t="str">
        <f t="shared" si="1"/>
        <v>ON1</v>
      </c>
      <c r="H35" s="2" t="s">
        <v>21</v>
      </c>
      <c r="I35" s="2" t="s">
        <v>54</v>
      </c>
      <c r="J35" s="2" t="s">
        <v>23</v>
      </c>
      <c r="K35" s="2" t="str">
        <f>"PFES1162726824_0001"</f>
        <v>PFES1162726824_0001</v>
      </c>
      <c r="L35" s="2">
        <v>1</v>
      </c>
      <c r="M35" s="2">
        <v>10</v>
      </c>
    </row>
    <row r="36" spans="1:13">
      <c r="A36" s="7">
        <v>43803</v>
      </c>
      <c r="B36" s="8">
        <v>0.66736111111111107</v>
      </c>
      <c r="C36" s="2" t="str">
        <f>"009935712098"</f>
        <v>009935712098</v>
      </c>
      <c r="D36" s="2" t="s">
        <v>19</v>
      </c>
      <c r="E36" s="2" t="s">
        <v>65</v>
      </c>
      <c r="F36" s="2" t="str">
        <f>"RAMESH "</f>
        <v xml:space="preserve">RAMESH </v>
      </c>
      <c r="G36" s="2" t="str">
        <f t="shared" si="1"/>
        <v>ON1</v>
      </c>
      <c r="H36" s="2" t="s">
        <v>21</v>
      </c>
      <c r="I36" s="2" t="s">
        <v>66</v>
      </c>
      <c r="J36" s="2" t="s">
        <v>23</v>
      </c>
      <c r="K36" s="2" t="str">
        <f>"P009935712098_0001"</f>
        <v>P009935712098_0001</v>
      </c>
      <c r="L36" s="2">
        <v>2</v>
      </c>
      <c r="M36" s="2">
        <v>6</v>
      </c>
    </row>
    <row r="37" spans="1:13">
      <c r="A37" s="7">
        <v>43496</v>
      </c>
      <c r="B37" s="8">
        <v>0.66249999999999998</v>
      </c>
      <c r="C37" s="2" t="str">
        <f>"009935712098"</f>
        <v>009935712098</v>
      </c>
      <c r="D37" s="2" t="s">
        <v>19</v>
      </c>
      <c r="E37" s="2" t="s">
        <v>71</v>
      </c>
      <c r="F37" s="2" t="str">
        <f>"2170671964 "</f>
        <v xml:space="preserve">2170671964 </v>
      </c>
      <c r="G37" s="2" t="str">
        <f t="shared" si="1"/>
        <v>ON1</v>
      </c>
      <c r="H37" s="2" t="s">
        <v>21</v>
      </c>
      <c r="I37" s="2" t="s">
        <v>72</v>
      </c>
      <c r="J37" s="2" t="s">
        <v>23</v>
      </c>
      <c r="K37" s="2" t="str">
        <f>"P009935712098_0002"</f>
        <v>P009935712098_0002</v>
      </c>
      <c r="L37" s="2">
        <v>1</v>
      </c>
      <c r="M37" s="2">
        <v>1</v>
      </c>
    </row>
    <row r="38" spans="1:13">
      <c r="A38" s="7">
        <v>43803</v>
      </c>
      <c r="B38" s="8">
        <v>0.65763888888888888</v>
      </c>
      <c r="C38" s="2" t="str">
        <f>"FES1162726672"</f>
        <v>FES1162726672</v>
      </c>
      <c r="D38" s="2" t="s">
        <v>19</v>
      </c>
      <c r="E38" s="2" t="s">
        <v>73</v>
      </c>
      <c r="F38" s="2" t="str">
        <f>"2170718002 "</f>
        <v xml:space="preserve">2170718002 </v>
      </c>
      <c r="G38" s="2" t="str">
        <f t="shared" si="1"/>
        <v>ON1</v>
      </c>
      <c r="H38" s="2" t="s">
        <v>21</v>
      </c>
      <c r="I38" s="2" t="s">
        <v>74</v>
      </c>
      <c r="J38" s="2" t="s">
        <v>23</v>
      </c>
      <c r="K38" s="2" t="str">
        <f>"PFES1162726672_0001"</f>
        <v>PFES1162726672_0001</v>
      </c>
      <c r="L38" s="2">
        <v>1</v>
      </c>
      <c r="M38" s="2">
        <v>10</v>
      </c>
    </row>
    <row r="39" spans="1:13">
      <c r="A39" s="7">
        <v>43803</v>
      </c>
      <c r="B39" s="8">
        <v>0.65694444444444444</v>
      </c>
      <c r="C39" s="2" t="str">
        <f>"FES1162726491"</f>
        <v>FES1162726491</v>
      </c>
      <c r="D39" s="2" t="s">
        <v>19</v>
      </c>
      <c r="E39" s="2" t="s">
        <v>24</v>
      </c>
      <c r="F39" s="2" t="str">
        <f>"2170719926 "</f>
        <v xml:space="preserve">2170719926 </v>
      </c>
      <c r="G39" s="2" t="str">
        <f t="shared" si="1"/>
        <v>ON1</v>
      </c>
      <c r="H39" s="2" t="s">
        <v>21</v>
      </c>
      <c r="I39" s="2" t="s">
        <v>25</v>
      </c>
      <c r="J39" s="2" t="s">
        <v>23</v>
      </c>
      <c r="K39" s="2" t="str">
        <f>"PFES1162726491_0001"</f>
        <v>PFES1162726491_0001</v>
      </c>
      <c r="L39" s="2">
        <v>1</v>
      </c>
      <c r="M39" s="2">
        <v>9</v>
      </c>
    </row>
    <row r="40" spans="1:13">
      <c r="A40" s="7">
        <v>43803</v>
      </c>
      <c r="B40" s="8">
        <v>0.65694444444444444</v>
      </c>
      <c r="C40" s="2" t="str">
        <f>"FES1162726601"</f>
        <v>FES1162726601</v>
      </c>
      <c r="D40" s="2" t="s">
        <v>19</v>
      </c>
      <c r="E40" s="2" t="s">
        <v>75</v>
      </c>
      <c r="F40" s="2" t="str">
        <f>"2170720081 "</f>
        <v xml:space="preserve">2170720081 </v>
      </c>
      <c r="G40" s="2" t="str">
        <f t="shared" si="1"/>
        <v>ON1</v>
      </c>
      <c r="H40" s="2" t="s">
        <v>21</v>
      </c>
      <c r="I40" s="2" t="s">
        <v>76</v>
      </c>
      <c r="J40" s="2" t="s">
        <v>23</v>
      </c>
      <c r="K40" s="2" t="str">
        <f>"PFES1162726601_0001"</f>
        <v>PFES1162726601_0001</v>
      </c>
      <c r="L40" s="2">
        <v>1</v>
      </c>
      <c r="M40" s="2">
        <v>14</v>
      </c>
    </row>
    <row r="41" spans="1:13">
      <c r="A41" s="7">
        <v>43803</v>
      </c>
      <c r="B41" s="8">
        <v>0.65625</v>
      </c>
      <c r="C41" s="2" t="str">
        <f>"FES1162726519"</f>
        <v>FES1162726519</v>
      </c>
      <c r="D41" s="2" t="s">
        <v>19</v>
      </c>
      <c r="E41" s="2" t="s">
        <v>77</v>
      </c>
      <c r="F41" s="2" t="str">
        <f>"2170719971 "</f>
        <v xml:space="preserve">2170719971 </v>
      </c>
      <c r="G41" s="2" t="str">
        <f t="shared" si="1"/>
        <v>ON1</v>
      </c>
      <c r="H41" s="2" t="s">
        <v>21</v>
      </c>
      <c r="I41" s="2" t="s">
        <v>78</v>
      </c>
      <c r="J41" s="2" t="s">
        <v>23</v>
      </c>
      <c r="K41" s="2" t="str">
        <f>"PFES1162726519_0001"</f>
        <v>PFES1162726519_0001</v>
      </c>
      <c r="L41" s="2">
        <v>1</v>
      </c>
      <c r="M41" s="2">
        <v>5</v>
      </c>
    </row>
    <row r="42" spans="1:13">
      <c r="A42" s="7">
        <v>43803</v>
      </c>
      <c r="B42" s="8">
        <v>0.65625</v>
      </c>
      <c r="C42" s="2" t="str">
        <f>"FES1162726677"</f>
        <v>FES1162726677</v>
      </c>
      <c r="D42" s="2" t="s">
        <v>19</v>
      </c>
      <c r="E42" s="2" t="s">
        <v>44</v>
      </c>
      <c r="F42" s="2" t="str">
        <f>"2170718052 "</f>
        <v xml:space="preserve">2170718052 </v>
      </c>
      <c r="G42" s="2" t="str">
        <f t="shared" si="1"/>
        <v>ON1</v>
      </c>
      <c r="H42" s="2" t="s">
        <v>21</v>
      </c>
      <c r="I42" s="2" t="s">
        <v>45</v>
      </c>
      <c r="J42" s="2" t="s">
        <v>23</v>
      </c>
      <c r="K42" s="2" t="str">
        <f>"PFES1162726677_0001"</f>
        <v>PFES1162726677_0001</v>
      </c>
      <c r="L42" s="2">
        <v>1</v>
      </c>
      <c r="M42" s="2">
        <v>2</v>
      </c>
    </row>
    <row r="43" spans="1:13">
      <c r="A43" s="7">
        <v>43803</v>
      </c>
      <c r="B43" s="8">
        <v>0.65555555555555556</v>
      </c>
      <c r="C43" s="2" t="str">
        <f>"FES1162726576"</f>
        <v>FES1162726576</v>
      </c>
      <c r="D43" s="2" t="s">
        <v>19</v>
      </c>
      <c r="E43" s="2" t="s">
        <v>79</v>
      </c>
      <c r="F43" s="2" t="str">
        <f>"217079793 "</f>
        <v xml:space="preserve">217079793 </v>
      </c>
      <c r="G43" s="2" t="str">
        <f t="shared" si="1"/>
        <v>ON1</v>
      </c>
      <c r="H43" s="2" t="s">
        <v>21</v>
      </c>
      <c r="I43" s="2" t="s">
        <v>80</v>
      </c>
      <c r="J43" s="2" t="s">
        <v>23</v>
      </c>
      <c r="K43" s="2" t="str">
        <f>"PFES1162726576_0001"</f>
        <v>PFES1162726576_0001</v>
      </c>
      <c r="L43" s="2">
        <v>1</v>
      </c>
      <c r="M43" s="2">
        <v>5</v>
      </c>
    </row>
    <row r="44" spans="1:13">
      <c r="A44" s="7">
        <v>43803</v>
      </c>
      <c r="B44" s="8">
        <v>0.65138888888888891</v>
      </c>
      <c r="C44" s="2" t="str">
        <f>"FES1162726729"</f>
        <v>FES1162726729</v>
      </c>
      <c r="D44" s="2" t="s">
        <v>19</v>
      </c>
      <c r="E44" s="2" t="s">
        <v>81</v>
      </c>
      <c r="F44" s="2" t="str">
        <f>"2170720162 "</f>
        <v xml:space="preserve">2170720162 </v>
      </c>
      <c r="G44" s="2" t="str">
        <f t="shared" si="1"/>
        <v>ON1</v>
      </c>
      <c r="H44" s="2" t="s">
        <v>21</v>
      </c>
      <c r="I44" s="2" t="s">
        <v>43</v>
      </c>
      <c r="J44" s="2" t="s">
        <v>23</v>
      </c>
      <c r="K44" s="2" t="str">
        <f>"PFES1162726729_0001"</f>
        <v>PFES1162726729_0001</v>
      </c>
      <c r="L44" s="2">
        <v>1</v>
      </c>
      <c r="M44" s="2">
        <v>1</v>
      </c>
    </row>
    <row r="45" spans="1:13">
      <c r="A45" s="7">
        <v>43803</v>
      </c>
      <c r="B45" s="8">
        <v>0.65069444444444446</v>
      </c>
      <c r="C45" s="2" t="str">
        <f>"FES1162726608"</f>
        <v>FES1162726608</v>
      </c>
      <c r="D45" s="2" t="s">
        <v>19</v>
      </c>
      <c r="E45" s="2" t="s">
        <v>82</v>
      </c>
      <c r="F45" s="2" t="str">
        <f>"217071200856 "</f>
        <v xml:space="preserve">217071200856 </v>
      </c>
      <c r="G45" s="2" t="str">
        <f t="shared" si="1"/>
        <v>ON1</v>
      </c>
      <c r="H45" s="2" t="s">
        <v>21</v>
      </c>
      <c r="I45" s="2" t="s">
        <v>72</v>
      </c>
      <c r="J45" s="2" t="s">
        <v>23</v>
      </c>
      <c r="K45" s="2" t="str">
        <f>"PFES1162726608_0001"</f>
        <v>PFES1162726608_0001</v>
      </c>
      <c r="L45" s="2">
        <v>1</v>
      </c>
      <c r="M45" s="2">
        <v>5</v>
      </c>
    </row>
    <row r="46" spans="1:13">
      <c r="A46" s="7">
        <v>43803</v>
      </c>
      <c r="B46" s="8">
        <v>0.65069444444444446</v>
      </c>
      <c r="C46" s="2" t="str">
        <f>"FES1162726759"</f>
        <v>FES1162726759</v>
      </c>
      <c r="D46" s="2" t="s">
        <v>19</v>
      </c>
      <c r="E46" s="2" t="s">
        <v>83</v>
      </c>
      <c r="F46" s="2" t="str">
        <f>"21707120186 "</f>
        <v xml:space="preserve">21707120186 </v>
      </c>
      <c r="G46" s="2" t="str">
        <f t="shared" si="1"/>
        <v>ON1</v>
      </c>
      <c r="H46" s="2" t="s">
        <v>21</v>
      </c>
      <c r="I46" s="2" t="s">
        <v>70</v>
      </c>
      <c r="J46" s="2" t="s">
        <v>23</v>
      </c>
      <c r="K46" s="2" t="str">
        <f>"PFES1162726759_0001"</f>
        <v>PFES1162726759_0001</v>
      </c>
      <c r="L46" s="2">
        <v>1</v>
      </c>
      <c r="M46" s="2">
        <v>4</v>
      </c>
    </row>
    <row r="47" spans="1:13">
      <c r="A47" s="7">
        <v>43803</v>
      </c>
      <c r="B47" s="8">
        <v>0.65</v>
      </c>
      <c r="C47" s="2" t="str">
        <f>"FES1162726746"</f>
        <v>FES1162726746</v>
      </c>
      <c r="D47" s="2" t="s">
        <v>19</v>
      </c>
      <c r="E47" s="2" t="s">
        <v>84</v>
      </c>
      <c r="F47" s="2" t="str">
        <f>"2170720173 "</f>
        <v xml:space="preserve">2170720173 </v>
      </c>
      <c r="G47" s="2" t="str">
        <f t="shared" si="1"/>
        <v>ON1</v>
      </c>
      <c r="H47" s="2" t="s">
        <v>21</v>
      </c>
      <c r="I47" s="2" t="s">
        <v>85</v>
      </c>
      <c r="J47" s="2" t="s">
        <v>23</v>
      </c>
      <c r="K47" s="2" t="str">
        <f>"PFES1162726746_0001"</f>
        <v>PFES1162726746_0001</v>
      </c>
      <c r="L47" s="2">
        <v>1</v>
      </c>
      <c r="M47" s="2">
        <v>1</v>
      </c>
    </row>
    <row r="48" spans="1:13">
      <c r="A48" s="7">
        <v>43803</v>
      </c>
      <c r="B48" s="8">
        <v>0.65</v>
      </c>
      <c r="C48" s="2" t="str">
        <f>"FES1162726852"</f>
        <v>FES1162726852</v>
      </c>
      <c r="D48" s="2" t="s">
        <v>19</v>
      </c>
      <c r="E48" s="2" t="s">
        <v>86</v>
      </c>
      <c r="F48" s="2" t="str">
        <f>"2170716075 "</f>
        <v xml:space="preserve">2170716075 </v>
      </c>
      <c r="G48" s="2" t="str">
        <f>"DBC"</f>
        <v>DBC</v>
      </c>
      <c r="H48" s="2" t="s">
        <v>21</v>
      </c>
      <c r="I48" s="2" t="s">
        <v>87</v>
      </c>
      <c r="J48" s="2" t="s">
        <v>23</v>
      </c>
      <c r="K48" s="2" t="str">
        <f>"PFES1162726852_0001"</f>
        <v>PFES1162726852_0001</v>
      </c>
      <c r="L48" s="2">
        <v>1</v>
      </c>
      <c r="M48" s="2">
        <v>21</v>
      </c>
    </row>
    <row r="49" spans="1:13">
      <c r="A49" s="7">
        <v>43803</v>
      </c>
      <c r="B49" s="8">
        <v>0.64930555555555558</v>
      </c>
      <c r="C49" s="2" t="str">
        <f>"FES1162726680"</f>
        <v>FES1162726680</v>
      </c>
      <c r="D49" s="2" t="s">
        <v>19</v>
      </c>
      <c r="E49" s="2" t="s">
        <v>88</v>
      </c>
      <c r="F49" s="2" t="str">
        <f>"2170718069 "</f>
        <v xml:space="preserve">2170718069 </v>
      </c>
      <c r="G49" s="2" t="str">
        <f t="shared" ref="G49:G98" si="2">"ON1"</f>
        <v>ON1</v>
      </c>
      <c r="H49" s="2" t="s">
        <v>21</v>
      </c>
      <c r="I49" s="2" t="s">
        <v>89</v>
      </c>
      <c r="J49" s="2" t="s">
        <v>23</v>
      </c>
      <c r="K49" s="2" t="str">
        <f>"PFES1162726680_0001"</f>
        <v>PFES1162726680_0001</v>
      </c>
      <c r="L49" s="2">
        <v>1</v>
      </c>
      <c r="M49" s="2">
        <v>3</v>
      </c>
    </row>
    <row r="50" spans="1:13">
      <c r="A50" s="7">
        <v>43803</v>
      </c>
      <c r="B50" s="8">
        <v>0.64930555555555558</v>
      </c>
      <c r="C50" s="2" t="str">
        <f>"FES1162726743"</f>
        <v>FES1162726743</v>
      </c>
      <c r="D50" s="2" t="s">
        <v>19</v>
      </c>
      <c r="E50" s="2" t="s">
        <v>90</v>
      </c>
      <c r="F50" s="2" t="str">
        <f>"21707120169 "</f>
        <v xml:space="preserve">21707120169 </v>
      </c>
      <c r="G50" s="2" t="str">
        <f t="shared" si="2"/>
        <v>ON1</v>
      </c>
      <c r="H50" s="2" t="s">
        <v>21</v>
      </c>
      <c r="I50" s="2" t="s">
        <v>22</v>
      </c>
      <c r="J50" s="2" t="s">
        <v>23</v>
      </c>
      <c r="K50" s="2" t="str">
        <f>"PFES1162726743_0001"</f>
        <v>PFES1162726743_0001</v>
      </c>
      <c r="L50" s="2">
        <v>1</v>
      </c>
      <c r="M50" s="2">
        <v>3</v>
      </c>
    </row>
    <row r="51" spans="1:13">
      <c r="A51" s="7">
        <v>43803</v>
      </c>
      <c r="B51" s="8">
        <v>0.64930555555555558</v>
      </c>
      <c r="C51" s="2" t="str">
        <f>"FES1162726749"</f>
        <v>FES1162726749</v>
      </c>
      <c r="D51" s="2" t="s">
        <v>19</v>
      </c>
      <c r="E51" s="2" t="s">
        <v>91</v>
      </c>
      <c r="F51" s="2" t="str">
        <f>" 2170720176 "</f>
        <v xml:space="preserve"> 2170720176 </v>
      </c>
      <c r="G51" s="2" t="str">
        <f t="shared" si="2"/>
        <v>ON1</v>
      </c>
      <c r="H51" s="2" t="s">
        <v>21</v>
      </c>
      <c r="I51" s="2" t="s">
        <v>92</v>
      </c>
      <c r="J51" s="2" t="s">
        <v>23</v>
      </c>
      <c r="K51" s="2" t="str">
        <f>"PFES1162726749_0001"</f>
        <v>PFES1162726749_0001</v>
      </c>
      <c r="L51" s="2">
        <v>1</v>
      </c>
      <c r="M51" s="2">
        <v>1</v>
      </c>
    </row>
    <row r="52" spans="1:13">
      <c r="A52" s="7">
        <v>43803</v>
      </c>
      <c r="B52" s="8">
        <v>0.64861111111111114</v>
      </c>
      <c r="C52" s="2" t="str">
        <f>"FES1162726754"</f>
        <v>FES1162726754</v>
      </c>
      <c r="D52" s="2" t="s">
        <v>19</v>
      </c>
      <c r="E52" s="2" t="s">
        <v>93</v>
      </c>
      <c r="F52" s="2" t="str">
        <f>"2170720181 "</f>
        <v xml:space="preserve">2170720181 </v>
      </c>
      <c r="G52" s="2" t="str">
        <f t="shared" si="2"/>
        <v>ON1</v>
      </c>
      <c r="H52" s="2" t="s">
        <v>21</v>
      </c>
      <c r="I52" s="2" t="s">
        <v>31</v>
      </c>
      <c r="J52" s="2" t="s">
        <v>23</v>
      </c>
      <c r="K52" s="2" t="str">
        <f>"PFES1162726754_0001"</f>
        <v>PFES1162726754_0001</v>
      </c>
      <c r="L52" s="2">
        <v>1</v>
      </c>
      <c r="M52" s="2">
        <v>1</v>
      </c>
    </row>
    <row r="53" spans="1:13">
      <c r="A53" s="7">
        <v>43803</v>
      </c>
      <c r="B53" s="8">
        <v>0.64861111111111114</v>
      </c>
      <c r="C53" s="2" t="str">
        <f>"FES1162726701"</f>
        <v>FES1162726701</v>
      </c>
      <c r="D53" s="2" t="s">
        <v>19</v>
      </c>
      <c r="E53" s="2" t="s">
        <v>94</v>
      </c>
      <c r="F53" s="2" t="str">
        <f>"2170719360 "</f>
        <v xml:space="preserve">2170719360 </v>
      </c>
      <c r="G53" s="2" t="str">
        <f t="shared" si="2"/>
        <v>ON1</v>
      </c>
      <c r="H53" s="2" t="s">
        <v>21</v>
      </c>
      <c r="I53" s="2" t="s">
        <v>95</v>
      </c>
      <c r="J53" s="2" t="s">
        <v>23</v>
      </c>
      <c r="K53" s="2" t="str">
        <f>"PFES1162726701_0001"</f>
        <v>PFES1162726701_0001</v>
      </c>
      <c r="L53" s="2">
        <v>1</v>
      </c>
      <c r="M53" s="2">
        <v>1</v>
      </c>
    </row>
    <row r="54" spans="1:13">
      <c r="A54" s="7">
        <v>43803</v>
      </c>
      <c r="B54" s="8">
        <v>0.6479166666666667</v>
      </c>
      <c r="C54" s="2" t="str">
        <f>"FES1162726775"</f>
        <v>FES1162726775</v>
      </c>
      <c r="D54" s="2" t="s">
        <v>19</v>
      </c>
      <c r="E54" s="2" t="s">
        <v>96</v>
      </c>
      <c r="F54" s="2" t="str">
        <f>"2170720218 "</f>
        <v xml:space="preserve">2170720218 </v>
      </c>
      <c r="G54" s="2" t="str">
        <f t="shared" si="2"/>
        <v>ON1</v>
      </c>
      <c r="H54" s="2" t="s">
        <v>21</v>
      </c>
      <c r="I54" s="2" t="s">
        <v>56</v>
      </c>
      <c r="J54" s="2" t="s">
        <v>23</v>
      </c>
      <c r="K54" s="2" t="str">
        <f>"PFES1162726775_0001"</f>
        <v>PFES1162726775_0001</v>
      </c>
      <c r="L54" s="2">
        <v>1</v>
      </c>
      <c r="M54" s="2">
        <v>1</v>
      </c>
    </row>
    <row r="55" spans="1:13">
      <c r="A55" s="7">
        <v>43803</v>
      </c>
      <c r="B55" s="8">
        <v>0.6479166666666667</v>
      </c>
      <c r="C55" s="2" t="str">
        <f>"FES1162726721"</f>
        <v>FES1162726721</v>
      </c>
      <c r="D55" s="2" t="s">
        <v>19</v>
      </c>
      <c r="E55" s="2" t="s">
        <v>97</v>
      </c>
      <c r="F55" s="2" t="str">
        <f>"2170718712 "</f>
        <v xml:space="preserve">2170718712 </v>
      </c>
      <c r="G55" s="2" t="str">
        <f t="shared" si="2"/>
        <v>ON1</v>
      </c>
      <c r="H55" s="2" t="s">
        <v>21</v>
      </c>
      <c r="I55" s="2" t="s">
        <v>98</v>
      </c>
      <c r="J55" s="2" t="s">
        <v>23</v>
      </c>
      <c r="K55" s="2" t="str">
        <f>"PFES1162726721_0001"</f>
        <v>PFES1162726721_0001</v>
      </c>
      <c r="L55" s="2">
        <v>1</v>
      </c>
      <c r="M55" s="2">
        <v>5</v>
      </c>
    </row>
    <row r="56" spans="1:13">
      <c r="A56" s="7">
        <v>43803</v>
      </c>
      <c r="B56" s="8">
        <v>0.6479166666666667</v>
      </c>
      <c r="C56" s="2" t="str">
        <f>"FES1162726518"</f>
        <v>FES1162726518</v>
      </c>
      <c r="D56" s="2" t="s">
        <v>19</v>
      </c>
      <c r="E56" s="2" t="s">
        <v>77</v>
      </c>
      <c r="F56" s="2" t="str">
        <f>"2170719969 "</f>
        <v xml:space="preserve">2170719969 </v>
      </c>
      <c r="G56" s="2" t="str">
        <f t="shared" si="2"/>
        <v>ON1</v>
      </c>
      <c r="H56" s="2" t="s">
        <v>21</v>
      </c>
      <c r="I56" s="2" t="s">
        <v>78</v>
      </c>
      <c r="J56" s="2" t="s">
        <v>23</v>
      </c>
      <c r="K56" s="2" t="str">
        <f>"PFES1162726518_0001"</f>
        <v>PFES1162726518_0001</v>
      </c>
      <c r="L56" s="2">
        <v>1</v>
      </c>
      <c r="M56" s="2">
        <v>6</v>
      </c>
    </row>
    <row r="57" spans="1:13">
      <c r="A57" s="7">
        <v>43803</v>
      </c>
      <c r="B57" s="8">
        <v>0.64722222222222225</v>
      </c>
      <c r="C57" s="2" t="str">
        <f>"FES1162726637"</f>
        <v>FES1162726637</v>
      </c>
      <c r="D57" s="2" t="s">
        <v>19</v>
      </c>
      <c r="E57" s="2" t="s">
        <v>59</v>
      </c>
      <c r="F57" s="2" t="str">
        <f>"2170720116 "</f>
        <v xml:space="preserve">2170720116 </v>
      </c>
      <c r="G57" s="2" t="str">
        <f t="shared" si="2"/>
        <v>ON1</v>
      </c>
      <c r="H57" s="2" t="s">
        <v>21</v>
      </c>
      <c r="I57" s="2" t="s">
        <v>60</v>
      </c>
      <c r="J57" s="2" t="s">
        <v>23</v>
      </c>
      <c r="K57" s="2" t="str">
        <f>"PFES1162726637_0001"</f>
        <v>PFES1162726637_0001</v>
      </c>
      <c r="L57" s="2">
        <v>1</v>
      </c>
      <c r="M57" s="2">
        <v>1</v>
      </c>
    </row>
    <row r="58" spans="1:13">
      <c r="A58" s="7">
        <v>43803</v>
      </c>
      <c r="B58" s="8">
        <v>0.63680555555555551</v>
      </c>
      <c r="C58" s="2" t="str">
        <f>"FES1162726713"</f>
        <v>FES1162726713</v>
      </c>
      <c r="D58" s="2" t="s">
        <v>19</v>
      </c>
      <c r="E58" s="2" t="s">
        <v>99</v>
      </c>
      <c r="F58" s="2" t="str">
        <f>"2170710137 "</f>
        <v xml:space="preserve">2170710137 </v>
      </c>
      <c r="G58" s="2" t="str">
        <f t="shared" si="2"/>
        <v>ON1</v>
      </c>
      <c r="H58" s="2" t="s">
        <v>21</v>
      </c>
      <c r="I58" s="2" t="s">
        <v>100</v>
      </c>
      <c r="J58" s="2" t="s">
        <v>23</v>
      </c>
      <c r="K58" s="2" t="str">
        <f>"PFES1162726713_0001"</f>
        <v>PFES1162726713_0001</v>
      </c>
      <c r="L58" s="2">
        <v>1</v>
      </c>
      <c r="M58" s="2">
        <v>7</v>
      </c>
    </row>
    <row r="59" spans="1:13">
      <c r="A59" s="7">
        <v>43803</v>
      </c>
      <c r="B59" s="8">
        <v>0.63680555555555551</v>
      </c>
      <c r="C59" s="2" t="str">
        <f>"FES1162726683"</f>
        <v>FES1162726683</v>
      </c>
      <c r="D59" s="2" t="s">
        <v>19</v>
      </c>
      <c r="E59" s="2" t="s">
        <v>101</v>
      </c>
      <c r="F59" s="2" t="str">
        <f>"2170718102 "</f>
        <v xml:space="preserve">2170718102 </v>
      </c>
      <c r="G59" s="2" t="str">
        <f t="shared" si="2"/>
        <v>ON1</v>
      </c>
      <c r="H59" s="2" t="s">
        <v>21</v>
      </c>
      <c r="I59" s="2" t="s">
        <v>102</v>
      </c>
      <c r="J59" s="2" t="s">
        <v>23</v>
      </c>
      <c r="K59" s="2" t="str">
        <f>"PFES1162726683_0001"</f>
        <v>PFES1162726683_0001</v>
      </c>
      <c r="L59" s="2">
        <v>1</v>
      </c>
      <c r="M59" s="2">
        <v>14</v>
      </c>
    </row>
    <row r="60" spans="1:13">
      <c r="A60" s="7">
        <v>43803</v>
      </c>
      <c r="B60" s="8">
        <v>0.63611111111111118</v>
      </c>
      <c r="C60" s="2" t="str">
        <f>"FES1162726760"</f>
        <v>FES1162726760</v>
      </c>
      <c r="D60" s="2" t="s">
        <v>19</v>
      </c>
      <c r="E60" s="2" t="s">
        <v>103</v>
      </c>
      <c r="F60" s="2" t="str">
        <f>"2170720187 "</f>
        <v xml:space="preserve">2170720187 </v>
      </c>
      <c r="G60" s="2" t="str">
        <f t="shared" si="2"/>
        <v>ON1</v>
      </c>
      <c r="H60" s="2" t="s">
        <v>21</v>
      </c>
      <c r="I60" s="2" t="s">
        <v>104</v>
      </c>
      <c r="J60" s="2" t="s">
        <v>23</v>
      </c>
      <c r="K60" s="2" t="str">
        <f>"PFES1162726760_0001"</f>
        <v>PFES1162726760_0001</v>
      </c>
      <c r="L60" s="2">
        <v>1</v>
      </c>
      <c r="M60" s="2">
        <v>2</v>
      </c>
    </row>
    <row r="61" spans="1:13">
      <c r="A61" s="7">
        <v>43803</v>
      </c>
      <c r="B61" s="8">
        <v>0.63541666666666663</v>
      </c>
      <c r="C61" s="2" t="str">
        <f>"FES1162726703"</f>
        <v>FES1162726703</v>
      </c>
      <c r="D61" s="2" t="s">
        <v>19</v>
      </c>
      <c r="E61" s="2" t="s">
        <v>105</v>
      </c>
      <c r="F61" s="2" t="str">
        <f>"2170716089 "</f>
        <v xml:space="preserve">2170716089 </v>
      </c>
      <c r="G61" s="2" t="str">
        <f t="shared" si="2"/>
        <v>ON1</v>
      </c>
      <c r="H61" s="2" t="s">
        <v>21</v>
      </c>
      <c r="I61" s="2" t="s">
        <v>106</v>
      </c>
      <c r="J61" s="2" t="s">
        <v>23</v>
      </c>
      <c r="K61" s="2" t="str">
        <f>"PFES1162726703_0001"</f>
        <v>PFES1162726703_0001</v>
      </c>
      <c r="L61" s="2">
        <v>1</v>
      </c>
      <c r="M61" s="2">
        <v>1</v>
      </c>
    </row>
    <row r="62" spans="1:13">
      <c r="A62" s="7">
        <v>43803</v>
      </c>
      <c r="B62" s="8">
        <v>0.63402777777777775</v>
      </c>
      <c r="C62" s="2" t="str">
        <f>"FES1162726687"</f>
        <v>FES1162726687</v>
      </c>
      <c r="D62" s="2" t="s">
        <v>19</v>
      </c>
      <c r="E62" s="2" t="s">
        <v>107</v>
      </c>
      <c r="F62" s="2" t="str">
        <f>"2170718111 "</f>
        <v xml:space="preserve">2170718111 </v>
      </c>
      <c r="G62" s="2" t="str">
        <f t="shared" si="2"/>
        <v>ON1</v>
      </c>
      <c r="H62" s="2" t="s">
        <v>21</v>
      </c>
      <c r="I62" s="2" t="s">
        <v>56</v>
      </c>
      <c r="J62" s="2" t="s">
        <v>23</v>
      </c>
      <c r="K62" s="2" t="str">
        <f>"PFES1162726687_0001"</f>
        <v>PFES1162726687_0001</v>
      </c>
      <c r="L62" s="2">
        <v>1</v>
      </c>
      <c r="M62" s="2">
        <v>1</v>
      </c>
    </row>
    <row r="63" spans="1:13">
      <c r="A63" s="7">
        <v>43803</v>
      </c>
      <c r="B63" s="8">
        <v>0.6333333333333333</v>
      </c>
      <c r="C63" s="2" t="str">
        <f>"FES1162726753"</f>
        <v>FES1162726753</v>
      </c>
      <c r="D63" s="2" t="s">
        <v>19</v>
      </c>
      <c r="E63" s="2" t="s">
        <v>93</v>
      </c>
      <c r="F63" s="2" t="str">
        <f>"2170720180 "</f>
        <v xml:space="preserve">2170720180 </v>
      </c>
      <c r="G63" s="2" t="str">
        <f t="shared" si="2"/>
        <v>ON1</v>
      </c>
      <c r="H63" s="2" t="s">
        <v>21</v>
      </c>
      <c r="I63" s="2" t="s">
        <v>31</v>
      </c>
      <c r="J63" s="2" t="s">
        <v>23</v>
      </c>
      <c r="K63" s="2" t="str">
        <f>"PFES1162726753_0001"</f>
        <v>PFES1162726753_0001</v>
      </c>
      <c r="L63" s="2">
        <v>1</v>
      </c>
      <c r="M63" s="2">
        <v>1</v>
      </c>
    </row>
    <row r="64" spans="1:13">
      <c r="A64" s="7">
        <v>43803</v>
      </c>
      <c r="B64" s="8">
        <v>0.63263888888888886</v>
      </c>
      <c r="C64" s="2" t="str">
        <f>"FES1162726756"</f>
        <v>FES1162726756</v>
      </c>
      <c r="D64" s="2" t="s">
        <v>19</v>
      </c>
      <c r="E64" s="2" t="s">
        <v>108</v>
      </c>
      <c r="F64" s="2" t="str">
        <f>"2170726756 "</f>
        <v xml:space="preserve">2170726756 </v>
      </c>
      <c r="G64" s="2" t="str">
        <f t="shared" si="2"/>
        <v>ON1</v>
      </c>
      <c r="H64" s="2" t="s">
        <v>21</v>
      </c>
      <c r="I64" s="2" t="s">
        <v>104</v>
      </c>
      <c r="J64" s="2" t="s">
        <v>23</v>
      </c>
      <c r="K64" s="2" t="str">
        <f>"PFES1162726756_0001"</f>
        <v>PFES1162726756_0001</v>
      </c>
      <c r="L64" s="2">
        <v>1</v>
      </c>
      <c r="M64" s="2">
        <v>1</v>
      </c>
    </row>
    <row r="65" spans="1:13">
      <c r="A65" s="7">
        <v>43803</v>
      </c>
      <c r="B65" s="8">
        <v>0.63263888888888886</v>
      </c>
      <c r="C65" s="2" t="str">
        <f>"FES1162726755"</f>
        <v>FES1162726755</v>
      </c>
      <c r="D65" s="2" t="s">
        <v>19</v>
      </c>
      <c r="E65" s="2" t="s">
        <v>93</v>
      </c>
      <c r="F65" s="2" t="str">
        <f>"2170720182 "</f>
        <v xml:space="preserve">2170720182 </v>
      </c>
      <c r="G65" s="2" t="str">
        <f t="shared" si="2"/>
        <v>ON1</v>
      </c>
      <c r="H65" s="2" t="s">
        <v>21</v>
      </c>
      <c r="I65" s="2" t="s">
        <v>31</v>
      </c>
      <c r="J65" s="2" t="s">
        <v>23</v>
      </c>
      <c r="K65" s="2" t="str">
        <f>"PFES1162726755_0001"</f>
        <v>PFES1162726755_0001</v>
      </c>
      <c r="L65" s="2">
        <v>1</v>
      </c>
      <c r="M65" s="2">
        <v>1</v>
      </c>
    </row>
    <row r="66" spans="1:13">
      <c r="A66" s="7">
        <v>43803</v>
      </c>
      <c r="B66" s="8">
        <v>0.63263888888888886</v>
      </c>
      <c r="C66" s="2" t="str">
        <f>"FES1162726528"</f>
        <v>FES1162726528</v>
      </c>
      <c r="D66" s="2" t="s">
        <v>19</v>
      </c>
      <c r="E66" s="2" t="s">
        <v>109</v>
      </c>
      <c r="F66" s="2" t="str">
        <f>"2170719986 "</f>
        <v xml:space="preserve">2170719986 </v>
      </c>
      <c r="G66" s="2" t="str">
        <f t="shared" si="2"/>
        <v>ON1</v>
      </c>
      <c r="H66" s="2" t="s">
        <v>21</v>
      </c>
      <c r="I66" s="2" t="s">
        <v>100</v>
      </c>
      <c r="J66" s="2" t="s">
        <v>23</v>
      </c>
      <c r="K66" s="2" t="str">
        <f>"PFES1162726528_0001"</f>
        <v>PFES1162726528_0001</v>
      </c>
      <c r="L66" s="2">
        <v>1</v>
      </c>
      <c r="M66" s="2">
        <v>2</v>
      </c>
    </row>
    <row r="67" spans="1:13">
      <c r="A67" s="7">
        <v>43803</v>
      </c>
      <c r="B67" s="8">
        <v>0.63194444444444442</v>
      </c>
      <c r="C67" s="2" t="str">
        <f>"FES1162726626"</f>
        <v>FES1162726626</v>
      </c>
      <c r="D67" s="2" t="s">
        <v>19</v>
      </c>
      <c r="E67" s="2" t="s">
        <v>59</v>
      </c>
      <c r="F67" s="2" t="str">
        <f>"2170712018 "</f>
        <v xml:space="preserve">2170712018 </v>
      </c>
      <c r="G67" s="2" t="str">
        <f t="shared" si="2"/>
        <v>ON1</v>
      </c>
      <c r="H67" s="2" t="s">
        <v>21</v>
      </c>
      <c r="I67" s="2" t="s">
        <v>60</v>
      </c>
      <c r="J67" s="2" t="s">
        <v>23</v>
      </c>
      <c r="K67" s="2" t="str">
        <f>"PFES1162726626_0001"</f>
        <v>PFES1162726626_0001</v>
      </c>
      <c r="L67" s="2">
        <v>1</v>
      </c>
      <c r="M67" s="2">
        <v>6</v>
      </c>
    </row>
    <row r="68" spans="1:13">
      <c r="A68" s="7">
        <v>43803</v>
      </c>
      <c r="B68" s="8">
        <v>0.63194444444444442</v>
      </c>
      <c r="C68" s="2" t="str">
        <f>"FES1162726679"</f>
        <v>FES1162726679</v>
      </c>
      <c r="D68" s="2" t="s">
        <v>19</v>
      </c>
      <c r="E68" s="2" t="s">
        <v>110</v>
      </c>
      <c r="F68" s="2" t="str">
        <f>"2170718067 "</f>
        <v xml:space="preserve">2170718067 </v>
      </c>
      <c r="G68" s="2" t="str">
        <f t="shared" si="2"/>
        <v>ON1</v>
      </c>
      <c r="H68" s="2" t="s">
        <v>21</v>
      </c>
      <c r="I68" s="2" t="s">
        <v>111</v>
      </c>
      <c r="J68" s="2" t="s">
        <v>23</v>
      </c>
      <c r="K68" s="2" t="str">
        <f>"PFES1162726679_0001"</f>
        <v>PFES1162726679_0001</v>
      </c>
      <c r="L68" s="2">
        <v>1</v>
      </c>
      <c r="M68" s="2">
        <v>1</v>
      </c>
    </row>
    <row r="69" spans="1:13">
      <c r="A69" s="7">
        <v>43803</v>
      </c>
      <c r="B69" s="8">
        <v>0.63194444444444442</v>
      </c>
      <c r="C69" s="2" t="str">
        <f>"FES1162726750"</f>
        <v>FES1162726750</v>
      </c>
      <c r="D69" s="2" t="s">
        <v>19</v>
      </c>
      <c r="E69" s="2" t="s">
        <v>30</v>
      </c>
      <c r="F69" s="2" t="str">
        <f>"217071230177 "</f>
        <v xml:space="preserve">217071230177 </v>
      </c>
      <c r="G69" s="2" t="str">
        <f t="shared" si="2"/>
        <v>ON1</v>
      </c>
      <c r="H69" s="2" t="s">
        <v>21</v>
      </c>
      <c r="I69" s="2" t="s">
        <v>31</v>
      </c>
      <c r="J69" s="2" t="s">
        <v>23</v>
      </c>
      <c r="K69" s="2" t="str">
        <f>"PFES1162726750_0001"</f>
        <v>PFES1162726750_0001</v>
      </c>
      <c r="L69" s="2">
        <v>1</v>
      </c>
      <c r="M69" s="2">
        <v>2</v>
      </c>
    </row>
    <row r="70" spans="1:13">
      <c r="A70" s="7">
        <v>43803</v>
      </c>
      <c r="B70" s="8">
        <v>0.63124999999999998</v>
      </c>
      <c r="C70" s="2" t="str">
        <f>"FES1162726761"</f>
        <v>FES1162726761</v>
      </c>
      <c r="D70" s="2" t="s">
        <v>19</v>
      </c>
      <c r="E70" s="2" t="s">
        <v>112</v>
      </c>
      <c r="F70" s="2" t="str">
        <f>"2170720189 "</f>
        <v xml:space="preserve">2170720189 </v>
      </c>
      <c r="G70" s="2" t="str">
        <f t="shared" si="2"/>
        <v>ON1</v>
      </c>
      <c r="H70" s="2" t="s">
        <v>21</v>
      </c>
      <c r="I70" s="2" t="s">
        <v>113</v>
      </c>
      <c r="J70" s="2" t="s">
        <v>23</v>
      </c>
      <c r="K70" s="2" t="str">
        <f>"PFES1162726761_0001"</f>
        <v>PFES1162726761_0001</v>
      </c>
      <c r="L70" s="2">
        <v>1</v>
      </c>
      <c r="M70" s="2">
        <v>11</v>
      </c>
    </row>
    <row r="71" spans="1:13">
      <c r="A71" s="7">
        <v>43803</v>
      </c>
      <c r="B71" s="8">
        <v>0.63124999999999998</v>
      </c>
      <c r="C71" s="2" t="str">
        <f>"FES1162726716"</f>
        <v>FES1162726716</v>
      </c>
      <c r="D71" s="2" t="s">
        <v>19</v>
      </c>
      <c r="E71" s="2" t="s">
        <v>114</v>
      </c>
      <c r="F71" s="2" t="str">
        <f>"2170720141 "</f>
        <v xml:space="preserve">2170720141 </v>
      </c>
      <c r="G71" s="2" t="str">
        <f t="shared" si="2"/>
        <v>ON1</v>
      </c>
      <c r="H71" s="2" t="s">
        <v>21</v>
      </c>
      <c r="I71" s="2" t="s">
        <v>115</v>
      </c>
      <c r="J71" s="2" t="s">
        <v>23</v>
      </c>
      <c r="K71" s="2" t="str">
        <f>"PFES1162726716_0001"</f>
        <v>PFES1162726716_0001</v>
      </c>
      <c r="L71" s="2">
        <v>1</v>
      </c>
      <c r="M71" s="2">
        <v>1</v>
      </c>
    </row>
    <row r="72" spans="1:13">
      <c r="A72" s="7">
        <v>43803</v>
      </c>
      <c r="B72" s="8">
        <v>0.63055555555555554</v>
      </c>
      <c r="C72" s="2" t="str">
        <f>"FES1162726875"</f>
        <v>FES1162726875</v>
      </c>
      <c r="D72" s="2" t="s">
        <v>19</v>
      </c>
      <c r="E72" s="2" t="s">
        <v>116</v>
      </c>
      <c r="F72" s="2" t="str">
        <f>"217071939 "</f>
        <v xml:space="preserve">217071939 </v>
      </c>
      <c r="G72" s="2" t="str">
        <f t="shared" si="2"/>
        <v>ON1</v>
      </c>
      <c r="H72" s="2" t="s">
        <v>21</v>
      </c>
      <c r="I72" s="2" t="s">
        <v>117</v>
      </c>
      <c r="J72" s="2" t="s">
        <v>23</v>
      </c>
      <c r="K72" s="2" t="str">
        <f>"PFES1162726875_0001"</f>
        <v>PFES1162726875_0001</v>
      </c>
      <c r="L72" s="2">
        <v>1</v>
      </c>
      <c r="M72" s="2">
        <v>9</v>
      </c>
    </row>
    <row r="73" spans="1:13">
      <c r="A73" s="7">
        <v>43803</v>
      </c>
      <c r="B73" s="8">
        <v>0.62708333333333333</v>
      </c>
      <c r="C73" s="2" t="str">
        <f>"FES1162726787"</f>
        <v>FES1162726787</v>
      </c>
      <c r="D73" s="2" t="s">
        <v>19</v>
      </c>
      <c r="E73" s="2" t="s">
        <v>118</v>
      </c>
      <c r="F73" s="2" t="str">
        <f>"2170720227 "</f>
        <v xml:space="preserve">2170720227 </v>
      </c>
      <c r="G73" s="2" t="str">
        <f t="shared" si="2"/>
        <v>ON1</v>
      </c>
      <c r="H73" s="2" t="s">
        <v>21</v>
      </c>
      <c r="I73" s="2" t="s">
        <v>119</v>
      </c>
      <c r="J73" s="2" t="s">
        <v>23</v>
      </c>
      <c r="K73" s="2" t="str">
        <f>"PFES1162726787_0001"</f>
        <v>PFES1162726787_0001</v>
      </c>
      <c r="L73" s="2">
        <v>1</v>
      </c>
      <c r="M73" s="2">
        <v>5</v>
      </c>
    </row>
    <row r="74" spans="1:13">
      <c r="A74" s="7">
        <v>43803</v>
      </c>
      <c r="B74" s="8">
        <v>0.62638888888888888</v>
      </c>
      <c r="C74" s="2" t="str">
        <f>"FES1162726802"</f>
        <v>FES1162726802</v>
      </c>
      <c r="D74" s="2" t="s">
        <v>19</v>
      </c>
      <c r="E74" s="2" t="s">
        <v>53</v>
      </c>
      <c r="F74" s="2" t="str">
        <f>"217071249 "</f>
        <v xml:space="preserve">217071249 </v>
      </c>
      <c r="G74" s="2" t="str">
        <f t="shared" si="2"/>
        <v>ON1</v>
      </c>
      <c r="H74" s="2" t="s">
        <v>21</v>
      </c>
      <c r="I74" s="2" t="s">
        <v>54</v>
      </c>
      <c r="J74" s="2" t="s">
        <v>23</v>
      </c>
      <c r="K74" s="2" t="str">
        <f>"PFES1162726802_0001"</f>
        <v>PFES1162726802_0001</v>
      </c>
      <c r="L74" s="2">
        <v>1</v>
      </c>
      <c r="M74" s="2">
        <v>3</v>
      </c>
    </row>
    <row r="75" spans="1:13">
      <c r="A75" s="7">
        <v>43803</v>
      </c>
      <c r="B75" s="8">
        <v>0.61249999999999993</v>
      </c>
      <c r="C75" s="2" t="str">
        <f>"FES1162726698"</f>
        <v>FES1162726698</v>
      </c>
      <c r="D75" s="2" t="s">
        <v>19</v>
      </c>
      <c r="E75" s="2" t="s">
        <v>120</v>
      </c>
      <c r="F75" s="2" t="str">
        <f>"2170718811 "</f>
        <v xml:space="preserve">2170718811 </v>
      </c>
      <c r="G75" s="2" t="str">
        <f t="shared" si="2"/>
        <v>ON1</v>
      </c>
      <c r="H75" s="2" t="s">
        <v>21</v>
      </c>
      <c r="I75" s="2" t="s">
        <v>121</v>
      </c>
      <c r="J75" s="2" t="s">
        <v>23</v>
      </c>
      <c r="K75" s="2" t="str">
        <f>"PFES1162726698_0001"</f>
        <v>PFES1162726698_0001</v>
      </c>
      <c r="L75" s="2">
        <v>1</v>
      </c>
      <c r="M75" s="2">
        <v>2</v>
      </c>
    </row>
    <row r="76" spans="1:13">
      <c r="A76" s="7">
        <v>43803</v>
      </c>
      <c r="B76" s="8">
        <v>0.6118055555555556</v>
      </c>
      <c r="C76" s="2" t="str">
        <f>"FES1162726692"</f>
        <v>FES1162726692</v>
      </c>
      <c r="D76" s="2" t="s">
        <v>19</v>
      </c>
      <c r="E76" s="2" t="s">
        <v>77</v>
      </c>
      <c r="F76" s="2" t="str">
        <f>"2170718172 "</f>
        <v xml:space="preserve">2170718172 </v>
      </c>
      <c r="G76" s="2" t="str">
        <f t="shared" si="2"/>
        <v>ON1</v>
      </c>
      <c r="H76" s="2" t="s">
        <v>21</v>
      </c>
      <c r="I76" s="2" t="s">
        <v>78</v>
      </c>
      <c r="J76" s="2" t="s">
        <v>23</v>
      </c>
      <c r="K76" s="2" t="str">
        <f>"PFES1162726692_0001"</f>
        <v>PFES1162726692_0001</v>
      </c>
      <c r="L76" s="2">
        <v>1</v>
      </c>
      <c r="M76" s="2">
        <v>1</v>
      </c>
    </row>
    <row r="77" spans="1:13">
      <c r="A77" s="7">
        <v>43803</v>
      </c>
      <c r="B77" s="8">
        <v>0.61041666666666672</v>
      </c>
      <c r="C77" s="2" t="str">
        <f>"FES1162726663"</f>
        <v>FES1162726663</v>
      </c>
      <c r="D77" s="2" t="s">
        <v>19</v>
      </c>
      <c r="E77" s="2" t="s">
        <v>122</v>
      </c>
      <c r="F77" s="2" t="str">
        <f>"2170716950 "</f>
        <v xml:space="preserve">2170716950 </v>
      </c>
      <c r="G77" s="2" t="str">
        <f t="shared" si="2"/>
        <v>ON1</v>
      </c>
      <c r="H77" s="2" t="s">
        <v>21</v>
      </c>
      <c r="I77" s="2" t="s">
        <v>123</v>
      </c>
      <c r="J77" s="2" t="s">
        <v>23</v>
      </c>
      <c r="K77" s="2" t="str">
        <f>"PFES1162726663_0001"</f>
        <v>PFES1162726663_0001</v>
      </c>
      <c r="L77" s="2">
        <v>1</v>
      </c>
      <c r="M77" s="2">
        <v>1</v>
      </c>
    </row>
    <row r="78" spans="1:13">
      <c r="A78" s="7">
        <v>43803</v>
      </c>
      <c r="B78" s="8">
        <v>0.60972222222222217</v>
      </c>
      <c r="C78" s="2" t="str">
        <f>"FES1162726556"</f>
        <v>FES1162726556</v>
      </c>
      <c r="D78" s="2" t="s">
        <v>19</v>
      </c>
      <c r="E78" s="2" t="s">
        <v>124</v>
      </c>
      <c r="F78" s="2" t="str">
        <f>"2170720024 "</f>
        <v xml:space="preserve">2170720024 </v>
      </c>
      <c r="G78" s="2" t="str">
        <f t="shared" si="2"/>
        <v>ON1</v>
      </c>
      <c r="H78" s="2" t="s">
        <v>21</v>
      </c>
      <c r="I78" s="2" t="s">
        <v>125</v>
      </c>
      <c r="J78" s="2" t="s">
        <v>23</v>
      </c>
      <c r="K78" s="2" t="str">
        <f>"PFES1162726556_0001"</f>
        <v>PFES1162726556_0001</v>
      </c>
      <c r="L78" s="2">
        <v>1</v>
      </c>
      <c r="M78" s="2">
        <v>1</v>
      </c>
    </row>
    <row r="79" spans="1:13">
      <c r="A79" s="7">
        <v>43803</v>
      </c>
      <c r="B79" s="8">
        <v>0.60833333333333328</v>
      </c>
      <c r="C79" s="2" t="str">
        <f>"FES1162726580"</f>
        <v>FES1162726580</v>
      </c>
      <c r="D79" s="2" t="s">
        <v>19</v>
      </c>
      <c r="E79" s="2" t="s">
        <v>126</v>
      </c>
      <c r="F79" s="2" t="str">
        <f>"2170720051 "</f>
        <v xml:space="preserve">2170720051 </v>
      </c>
      <c r="G79" s="2" t="str">
        <f t="shared" si="2"/>
        <v>ON1</v>
      </c>
      <c r="H79" s="2" t="s">
        <v>21</v>
      </c>
      <c r="I79" s="2" t="s">
        <v>27</v>
      </c>
      <c r="J79" s="2" t="s">
        <v>23</v>
      </c>
      <c r="K79" s="2" t="str">
        <f>"PFES1162726580_0001"</f>
        <v>PFES1162726580_0001</v>
      </c>
      <c r="L79" s="2">
        <v>1</v>
      </c>
      <c r="M79" s="2">
        <v>2</v>
      </c>
    </row>
    <row r="80" spans="1:13">
      <c r="A80" s="7">
        <v>43803</v>
      </c>
      <c r="B80" s="8">
        <v>0.60763888888888895</v>
      </c>
      <c r="C80" s="2" t="str">
        <f>"FES1162726588"</f>
        <v>FES1162726588</v>
      </c>
      <c r="D80" s="2" t="s">
        <v>19</v>
      </c>
      <c r="E80" s="2" t="s">
        <v>127</v>
      </c>
      <c r="F80" s="2" t="str">
        <f>"2170720061 "</f>
        <v xml:space="preserve">2170720061 </v>
      </c>
      <c r="G80" s="2" t="str">
        <f t="shared" si="2"/>
        <v>ON1</v>
      </c>
      <c r="H80" s="2" t="s">
        <v>21</v>
      </c>
      <c r="I80" s="2" t="s">
        <v>128</v>
      </c>
      <c r="J80" s="2" t="s">
        <v>23</v>
      </c>
      <c r="K80" s="2" t="str">
        <f>"PFES1162726588_0001"</f>
        <v>PFES1162726588_0001</v>
      </c>
      <c r="L80" s="2">
        <v>1</v>
      </c>
      <c r="M80" s="2">
        <v>1</v>
      </c>
    </row>
    <row r="81" spans="1:13">
      <c r="A81" s="7">
        <v>43803</v>
      </c>
      <c r="B81" s="8">
        <v>0.6069444444444444</v>
      </c>
      <c r="C81" s="2" t="str">
        <f>"FES1162726631"</f>
        <v>FES1162726631</v>
      </c>
      <c r="D81" s="2" t="s">
        <v>19</v>
      </c>
      <c r="E81" s="2" t="s">
        <v>129</v>
      </c>
      <c r="F81" s="2" t="str">
        <f>"2170720110 "</f>
        <v xml:space="preserve">2170720110 </v>
      </c>
      <c r="G81" s="2" t="str">
        <f t="shared" si="2"/>
        <v>ON1</v>
      </c>
      <c r="H81" s="2" t="s">
        <v>21</v>
      </c>
      <c r="I81" s="2" t="s">
        <v>130</v>
      </c>
      <c r="J81" s="2" t="s">
        <v>23</v>
      </c>
      <c r="K81" s="2" t="str">
        <f>"PFES1162726631_0001"</f>
        <v>PFES1162726631_0001</v>
      </c>
      <c r="L81" s="2">
        <v>1</v>
      </c>
      <c r="M81" s="2">
        <v>1</v>
      </c>
    </row>
    <row r="82" spans="1:13">
      <c r="A82" s="7">
        <v>43803</v>
      </c>
      <c r="B82" s="8">
        <v>0.60347222222222219</v>
      </c>
      <c r="C82" s="2" t="str">
        <f>"FES1162726550"</f>
        <v>FES1162726550</v>
      </c>
      <c r="D82" s="2" t="s">
        <v>19</v>
      </c>
      <c r="E82" s="2" t="s">
        <v>131</v>
      </c>
      <c r="F82" s="2" t="str">
        <f>"2170720019 "</f>
        <v xml:space="preserve">2170720019 </v>
      </c>
      <c r="G82" s="2" t="str">
        <f t="shared" si="2"/>
        <v>ON1</v>
      </c>
      <c r="H82" s="2" t="s">
        <v>21</v>
      </c>
      <c r="I82" s="2" t="s">
        <v>132</v>
      </c>
      <c r="J82" s="2" t="s">
        <v>23</v>
      </c>
      <c r="K82" s="2" t="str">
        <f>"PFES1162726550_0001"</f>
        <v>PFES1162726550_0001</v>
      </c>
      <c r="L82" s="2">
        <v>1</v>
      </c>
      <c r="M82" s="2">
        <v>1</v>
      </c>
    </row>
    <row r="83" spans="1:13">
      <c r="A83" s="7">
        <v>43803</v>
      </c>
      <c r="B83" s="8">
        <v>0.6020833333333333</v>
      </c>
      <c r="C83" s="2" t="str">
        <f>"FES1162726542"</f>
        <v>FES1162726542</v>
      </c>
      <c r="D83" s="2" t="s">
        <v>19</v>
      </c>
      <c r="E83" s="2" t="s">
        <v>24</v>
      </c>
      <c r="F83" s="2" t="str">
        <f>"2170720004 "</f>
        <v xml:space="preserve">2170720004 </v>
      </c>
      <c r="G83" s="2" t="str">
        <f t="shared" si="2"/>
        <v>ON1</v>
      </c>
      <c r="H83" s="2" t="s">
        <v>21</v>
      </c>
      <c r="I83" s="2" t="s">
        <v>25</v>
      </c>
      <c r="J83" s="2" t="s">
        <v>23</v>
      </c>
      <c r="K83" s="2" t="str">
        <f>"PFES1162726542_0001"</f>
        <v>PFES1162726542_0001</v>
      </c>
      <c r="L83" s="2">
        <v>1</v>
      </c>
      <c r="M83" s="2">
        <v>1</v>
      </c>
    </row>
    <row r="84" spans="1:13">
      <c r="A84" s="7">
        <v>43803</v>
      </c>
      <c r="B84" s="8">
        <v>0.60069444444444442</v>
      </c>
      <c r="C84" s="2" t="str">
        <f>"FES1162726648"</f>
        <v>FES1162726648</v>
      </c>
      <c r="D84" s="2" t="s">
        <v>19</v>
      </c>
      <c r="E84" s="2" t="s">
        <v>133</v>
      </c>
      <c r="F84" s="2" t="str">
        <f>"2170720127 "</f>
        <v xml:space="preserve">2170720127 </v>
      </c>
      <c r="G84" s="2" t="str">
        <f t="shared" si="2"/>
        <v>ON1</v>
      </c>
      <c r="H84" s="2" t="s">
        <v>21</v>
      </c>
      <c r="I84" s="2" t="s">
        <v>134</v>
      </c>
      <c r="J84" s="2" t="s">
        <v>23</v>
      </c>
      <c r="K84" s="2" t="str">
        <f>"PFES1162726648_0001"</f>
        <v>PFES1162726648_0001</v>
      </c>
      <c r="L84" s="2">
        <v>1</v>
      </c>
      <c r="M84" s="2">
        <v>1</v>
      </c>
    </row>
    <row r="85" spans="1:13">
      <c r="A85" s="7">
        <v>43803</v>
      </c>
      <c r="B85" s="8">
        <v>0.6</v>
      </c>
      <c r="C85" s="2" t="str">
        <f>"FES1162726705"</f>
        <v>FES1162726705</v>
      </c>
      <c r="D85" s="2" t="s">
        <v>19</v>
      </c>
      <c r="E85" s="2" t="s">
        <v>135</v>
      </c>
      <c r="F85" s="2" t="str">
        <f>"2170719831 "</f>
        <v xml:space="preserve">2170719831 </v>
      </c>
      <c r="G85" s="2" t="str">
        <f t="shared" si="2"/>
        <v>ON1</v>
      </c>
      <c r="H85" s="2" t="s">
        <v>21</v>
      </c>
      <c r="I85" s="2" t="s">
        <v>136</v>
      </c>
      <c r="J85" s="2" t="s">
        <v>23</v>
      </c>
      <c r="K85" s="2" t="str">
        <f>"PFES1162726705_0001"</f>
        <v>PFES1162726705_0001</v>
      </c>
      <c r="L85" s="2">
        <v>1</v>
      </c>
      <c r="M85" s="2">
        <v>1</v>
      </c>
    </row>
    <row r="86" spans="1:13">
      <c r="A86" s="7">
        <v>43803</v>
      </c>
      <c r="B86" s="8">
        <v>0.59861111111111109</v>
      </c>
      <c r="C86" s="2" t="str">
        <f>"FES1162726688"</f>
        <v>FES1162726688</v>
      </c>
      <c r="D86" s="2" t="s">
        <v>19</v>
      </c>
      <c r="E86" s="2" t="s">
        <v>137</v>
      </c>
      <c r="F86" s="2" t="str">
        <f>"2170718112 "</f>
        <v xml:space="preserve">2170718112 </v>
      </c>
      <c r="G86" s="2" t="str">
        <f t="shared" si="2"/>
        <v>ON1</v>
      </c>
      <c r="H86" s="2" t="s">
        <v>21</v>
      </c>
      <c r="I86" s="2" t="s">
        <v>100</v>
      </c>
      <c r="J86" s="2" t="s">
        <v>23</v>
      </c>
      <c r="K86" s="2" t="str">
        <f>"PFES1162726688_0001"</f>
        <v>PFES1162726688_0001</v>
      </c>
      <c r="L86" s="2">
        <v>1</v>
      </c>
      <c r="M86" s="2">
        <v>1</v>
      </c>
    </row>
    <row r="87" spans="1:13">
      <c r="A87" s="7">
        <v>43803</v>
      </c>
      <c r="B87" s="8">
        <v>0.59722222222222221</v>
      </c>
      <c r="C87" s="2" t="str">
        <f>"FES1162726757"</f>
        <v>FES1162726757</v>
      </c>
      <c r="D87" s="2" t="s">
        <v>19</v>
      </c>
      <c r="E87" s="2" t="s">
        <v>103</v>
      </c>
      <c r="F87" s="2" t="str">
        <f>"2170720184 "</f>
        <v xml:space="preserve">2170720184 </v>
      </c>
      <c r="G87" s="2" t="str">
        <f t="shared" si="2"/>
        <v>ON1</v>
      </c>
      <c r="H87" s="2" t="s">
        <v>21</v>
      </c>
      <c r="I87" s="2" t="s">
        <v>104</v>
      </c>
      <c r="J87" s="2" t="s">
        <v>23</v>
      </c>
      <c r="K87" s="2" t="str">
        <f>"PFES1162726757_0001"</f>
        <v>PFES1162726757_0001</v>
      </c>
      <c r="L87" s="2">
        <v>1</v>
      </c>
      <c r="M87" s="2">
        <v>1</v>
      </c>
    </row>
    <row r="88" spans="1:13">
      <c r="A88" s="7">
        <v>43803</v>
      </c>
      <c r="B88" s="8">
        <v>0.59652777777777777</v>
      </c>
      <c r="C88" s="2" t="str">
        <f>"FES1162726720"</f>
        <v>FES1162726720</v>
      </c>
      <c r="D88" s="2" t="s">
        <v>19</v>
      </c>
      <c r="E88" s="2" t="s">
        <v>138</v>
      </c>
      <c r="F88" s="2" t="str">
        <f>"2170720146 "</f>
        <v xml:space="preserve">2170720146 </v>
      </c>
      <c r="G88" s="2" t="str">
        <f t="shared" si="2"/>
        <v>ON1</v>
      </c>
      <c r="H88" s="2" t="s">
        <v>21</v>
      </c>
      <c r="I88" s="2" t="s">
        <v>136</v>
      </c>
      <c r="J88" s="2" t="s">
        <v>23</v>
      </c>
      <c r="K88" s="2" t="str">
        <f>"PFES1162726720_0001"</f>
        <v>PFES1162726720_0001</v>
      </c>
      <c r="L88" s="2">
        <v>1</v>
      </c>
      <c r="M88" s="2">
        <v>1</v>
      </c>
    </row>
    <row r="89" spans="1:13">
      <c r="A89" s="7">
        <v>43803</v>
      </c>
      <c r="B89" s="8">
        <v>0.55763888888888891</v>
      </c>
      <c r="C89" s="2" t="str">
        <f>"FES1162726668"</f>
        <v>FES1162726668</v>
      </c>
      <c r="D89" s="2" t="s">
        <v>19</v>
      </c>
      <c r="E89" s="2" t="s">
        <v>139</v>
      </c>
      <c r="F89" s="2" t="str">
        <f>"2170717921 "</f>
        <v xml:space="preserve">2170717921 </v>
      </c>
      <c r="G89" s="2" t="str">
        <f t="shared" si="2"/>
        <v>ON1</v>
      </c>
      <c r="H89" s="2" t="s">
        <v>21</v>
      </c>
      <c r="I89" s="2" t="s">
        <v>123</v>
      </c>
      <c r="J89" s="2" t="s">
        <v>23</v>
      </c>
      <c r="K89" s="2" t="str">
        <f>"PFES1162726668_0001"</f>
        <v>PFES1162726668_0001</v>
      </c>
      <c r="L89" s="2">
        <v>1</v>
      </c>
      <c r="M89" s="2">
        <v>1</v>
      </c>
    </row>
    <row r="90" spans="1:13">
      <c r="A90" s="7">
        <v>43803</v>
      </c>
      <c r="B90" s="8">
        <v>0.55694444444444446</v>
      </c>
      <c r="C90" s="2" t="str">
        <f>"FES1162726531"</f>
        <v>FES1162726531</v>
      </c>
      <c r="D90" s="2" t="s">
        <v>19</v>
      </c>
      <c r="E90" s="2" t="s">
        <v>77</v>
      </c>
      <c r="F90" s="2" t="str">
        <f>"2170719993 "</f>
        <v xml:space="preserve">2170719993 </v>
      </c>
      <c r="G90" s="2" t="str">
        <f t="shared" si="2"/>
        <v>ON1</v>
      </c>
      <c r="H90" s="2" t="s">
        <v>21</v>
      </c>
      <c r="I90" s="2" t="s">
        <v>78</v>
      </c>
      <c r="J90" s="2" t="s">
        <v>23</v>
      </c>
      <c r="K90" s="2" t="str">
        <f>"PFES1162726531_0001"</f>
        <v>PFES1162726531_0001</v>
      </c>
      <c r="L90" s="2">
        <v>1</v>
      </c>
      <c r="M90" s="2">
        <v>1</v>
      </c>
    </row>
    <row r="91" spans="1:13">
      <c r="A91" s="7">
        <v>43803</v>
      </c>
      <c r="B91" s="8">
        <v>0.55486111111111114</v>
      </c>
      <c r="C91" s="2" t="str">
        <f>"FES1162726674"</f>
        <v>FES1162726674</v>
      </c>
      <c r="D91" s="2" t="s">
        <v>19</v>
      </c>
      <c r="E91" s="2" t="s">
        <v>140</v>
      </c>
      <c r="F91" s="2" t="str">
        <f>"2170718011 "</f>
        <v xml:space="preserve">2170718011 </v>
      </c>
      <c r="G91" s="2" t="str">
        <f t="shared" si="2"/>
        <v>ON1</v>
      </c>
      <c r="H91" s="2" t="s">
        <v>21</v>
      </c>
      <c r="I91" s="2" t="s">
        <v>141</v>
      </c>
      <c r="J91" s="2" t="s">
        <v>23</v>
      </c>
      <c r="K91" s="2" t="str">
        <f>"PFES1162726674_0001"</f>
        <v>PFES1162726674_0001</v>
      </c>
      <c r="L91" s="2">
        <v>1</v>
      </c>
      <c r="M91" s="2">
        <v>1</v>
      </c>
    </row>
    <row r="92" spans="1:13">
      <c r="A92" s="7">
        <v>43803</v>
      </c>
      <c r="B92" s="8">
        <v>0.5541666666666667</v>
      </c>
      <c r="C92" s="2" t="str">
        <f>"FES1162726543"</f>
        <v>FES1162726543</v>
      </c>
      <c r="D92" s="2" t="s">
        <v>19</v>
      </c>
      <c r="E92" s="2" t="s">
        <v>142</v>
      </c>
      <c r="F92" s="2" t="str">
        <f>"2170720007 "</f>
        <v xml:space="preserve">2170720007 </v>
      </c>
      <c r="G92" s="2" t="str">
        <f t="shared" si="2"/>
        <v>ON1</v>
      </c>
      <c r="H92" s="2" t="s">
        <v>21</v>
      </c>
      <c r="I92" s="2" t="s">
        <v>37</v>
      </c>
      <c r="J92" s="2" t="s">
        <v>23</v>
      </c>
      <c r="K92" s="2" t="str">
        <f>"PFES1162726543_0001"</f>
        <v>PFES1162726543_0001</v>
      </c>
      <c r="L92" s="2">
        <v>1</v>
      </c>
      <c r="M92" s="2">
        <v>1</v>
      </c>
    </row>
    <row r="93" spans="1:13">
      <c r="A93" s="7">
        <v>43803</v>
      </c>
      <c r="B93" s="8">
        <v>0.55347222222222225</v>
      </c>
      <c r="C93" s="2" t="str">
        <f>"FES1162726706"</f>
        <v>FES1162726706</v>
      </c>
      <c r="D93" s="2" t="s">
        <v>19</v>
      </c>
      <c r="E93" s="2" t="s">
        <v>82</v>
      </c>
      <c r="F93" s="2" t="str">
        <f>"2170719853 "</f>
        <v xml:space="preserve">2170719853 </v>
      </c>
      <c r="G93" s="2" t="str">
        <f t="shared" si="2"/>
        <v>ON1</v>
      </c>
      <c r="H93" s="2" t="s">
        <v>21</v>
      </c>
      <c r="I93" s="2" t="s">
        <v>72</v>
      </c>
      <c r="J93" s="2" t="s">
        <v>23</v>
      </c>
      <c r="K93" s="2" t="str">
        <f>"PFES1162726706_0001"</f>
        <v>PFES1162726706_0001</v>
      </c>
      <c r="L93" s="2">
        <v>1</v>
      </c>
      <c r="M93" s="2">
        <v>1</v>
      </c>
    </row>
    <row r="94" spans="1:13">
      <c r="A94" s="7">
        <v>43803</v>
      </c>
      <c r="B94" s="8">
        <v>0.55277777777777781</v>
      </c>
      <c r="C94" s="2" t="str">
        <f>"FES1162726711"</f>
        <v>FES1162726711</v>
      </c>
      <c r="D94" s="2" t="s">
        <v>19</v>
      </c>
      <c r="E94" s="2" t="s">
        <v>143</v>
      </c>
      <c r="F94" s="2" t="str">
        <f>"2170720133 "</f>
        <v xml:space="preserve">2170720133 </v>
      </c>
      <c r="G94" s="2" t="str">
        <f t="shared" si="2"/>
        <v>ON1</v>
      </c>
      <c r="H94" s="2" t="s">
        <v>21</v>
      </c>
      <c r="I94" s="2" t="s">
        <v>41</v>
      </c>
      <c r="J94" s="2" t="s">
        <v>23</v>
      </c>
      <c r="K94" s="2" t="str">
        <f>"PFES1162726711_0001"</f>
        <v>PFES1162726711_0001</v>
      </c>
      <c r="L94" s="2">
        <v>1</v>
      </c>
      <c r="M94" s="2">
        <v>1</v>
      </c>
    </row>
    <row r="95" spans="1:13">
      <c r="A95" s="7">
        <v>43803</v>
      </c>
      <c r="B95" s="8">
        <v>0.55138888888888882</v>
      </c>
      <c r="C95" s="2" t="str">
        <f>"FES1162726559"</f>
        <v>FES1162726559</v>
      </c>
      <c r="D95" s="2" t="s">
        <v>19</v>
      </c>
      <c r="E95" s="2" t="s">
        <v>144</v>
      </c>
      <c r="F95" s="2" t="str">
        <f>"2170719977 "</f>
        <v xml:space="preserve">2170719977 </v>
      </c>
      <c r="G95" s="2" t="str">
        <f t="shared" si="2"/>
        <v>ON1</v>
      </c>
      <c r="H95" s="2" t="s">
        <v>21</v>
      </c>
      <c r="I95" s="2" t="s">
        <v>145</v>
      </c>
      <c r="J95" s="2" t="s">
        <v>23</v>
      </c>
      <c r="K95" s="2" t="str">
        <f>"PFES1162726559_0001"</f>
        <v>PFES1162726559_0001</v>
      </c>
      <c r="L95" s="2">
        <v>1</v>
      </c>
      <c r="M95" s="2">
        <v>1</v>
      </c>
    </row>
    <row r="96" spans="1:13">
      <c r="A96" s="7">
        <v>43803</v>
      </c>
      <c r="B96" s="8">
        <v>0.55069444444444449</v>
      </c>
      <c r="C96" s="2" t="str">
        <f>"FES1162726725"</f>
        <v>FES1162726725</v>
      </c>
      <c r="D96" s="2" t="s">
        <v>19</v>
      </c>
      <c r="E96" s="2" t="s">
        <v>59</v>
      </c>
      <c r="F96" s="2" t="str">
        <f>"2170720154 "</f>
        <v xml:space="preserve">2170720154 </v>
      </c>
      <c r="G96" s="2" t="str">
        <f t="shared" si="2"/>
        <v>ON1</v>
      </c>
      <c r="H96" s="2" t="s">
        <v>21</v>
      </c>
      <c r="I96" s="2" t="s">
        <v>60</v>
      </c>
      <c r="J96" s="2" t="s">
        <v>23</v>
      </c>
      <c r="K96" s="2" t="str">
        <f>"PFES1162726725_0001"</f>
        <v>PFES1162726725_0001</v>
      </c>
      <c r="L96" s="2">
        <v>1</v>
      </c>
      <c r="M96" s="2">
        <v>1</v>
      </c>
    </row>
    <row r="97" spans="1:13">
      <c r="A97" s="7">
        <v>43803</v>
      </c>
      <c r="B97" s="8">
        <v>0.54999999999999993</v>
      </c>
      <c r="C97" s="2" t="str">
        <f>"FES1162726612"</f>
        <v>FES1162726612</v>
      </c>
      <c r="D97" s="2" t="s">
        <v>19</v>
      </c>
      <c r="E97" s="2" t="s">
        <v>36</v>
      </c>
      <c r="F97" s="2" t="str">
        <f>"2170718320 "</f>
        <v xml:space="preserve">2170718320 </v>
      </c>
      <c r="G97" s="2" t="str">
        <f t="shared" si="2"/>
        <v>ON1</v>
      </c>
      <c r="H97" s="2" t="s">
        <v>21</v>
      </c>
      <c r="I97" s="2" t="s">
        <v>37</v>
      </c>
      <c r="J97" s="2" t="s">
        <v>23</v>
      </c>
      <c r="K97" s="2" t="str">
        <f>"PFES1162726612_0001"</f>
        <v>PFES1162726612_0001</v>
      </c>
      <c r="L97" s="2">
        <v>1</v>
      </c>
      <c r="M97" s="2">
        <v>1</v>
      </c>
    </row>
    <row r="98" spans="1:13">
      <c r="A98" s="7">
        <v>43803</v>
      </c>
      <c r="B98" s="8">
        <v>0.54861111111111105</v>
      </c>
      <c r="C98" s="2" t="str">
        <f>"FES1162726657"</f>
        <v>FES1162726657</v>
      </c>
      <c r="D98" s="2" t="s">
        <v>19</v>
      </c>
      <c r="E98" s="2" t="s">
        <v>146</v>
      </c>
      <c r="F98" s="2" t="str">
        <f>"2170715637 "</f>
        <v xml:space="preserve">2170715637 </v>
      </c>
      <c r="G98" s="2" t="str">
        <f t="shared" si="2"/>
        <v>ON1</v>
      </c>
      <c r="H98" s="2" t="s">
        <v>21</v>
      </c>
      <c r="I98" s="2" t="s">
        <v>147</v>
      </c>
      <c r="J98" s="2" t="s">
        <v>23</v>
      </c>
      <c r="K98" s="2" t="str">
        <f>"PFES1162726657_0001"</f>
        <v>PFES1162726657_0001</v>
      </c>
      <c r="L98" s="2">
        <v>1</v>
      </c>
      <c r="M98" s="2">
        <v>1</v>
      </c>
    </row>
    <row r="99" spans="1:13">
      <c r="A99" s="7">
        <v>43803</v>
      </c>
      <c r="B99" s="8">
        <v>0.54861111111111105</v>
      </c>
      <c r="C99" s="2" t="str">
        <f>"FES1162726555"</f>
        <v>FES1162726555</v>
      </c>
      <c r="D99" s="2" t="s">
        <v>19</v>
      </c>
      <c r="E99" s="2" t="s">
        <v>148</v>
      </c>
      <c r="F99" s="2" t="str">
        <f>"2170720005 "</f>
        <v xml:space="preserve">2170720005 </v>
      </c>
      <c r="G99" s="2" t="str">
        <f>"SDX"</f>
        <v>SDX</v>
      </c>
      <c r="H99" s="2" t="s">
        <v>21</v>
      </c>
      <c r="I99" s="2" t="s">
        <v>41</v>
      </c>
      <c r="J99" s="2" t="s">
        <v>23</v>
      </c>
      <c r="K99" s="2" t="str">
        <f>"PFES1162726555_0001"</f>
        <v>PFES1162726555_0001</v>
      </c>
      <c r="L99" s="2">
        <v>1</v>
      </c>
      <c r="M99" s="2">
        <v>9</v>
      </c>
    </row>
    <row r="100" spans="1:13">
      <c r="A100" s="7">
        <v>43803</v>
      </c>
      <c r="B100" s="8">
        <v>0.54722222222222217</v>
      </c>
      <c r="C100" s="2" t="str">
        <f>"FES1162726682"</f>
        <v>FES1162726682</v>
      </c>
      <c r="D100" s="2" t="s">
        <v>19</v>
      </c>
      <c r="E100" s="2" t="s">
        <v>149</v>
      </c>
      <c r="F100" s="2" t="str">
        <f>"2170718101 "</f>
        <v xml:space="preserve">2170718101 </v>
      </c>
      <c r="G100" s="2" t="str">
        <f t="shared" ref="G100:G158" si="3">"ON1"</f>
        <v>ON1</v>
      </c>
      <c r="H100" s="2" t="s">
        <v>21</v>
      </c>
      <c r="I100" s="2" t="s">
        <v>119</v>
      </c>
      <c r="J100" s="2" t="s">
        <v>23</v>
      </c>
      <c r="K100" s="2" t="str">
        <f>"PFES1162726682_0001"</f>
        <v>PFES1162726682_0001</v>
      </c>
      <c r="L100" s="2">
        <v>1</v>
      </c>
      <c r="M100" s="2">
        <v>1</v>
      </c>
    </row>
    <row r="101" spans="1:13">
      <c r="A101" s="7">
        <v>43803</v>
      </c>
      <c r="B101" s="8">
        <v>0.53888888888888886</v>
      </c>
      <c r="C101" s="2" t="str">
        <f>"FES1162726498"</f>
        <v>FES1162726498</v>
      </c>
      <c r="D101" s="2" t="s">
        <v>19</v>
      </c>
      <c r="E101" s="2" t="s">
        <v>150</v>
      </c>
      <c r="F101" s="2" t="str">
        <f>"2170719941 "</f>
        <v xml:space="preserve">2170719941 </v>
      </c>
      <c r="G101" s="2" t="str">
        <f t="shared" si="3"/>
        <v>ON1</v>
      </c>
      <c r="H101" s="2" t="s">
        <v>21</v>
      </c>
      <c r="I101" s="2" t="s">
        <v>62</v>
      </c>
      <c r="J101" s="2" t="s">
        <v>23</v>
      </c>
      <c r="K101" s="2" t="str">
        <f>"PFES1162726498_0001"</f>
        <v>PFES1162726498_0001</v>
      </c>
      <c r="L101" s="2">
        <v>1</v>
      </c>
      <c r="M101" s="2">
        <v>1</v>
      </c>
    </row>
    <row r="102" spans="1:13">
      <c r="A102" s="7">
        <v>43803</v>
      </c>
      <c r="B102" s="8">
        <v>0.53749999999999998</v>
      </c>
      <c r="C102" s="2" t="str">
        <f>"FES1162726593"</f>
        <v>FES1162726593</v>
      </c>
      <c r="D102" s="2" t="s">
        <v>19</v>
      </c>
      <c r="E102" s="2" t="s">
        <v>151</v>
      </c>
      <c r="F102" s="2" t="str">
        <f>"2170720071 "</f>
        <v xml:space="preserve">2170720071 </v>
      </c>
      <c r="G102" s="2" t="str">
        <f t="shared" si="3"/>
        <v>ON1</v>
      </c>
      <c r="H102" s="2" t="s">
        <v>21</v>
      </c>
      <c r="I102" s="2" t="s">
        <v>152</v>
      </c>
      <c r="J102" s="2" t="s">
        <v>23</v>
      </c>
      <c r="K102" s="2" t="str">
        <f>"PFES1162726593_0001"</f>
        <v>PFES1162726593_0001</v>
      </c>
      <c r="L102" s="2">
        <v>1</v>
      </c>
      <c r="M102" s="2">
        <v>1</v>
      </c>
    </row>
    <row r="103" spans="1:13">
      <c r="A103" s="7">
        <v>43803</v>
      </c>
      <c r="B103" s="8">
        <v>0.53680555555555554</v>
      </c>
      <c r="C103" s="2" t="str">
        <f>"FES1162726539"</f>
        <v>FES1162726539</v>
      </c>
      <c r="D103" s="2" t="s">
        <v>19</v>
      </c>
      <c r="E103" s="2" t="s">
        <v>153</v>
      </c>
      <c r="F103" s="2" t="str">
        <f>"2170720000 "</f>
        <v xml:space="preserve">2170720000 </v>
      </c>
      <c r="G103" s="2" t="str">
        <f t="shared" si="3"/>
        <v>ON1</v>
      </c>
      <c r="H103" s="2" t="s">
        <v>21</v>
      </c>
      <c r="I103" s="2" t="s">
        <v>145</v>
      </c>
      <c r="J103" s="2" t="s">
        <v>23</v>
      </c>
      <c r="K103" s="2" t="str">
        <f>"PFES1162726539_0001"</f>
        <v>PFES1162726539_0001</v>
      </c>
      <c r="L103" s="2">
        <v>1</v>
      </c>
      <c r="M103" s="2">
        <v>1</v>
      </c>
    </row>
    <row r="104" spans="1:13">
      <c r="A104" s="7">
        <v>43803</v>
      </c>
      <c r="B104" s="8">
        <v>0.53611111111111109</v>
      </c>
      <c r="C104" s="2" t="str">
        <f>"FES1162726562"</f>
        <v>FES1162726562</v>
      </c>
      <c r="D104" s="2" t="s">
        <v>19</v>
      </c>
      <c r="E104" s="2" t="s">
        <v>154</v>
      </c>
      <c r="F104" s="2" t="str">
        <f>"2170720038 "</f>
        <v xml:space="preserve">2170720038 </v>
      </c>
      <c r="G104" s="2" t="str">
        <f t="shared" si="3"/>
        <v>ON1</v>
      </c>
      <c r="H104" s="2" t="s">
        <v>21</v>
      </c>
      <c r="I104" s="2" t="s">
        <v>155</v>
      </c>
      <c r="J104" s="2" t="s">
        <v>23</v>
      </c>
      <c r="K104" s="2" t="str">
        <f>"PFES1162726562_0001"</f>
        <v>PFES1162726562_0001</v>
      </c>
      <c r="L104" s="2">
        <v>1</v>
      </c>
      <c r="M104" s="2">
        <v>1</v>
      </c>
    </row>
    <row r="105" spans="1:13">
      <c r="A105" s="7">
        <v>43803</v>
      </c>
      <c r="B105" s="8">
        <v>0.53541666666666665</v>
      </c>
      <c r="C105" s="2" t="str">
        <f>"FES1162726592"</f>
        <v>FES1162726592</v>
      </c>
      <c r="D105" s="2" t="s">
        <v>19</v>
      </c>
      <c r="E105" s="2" t="s">
        <v>36</v>
      </c>
      <c r="F105" s="2" t="str">
        <f>"2170720070 "</f>
        <v xml:space="preserve">2170720070 </v>
      </c>
      <c r="G105" s="2" t="str">
        <f t="shared" si="3"/>
        <v>ON1</v>
      </c>
      <c r="H105" s="2" t="s">
        <v>21</v>
      </c>
      <c r="I105" s="2" t="s">
        <v>37</v>
      </c>
      <c r="J105" s="2" t="s">
        <v>23</v>
      </c>
      <c r="K105" s="2" t="str">
        <f>"PFES1162726592_0001"</f>
        <v>PFES1162726592_0001</v>
      </c>
      <c r="L105" s="2">
        <v>1</v>
      </c>
      <c r="M105" s="2">
        <v>1</v>
      </c>
    </row>
    <row r="106" spans="1:13">
      <c r="A106" s="7">
        <v>43803</v>
      </c>
      <c r="B106" s="8">
        <v>0.53472222222222221</v>
      </c>
      <c r="C106" s="2" t="str">
        <f>"FES1162726602"</f>
        <v>FES1162726602</v>
      </c>
      <c r="D106" s="2" t="s">
        <v>19</v>
      </c>
      <c r="E106" s="2" t="s">
        <v>156</v>
      </c>
      <c r="F106" s="2" t="str">
        <f>"2170720082 "</f>
        <v xml:space="preserve">2170720082 </v>
      </c>
      <c r="G106" s="2" t="str">
        <f t="shared" si="3"/>
        <v>ON1</v>
      </c>
      <c r="H106" s="2" t="s">
        <v>21</v>
      </c>
      <c r="I106" s="2" t="s">
        <v>157</v>
      </c>
      <c r="J106" s="2" t="s">
        <v>23</v>
      </c>
      <c r="K106" s="2" t="str">
        <f>"PFES1162726602_0001"</f>
        <v>PFES1162726602_0001</v>
      </c>
      <c r="L106" s="2">
        <v>1</v>
      </c>
      <c r="M106" s="2">
        <v>1</v>
      </c>
    </row>
    <row r="107" spans="1:13">
      <c r="A107" s="7">
        <v>43803</v>
      </c>
      <c r="B107" s="8">
        <v>0.53333333333333333</v>
      </c>
      <c r="C107" s="2" t="str">
        <f>"FES1162726730"</f>
        <v>FES1162726730</v>
      </c>
      <c r="D107" s="2" t="s">
        <v>19</v>
      </c>
      <c r="E107" s="2" t="s">
        <v>103</v>
      </c>
      <c r="F107" s="2" t="str">
        <f>"2170720155 "</f>
        <v xml:space="preserve">2170720155 </v>
      </c>
      <c r="G107" s="2" t="str">
        <f t="shared" si="3"/>
        <v>ON1</v>
      </c>
      <c r="H107" s="2" t="s">
        <v>21</v>
      </c>
      <c r="I107" s="2" t="s">
        <v>158</v>
      </c>
      <c r="J107" s="2" t="s">
        <v>23</v>
      </c>
      <c r="K107" s="2" t="str">
        <f>"PFES1162726730_0001"</f>
        <v>PFES1162726730_0001</v>
      </c>
      <c r="L107" s="2">
        <v>1</v>
      </c>
      <c r="M107" s="2">
        <v>1</v>
      </c>
    </row>
    <row r="108" spans="1:13">
      <c r="A108" s="7">
        <v>43803</v>
      </c>
      <c r="B108" s="8">
        <v>0.53125</v>
      </c>
      <c r="C108" s="2" t="str">
        <f>"FES1162726702"</f>
        <v>FES1162726702</v>
      </c>
      <c r="D108" s="2" t="s">
        <v>19</v>
      </c>
      <c r="E108" s="2" t="s">
        <v>93</v>
      </c>
      <c r="F108" s="2" t="str">
        <f>"2170719473 "</f>
        <v xml:space="preserve">2170719473 </v>
      </c>
      <c r="G108" s="2" t="str">
        <f t="shared" si="3"/>
        <v>ON1</v>
      </c>
      <c r="H108" s="2" t="s">
        <v>21</v>
      </c>
      <c r="I108" s="2" t="s">
        <v>48</v>
      </c>
      <c r="J108" s="2" t="s">
        <v>23</v>
      </c>
      <c r="K108" s="2" t="str">
        <f>"PFES1162726702_0001"</f>
        <v>PFES1162726702_0001</v>
      </c>
      <c r="L108" s="2">
        <v>1</v>
      </c>
      <c r="M108" s="2">
        <v>1</v>
      </c>
    </row>
    <row r="109" spans="1:13">
      <c r="A109" s="7">
        <v>43803</v>
      </c>
      <c r="B109" s="8">
        <v>0.52986111111111112</v>
      </c>
      <c r="C109" s="2" t="str">
        <f>"FES1162726625"</f>
        <v>FES1162726625</v>
      </c>
      <c r="D109" s="2" t="s">
        <v>19</v>
      </c>
      <c r="E109" s="2" t="s">
        <v>159</v>
      </c>
      <c r="F109" s="2" t="str">
        <f>"2170720107 "</f>
        <v xml:space="preserve">2170720107 </v>
      </c>
      <c r="G109" s="2" t="str">
        <f t="shared" si="3"/>
        <v>ON1</v>
      </c>
      <c r="H109" s="2" t="s">
        <v>21</v>
      </c>
      <c r="I109" s="2" t="s">
        <v>54</v>
      </c>
      <c r="J109" s="2" t="s">
        <v>23</v>
      </c>
      <c r="K109" s="2" t="str">
        <f>"PFES1162726625_0001"</f>
        <v>PFES1162726625_0001</v>
      </c>
      <c r="L109" s="2">
        <v>1</v>
      </c>
      <c r="M109" s="2">
        <v>1</v>
      </c>
    </row>
    <row r="110" spans="1:13">
      <c r="A110" s="7">
        <v>43803</v>
      </c>
      <c r="B110" s="8">
        <v>0.52916666666666667</v>
      </c>
      <c r="C110" s="2" t="str">
        <f>"FES1162726704"</f>
        <v>FES1162726704</v>
      </c>
      <c r="D110" s="2" t="s">
        <v>19</v>
      </c>
      <c r="E110" s="2" t="s">
        <v>103</v>
      </c>
      <c r="F110" s="2" t="str">
        <f>"2170719802 "</f>
        <v xml:space="preserve">2170719802 </v>
      </c>
      <c r="G110" s="2" t="str">
        <f t="shared" si="3"/>
        <v>ON1</v>
      </c>
      <c r="H110" s="2" t="s">
        <v>21</v>
      </c>
      <c r="I110" s="2" t="s">
        <v>104</v>
      </c>
      <c r="J110" s="2" t="s">
        <v>23</v>
      </c>
      <c r="K110" s="2" t="str">
        <f>"PFES1162726704_0001"</f>
        <v>PFES1162726704_0001</v>
      </c>
      <c r="L110" s="2">
        <v>1</v>
      </c>
      <c r="M110" s="2">
        <v>1</v>
      </c>
    </row>
    <row r="111" spans="1:13">
      <c r="A111" s="7">
        <v>43803</v>
      </c>
      <c r="B111" s="8">
        <v>0.52847222222222223</v>
      </c>
      <c r="C111" s="2" t="str">
        <f>"FES1162726566"</f>
        <v>FES1162726566</v>
      </c>
      <c r="D111" s="2" t="s">
        <v>19</v>
      </c>
      <c r="E111" s="2" t="s">
        <v>160</v>
      </c>
      <c r="F111" s="2" t="str">
        <f>"2170720048 "</f>
        <v xml:space="preserve">2170720048 </v>
      </c>
      <c r="G111" s="2" t="str">
        <f t="shared" si="3"/>
        <v>ON1</v>
      </c>
      <c r="H111" s="2" t="s">
        <v>21</v>
      </c>
      <c r="I111" s="2" t="s">
        <v>161</v>
      </c>
      <c r="J111" s="2" t="s">
        <v>23</v>
      </c>
      <c r="K111" s="2" t="str">
        <f>"PFES1162726566_0001"</f>
        <v>PFES1162726566_0001</v>
      </c>
      <c r="L111" s="2">
        <v>1</v>
      </c>
      <c r="M111" s="2">
        <v>1</v>
      </c>
    </row>
    <row r="112" spans="1:13">
      <c r="A112" s="7">
        <v>43803</v>
      </c>
      <c r="B112" s="8">
        <v>0.52708333333333335</v>
      </c>
      <c r="C112" s="2" t="str">
        <f>"FES1162726579"</f>
        <v>FES1162726579</v>
      </c>
      <c r="D112" s="2" t="s">
        <v>19</v>
      </c>
      <c r="E112" s="2" t="s">
        <v>162</v>
      </c>
      <c r="F112" s="2" t="str">
        <f>"2170720049 "</f>
        <v xml:space="preserve">2170720049 </v>
      </c>
      <c r="G112" s="2" t="str">
        <f t="shared" si="3"/>
        <v>ON1</v>
      </c>
      <c r="H112" s="2" t="s">
        <v>21</v>
      </c>
      <c r="I112" s="2" t="s">
        <v>155</v>
      </c>
      <c r="J112" s="2" t="s">
        <v>23</v>
      </c>
      <c r="K112" s="2" t="str">
        <f>"PFES1162726579_0001"</f>
        <v>PFES1162726579_0001</v>
      </c>
      <c r="L112" s="2">
        <v>1</v>
      </c>
      <c r="M112" s="2">
        <v>1</v>
      </c>
    </row>
    <row r="113" spans="1:13">
      <c r="A113" s="7">
        <v>43803</v>
      </c>
      <c r="B113" s="8">
        <v>0.52083333333333337</v>
      </c>
      <c r="C113" s="2" t="str">
        <f>"FES1162726695"</f>
        <v>FES1162726695</v>
      </c>
      <c r="D113" s="2" t="s">
        <v>19</v>
      </c>
      <c r="E113" s="2" t="s">
        <v>163</v>
      </c>
      <c r="F113" s="2" t="str">
        <f>"2170718764 "</f>
        <v xml:space="preserve">2170718764 </v>
      </c>
      <c r="G113" s="2" t="str">
        <f t="shared" si="3"/>
        <v>ON1</v>
      </c>
      <c r="H113" s="2" t="s">
        <v>21</v>
      </c>
      <c r="I113" s="2" t="s">
        <v>164</v>
      </c>
      <c r="J113" s="2" t="s">
        <v>23</v>
      </c>
      <c r="K113" s="2" t="str">
        <f>"PFES1162726695_0001"</f>
        <v>PFES1162726695_0001</v>
      </c>
      <c r="L113" s="2">
        <v>1</v>
      </c>
      <c r="M113" s="2">
        <v>1</v>
      </c>
    </row>
    <row r="114" spans="1:13">
      <c r="A114" s="7">
        <v>43803</v>
      </c>
      <c r="B114" s="8">
        <v>0.52013888888888882</v>
      </c>
      <c r="C114" s="2" t="str">
        <f>"FES1162726734"</f>
        <v>FES1162726734</v>
      </c>
      <c r="D114" s="2" t="s">
        <v>19</v>
      </c>
      <c r="E114" s="2" t="s">
        <v>165</v>
      </c>
      <c r="F114" s="2" t="str">
        <f>"2170720164 "</f>
        <v xml:space="preserve">2170720164 </v>
      </c>
      <c r="G114" s="2" t="str">
        <f t="shared" si="3"/>
        <v>ON1</v>
      </c>
      <c r="H114" s="2" t="s">
        <v>21</v>
      </c>
      <c r="I114" s="2" t="s">
        <v>166</v>
      </c>
      <c r="J114" s="2" t="s">
        <v>23</v>
      </c>
      <c r="K114" s="2" t="str">
        <f>"PFES1162726734_0001"</f>
        <v>PFES1162726734_0001</v>
      </c>
      <c r="L114" s="2">
        <v>1</v>
      </c>
      <c r="M114" s="2">
        <v>1</v>
      </c>
    </row>
    <row r="115" spans="1:13">
      <c r="A115" s="7">
        <v>43803</v>
      </c>
      <c r="B115" s="8">
        <v>0.51736111111111105</v>
      </c>
      <c r="C115" s="2" t="str">
        <f>"FES1162726660"</f>
        <v>FES1162726660</v>
      </c>
      <c r="D115" s="2" t="s">
        <v>19</v>
      </c>
      <c r="E115" s="2" t="s">
        <v>142</v>
      </c>
      <c r="F115" s="2" t="str">
        <f>"2170716316 "</f>
        <v xml:space="preserve">2170716316 </v>
      </c>
      <c r="G115" s="2" t="str">
        <f t="shared" si="3"/>
        <v>ON1</v>
      </c>
      <c r="H115" s="2" t="s">
        <v>21</v>
      </c>
      <c r="I115" s="2" t="s">
        <v>37</v>
      </c>
      <c r="J115" s="2" t="s">
        <v>23</v>
      </c>
      <c r="K115" s="2" t="str">
        <f>"PFES1162726660_0001"</f>
        <v>PFES1162726660_0001</v>
      </c>
      <c r="L115" s="2">
        <v>1</v>
      </c>
      <c r="M115" s="2">
        <v>7</v>
      </c>
    </row>
    <row r="116" spans="1:13">
      <c r="A116" s="7">
        <v>43803</v>
      </c>
      <c r="B116" s="8">
        <v>0.51736111111111105</v>
      </c>
      <c r="C116" s="2" t="str">
        <f>"FES1162726751"</f>
        <v>FES1162726751</v>
      </c>
      <c r="D116" s="2" t="s">
        <v>19</v>
      </c>
      <c r="E116" s="2" t="s">
        <v>167</v>
      </c>
      <c r="F116" s="2" t="str">
        <f>"2170719577 "</f>
        <v xml:space="preserve">2170719577 </v>
      </c>
      <c r="G116" s="2" t="str">
        <f t="shared" si="3"/>
        <v>ON1</v>
      </c>
      <c r="H116" s="2" t="s">
        <v>21</v>
      </c>
      <c r="I116" s="2" t="s">
        <v>168</v>
      </c>
      <c r="J116" s="2" t="s">
        <v>23</v>
      </c>
      <c r="K116" s="2" t="str">
        <f>"PFES1162726751_0001"</f>
        <v>PFES1162726751_0001</v>
      </c>
      <c r="L116" s="2">
        <v>1</v>
      </c>
      <c r="M116" s="2">
        <v>1</v>
      </c>
    </row>
    <row r="117" spans="1:13">
      <c r="A117" s="7">
        <v>43803</v>
      </c>
      <c r="B117" s="8">
        <v>0.51736111111111105</v>
      </c>
      <c r="C117" s="2" t="str">
        <f>"FES1162726678"</f>
        <v>FES1162726678</v>
      </c>
      <c r="D117" s="2" t="s">
        <v>19</v>
      </c>
      <c r="E117" s="2" t="s">
        <v>169</v>
      </c>
      <c r="F117" s="2" t="str">
        <f>"217071857 "</f>
        <v xml:space="preserve">217071857 </v>
      </c>
      <c r="G117" s="2" t="str">
        <f t="shared" si="3"/>
        <v>ON1</v>
      </c>
      <c r="H117" s="2" t="s">
        <v>21</v>
      </c>
      <c r="I117" s="2" t="s">
        <v>170</v>
      </c>
      <c r="J117" s="2" t="s">
        <v>23</v>
      </c>
      <c r="K117" s="2" t="str">
        <f>"PFES1162726678_0001"</f>
        <v>PFES1162726678_0001</v>
      </c>
      <c r="L117" s="2">
        <v>1</v>
      </c>
      <c r="M117" s="2">
        <v>1</v>
      </c>
    </row>
    <row r="118" spans="1:13">
      <c r="A118" s="7">
        <v>43803</v>
      </c>
      <c r="B118" s="8">
        <v>0.51666666666666672</v>
      </c>
      <c r="C118" s="2" t="str">
        <f>"FES1162726693"</f>
        <v>FES1162726693</v>
      </c>
      <c r="D118" s="2" t="s">
        <v>19</v>
      </c>
      <c r="E118" s="2" t="s">
        <v>171</v>
      </c>
      <c r="F118" s="2" t="str">
        <f>"2170718636 "</f>
        <v xml:space="preserve">2170718636 </v>
      </c>
      <c r="G118" s="2" t="str">
        <f t="shared" si="3"/>
        <v>ON1</v>
      </c>
      <c r="H118" s="2" t="s">
        <v>21</v>
      </c>
      <c r="I118" s="2" t="s">
        <v>145</v>
      </c>
      <c r="J118" s="2" t="s">
        <v>23</v>
      </c>
      <c r="K118" s="2" t="str">
        <f>"PFES1162726693_0001"</f>
        <v>PFES1162726693_0001</v>
      </c>
      <c r="L118" s="2">
        <v>1</v>
      </c>
      <c r="M118" s="2">
        <v>5</v>
      </c>
    </row>
    <row r="119" spans="1:13">
      <c r="A119" s="7">
        <v>43803</v>
      </c>
      <c r="B119" s="8">
        <v>0.51597222222222217</v>
      </c>
      <c r="C119" s="2" t="str">
        <f>"FES1162726619"</f>
        <v>FES1162726619</v>
      </c>
      <c r="D119" s="2" t="s">
        <v>19</v>
      </c>
      <c r="E119" s="2" t="s">
        <v>172</v>
      </c>
      <c r="F119" s="2" t="str">
        <f>"2170720102 "</f>
        <v xml:space="preserve">2170720102 </v>
      </c>
      <c r="G119" s="2" t="str">
        <f t="shared" si="3"/>
        <v>ON1</v>
      </c>
      <c r="H119" s="2" t="s">
        <v>21</v>
      </c>
      <c r="I119" s="2" t="s">
        <v>62</v>
      </c>
      <c r="J119" s="2" t="s">
        <v>23</v>
      </c>
      <c r="K119" s="2" t="str">
        <f>"PFES1162726619_0001"</f>
        <v>PFES1162726619_0001</v>
      </c>
      <c r="L119" s="2">
        <v>1</v>
      </c>
      <c r="M119" s="2">
        <v>11</v>
      </c>
    </row>
    <row r="120" spans="1:13">
      <c r="A120" s="7">
        <v>43803</v>
      </c>
      <c r="B120" s="8">
        <v>0.51527777777777783</v>
      </c>
      <c r="C120" s="2" t="str">
        <f>"FES1162726661"</f>
        <v>FES1162726661</v>
      </c>
      <c r="D120" s="2" t="s">
        <v>19</v>
      </c>
      <c r="E120" s="2" t="s">
        <v>173</v>
      </c>
      <c r="F120" s="2" t="str">
        <f>"2170716406 "</f>
        <v xml:space="preserve">2170716406 </v>
      </c>
      <c r="G120" s="2" t="str">
        <f t="shared" si="3"/>
        <v>ON1</v>
      </c>
      <c r="H120" s="2" t="s">
        <v>21</v>
      </c>
      <c r="I120" s="2" t="s">
        <v>130</v>
      </c>
      <c r="J120" s="2" t="s">
        <v>23</v>
      </c>
      <c r="K120" s="2" t="str">
        <f>"PFES1162726661_0001"</f>
        <v>PFES1162726661_0001</v>
      </c>
      <c r="L120" s="2">
        <v>1</v>
      </c>
      <c r="M120" s="2">
        <v>2</v>
      </c>
    </row>
    <row r="121" spans="1:13">
      <c r="A121" s="7">
        <v>43803</v>
      </c>
      <c r="B121" s="8">
        <v>0.51458333333333328</v>
      </c>
      <c r="C121" s="2" t="str">
        <f>"FES1162726603"</f>
        <v>FES1162726603</v>
      </c>
      <c r="D121" s="2" t="s">
        <v>19</v>
      </c>
      <c r="E121" s="2" t="s">
        <v>174</v>
      </c>
      <c r="F121" s="2" t="str">
        <f>"2170718567 "</f>
        <v xml:space="preserve">2170718567 </v>
      </c>
      <c r="G121" s="2" t="str">
        <f t="shared" si="3"/>
        <v>ON1</v>
      </c>
      <c r="H121" s="2" t="s">
        <v>21</v>
      </c>
      <c r="I121" s="2" t="s">
        <v>175</v>
      </c>
      <c r="J121" s="2" t="s">
        <v>23</v>
      </c>
      <c r="K121" s="2" t="str">
        <f>"PFES1162726603_0001"</f>
        <v>PFES1162726603_0001</v>
      </c>
      <c r="L121" s="2">
        <v>1</v>
      </c>
      <c r="M121" s="2">
        <v>6</v>
      </c>
    </row>
    <row r="122" spans="1:13">
      <c r="A122" s="7">
        <v>43803</v>
      </c>
      <c r="B122" s="8">
        <v>0.51388888888888895</v>
      </c>
      <c r="C122" s="2" t="str">
        <f>"FES1162726548"</f>
        <v>FES1162726548</v>
      </c>
      <c r="D122" s="2" t="s">
        <v>19</v>
      </c>
      <c r="E122" s="2" t="s">
        <v>24</v>
      </c>
      <c r="F122" s="2" t="str">
        <f>"2170720016 "</f>
        <v xml:space="preserve">2170720016 </v>
      </c>
      <c r="G122" s="2" t="str">
        <f t="shared" si="3"/>
        <v>ON1</v>
      </c>
      <c r="H122" s="2" t="s">
        <v>21</v>
      </c>
      <c r="I122" s="2" t="s">
        <v>25</v>
      </c>
      <c r="J122" s="2" t="s">
        <v>23</v>
      </c>
      <c r="K122" s="2" t="str">
        <f>"PFES1162726548_0001"</f>
        <v>PFES1162726548_0001</v>
      </c>
      <c r="L122" s="2">
        <v>1</v>
      </c>
      <c r="M122" s="2">
        <v>1</v>
      </c>
    </row>
    <row r="123" spans="1:13">
      <c r="A123" s="7">
        <v>43803</v>
      </c>
      <c r="B123" s="8">
        <v>0.5131944444444444</v>
      </c>
      <c r="C123" s="2" t="str">
        <f>"FES1162726441"</f>
        <v>FES1162726441</v>
      </c>
      <c r="D123" s="2" t="s">
        <v>19</v>
      </c>
      <c r="E123" s="2" t="s">
        <v>176</v>
      </c>
      <c r="F123" s="2" t="str">
        <f>"2170716441 "</f>
        <v xml:space="preserve">2170716441 </v>
      </c>
      <c r="G123" s="2" t="str">
        <f t="shared" si="3"/>
        <v>ON1</v>
      </c>
      <c r="H123" s="2" t="s">
        <v>21</v>
      </c>
      <c r="I123" s="2" t="s">
        <v>76</v>
      </c>
      <c r="J123" s="2" t="s">
        <v>23</v>
      </c>
      <c r="K123" s="2" t="str">
        <f>"PFES1162726441_0001"</f>
        <v>PFES1162726441_0001</v>
      </c>
      <c r="L123" s="2">
        <v>1</v>
      </c>
      <c r="M123" s="2">
        <v>2</v>
      </c>
    </row>
    <row r="124" spans="1:13">
      <c r="A124" s="7">
        <v>43803</v>
      </c>
      <c r="B124" s="8">
        <v>0.51250000000000007</v>
      </c>
      <c r="C124" s="2" t="str">
        <f>"FES1162726664"</f>
        <v>FES1162726664</v>
      </c>
      <c r="D124" s="2" t="s">
        <v>19</v>
      </c>
      <c r="E124" s="2" t="s">
        <v>177</v>
      </c>
      <c r="F124" s="2" t="str">
        <f>"2170717220 "</f>
        <v xml:space="preserve">2170717220 </v>
      </c>
      <c r="G124" s="2" t="str">
        <f t="shared" si="3"/>
        <v>ON1</v>
      </c>
      <c r="H124" s="2" t="s">
        <v>21</v>
      </c>
      <c r="I124" s="2" t="s">
        <v>178</v>
      </c>
      <c r="J124" s="2" t="s">
        <v>23</v>
      </c>
      <c r="K124" s="2" t="str">
        <f>"PFES1162726664_0001"</f>
        <v>PFES1162726664_0001</v>
      </c>
      <c r="L124" s="2">
        <v>1</v>
      </c>
      <c r="M124" s="2">
        <v>7</v>
      </c>
    </row>
    <row r="125" spans="1:13">
      <c r="A125" s="7">
        <v>43803</v>
      </c>
      <c r="B125" s="8">
        <v>0.51250000000000007</v>
      </c>
      <c r="C125" s="2" t="str">
        <f>"FES1162726317"</f>
        <v>FES1162726317</v>
      </c>
      <c r="D125" s="2" t="s">
        <v>19</v>
      </c>
      <c r="E125" s="2" t="s">
        <v>156</v>
      </c>
      <c r="F125" s="2" t="str">
        <f>"2170719601 "</f>
        <v xml:space="preserve">2170719601 </v>
      </c>
      <c r="G125" s="2" t="str">
        <f t="shared" si="3"/>
        <v>ON1</v>
      </c>
      <c r="H125" s="2" t="s">
        <v>21</v>
      </c>
      <c r="I125" s="2" t="s">
        <v>157</v>
      </c>
      <c r="J125" s="2" t="s">
        <v>23</v>
      </c>
      <c r="K125" s="2" t="str">
        <f>"PFES1162726317_0001"</f>
        <v>PFES1162726317_0001</v>
      </c>
      <c r="L125" s="2">
        <v>1</v>
      </c>
      <c r="M125" s="2">
        <v>1</v>
      </c>
    </row>
    <row r="126" spans="1:13">
      <c r="A126" s="7">
        <v>43803</v>
      </c>
      <c r="B126" s="8">
        <v>0.51180555555555551</v>
      </c>
      <c r="C126" s="2" t="str">
        <f>"FES1162726322"</f>
        <v>FES1162726322</v>
      </c>
      <c r="D126" s="2" t="s">
        <v>19</v>
      </c>
      <c r="E126" s="2" t="s">
        <v>156</v>
      </c>
      <c r="F126" s="2" t="str">
        <f>"2170719607 "</f>
        <v xml:space="preserve">2170719607 </v>
      </c>
      <c r="G126" s="2" t="str">
        <f t="shared" si="3"/>
        <v>ON1</v>
      </c>
      <c r="H126" s="2" t="s">
        <v>21</v>
      </c>
      <c r="I126" s="2" t="s">
        <v>157</v>
      </c>
      <c r="J126" s="2" t="s">
        <v>23</v>
      </c>
      <c r="K126" s="2" t="str">
        <f>"PFES1162726322_0001"</f>
        <v>PFES1162726322_0001</v>
      </c>
      <c r="L126" s="2">
        <v>1</v>
      </c>
      <c r="M126" s="2">
        <v>3</v>
      </c>
    </row>
    <row r="127" spans="1:13">
      <c r="A127" s="7">
        <v>43803</v>
      </c>
      <c r="B127" s="8">
        <v>0.51111111111111118</v>
      </c>
      <c r="C127" s="2" t="str">
        <f>"FES1162726545"</f>
        <v>FES1162726545</v>
      </c>
      <c r="D127" s="2" t="s">
        <v>19</v>
      </c>
      <c r="E127" s="2" t="s">
        <v>179</v>
      </c>
      <c r="F127" s="2" t="str">
        <f>"2170720010 "</f>
        <v xml:space="preserve">2170720010 </v>
      </c>
      <c r="G127" s="2" t="str">
        <f t="shared" si="3"/>
        <v>ON1</v>
      </c>
      <c r="H127" s="2" t="s">
        <v>21</v>
      </c>
      <c r="I127" s="2" t="s">
        <v>180</v>
      </c>
      <c r="J127" s="2" t="s">
        <v>23</v>
      </c>
      <c r="K127" s="2" t="str">
        <f>"PFES1162726545_0001"</f>
        <v>PFES1162726545_0001</v>
      </c>
      <c r="L127" s="2">
        <v>1</v>
      </c>
      <c r="M127" s="2">
        <v>4</v>
      </c>
    </row>
    <row r="128" spans="1:13">
      <c r="A128" s="7">
        <v>43803</v>
      </c>
      <c r="B128" s="8">
        <v>0.51041666666666663</v>
      </c>
      <c r="C128" s="2" t="str">
        <f>"FES1162726572"</f>
        <v>FES1162726572</v>
      </c>
      <c r="D128" s="2" t="s">
        <v>19</v>
      </c>
      <c r="E128" s="2" t="s">
        <v>181</v>
      </c>
      <c r="F128" s="2" t="str">
        <f>"2170719529 "</f>
        <v xml:space="preserve">2170719529 </v>
      </c>
      <c r="G128" s="2" t="str">
        <f t="shared" si="3"/>
        <v>ON1</v>
      </c>
      <c r="H128" s="2" t="s">
        <v>21</v>
      </c>
      <c r="I128" s="2" t="s">
        <v>136</v>
      </c>
      <c r="J128" s="2" t="s">
        <v>23</v>
      </c>
      <c r="K128" s="2" t="str">
        <f>"PFES1162726572_0001"</f>
        <v>PFES1162726572_0001</v>
      </c>
      <c r="L128" s="2">
        <v>1</v>
      </c>
      <c r="M128" s="2">
        <v>11</v>
      </c>
    </row>
    <row r="129" spans="1:13">
      <c r="A129" s="7">
        <v>43803</v>
      </c>
      <c r="B129" s="8">
        <v>0.50972222222222219</v>
      </c>
      <c r="C129" s="2" t="str">
        <f>"FES1162726700"</f>
        <v>FES1162726700</v>
      </c>
      <c r="D129" s="2" t="s">
        <v>19</v>
      </c>
      <c r="E129" s="2" t="s">
        <v>182</v>
      </c>
      <c r="F129" s="2" t="str">
        <f>"2170719182 "</f>
        <v xml:space="preserve">2170719182 </v>
      </c>
      <c r="G129" s="2" t="str">
        <f t="shared" si="3"/>
        <v>ON1</v>
      </c>
      <c r="H129" s="2" t="s">
        <v>21</v>
      </c>
      <c r="I129" s="2" t="s">
        <v>183</v>
      </c>
      <c r="J129" s="2" t="s">
        <v>23</v>
      </c>
      <c r="K129" s="2" t="str">
        <f>"PFES1162726700_0001"</f>
        <v>PFES1162726700_0001</v>
      </c>
      <c r="L129" s="2">
        <v>1</v>
      </c>
      <c r="M129" s="2">
        <v>7</v>
      </c>
    </row>
    <row r="130" spans="1:13">
      <c r="A130" s="7">
        <v>43803</v>
      </c>
      <c r="B130" s="8">
        <v>0.50902777777777775</v>
      </c>
      <c r="C130" s="2" t="str">
        <f>"FES1162726710"</f>
        <v>FES1162726710</v>
      </c>
      <c r="D130" s="2" t="s">
        <v>19</v>
      </c>
      <c r="E130" s="2" t="s">
        <v>184</v>
      </c>
      <c r="F130" s="2" t="str">
        <f>"2170720132 "</f>
        <v xml:space="preserve">2170720132 </v>
      </c>
      <c r="G130" s="2" t="str">
        <f t="shared" si="3"/>
        <v>ON1</v>
      </c>
      <c r="H130" s="2" t="s">
        <v>21</v>
      </c>
      <c r="I130" s="2" t="s">
        <v>43</v>
      </c>
      <c r="J130" s="2" t="s">
        <v>23</v>
      </c>
      <c r="K130" s="2" t="str">
        <f>"PFES1162726710_0001"</f>
        <v>PFES1162726710_0001</v>
      </c>
      <c r="L130" s="2">
        <v>1</v>
      </c>
      <c r="M130" s="2">
        <v>1</v>
      </c>
    </row>
    <row r="131" spans="1:13">
      <c r="A131" s="7">
        <v>43803</v>
      </c>
      <c r="B131" s="8">
        <v>0.5083333333333333</v>
      </c>
      <c r="C131" s="2" t="str">
        <f>"FES1162726650"</f>
        <v>FES1162726650</v>
      </c>
      <c r="D131" s="2" t="s">
        <v>19</v>
      </c>
      <c r="E131" s="2" t="s">
        <v>185</v>
      </c>
      <c r="F131" s="2" t="str">
        <f>"2170713312 "</f>
        <v xml:space="preserve">2170713312 </v>
      </c>
      <c r="G131" s="2" t="str">
        <f t="shared" si="3"/>
        <v>ON1</v>
      </c>
      <c r="H131" s="2" t="s">
        <v>21</v>
      </c>
      <c r="I131" s="2" t="s">
        <v>186</v>
      </c>
      <c r="J131" s="2" t="s">
        <v>23</v>
      </c>
      <c r="K131" s="2" t="str">
        <f>"PFES1162726650_0001"</f>
        <v>PFES1162726650_0001</v>
      </c>
      <c r="L131" s="2">
        <v>1</v>
      </c>
      <c r="M131" s="2">
        <v>2</v>
      </c>
    </row>
    <row r="132" spans="1:13">
      <c r="A132" s="7">
        <v>43803</v>
      </c>
      <c r="B132" s="8">
        <v>0.50763888888888886</v>
      </c>
      <c r="C132" s="2" t="str">
        <f>"FES162726681"</f>
        <v>FES162726681</v>
      </c>
      <c r="D132" s="2" t="s">
        <v>19</v>
      </c>
      <c r="E132" s="2" t="s">
        <v>187</v>
      </c>
      <c r="F132" s="2" t="str">
        <f>"217071807 "</f>
        <v xml:space="preserve">217071807 </v>
      </c>
      <c r="G132" s="2" t="str">
        <f t="shared" si="3"/>
        <v>ON1</v>
      </c>
      <c r="H132" s="2" t="s">
        <v>21</v>
      </c>
      <c r="I132" s="2" t="s">
        <v>119</v>
      </c>
      <c r="J132" s="2" t="s">
        <v>23</v>
      </c>
      <c r="K132" s="2" t="str">
        <f>"PFES162726681_0001"</f>
        <v>PFES162726681_0001</v>
      </c>
      <c r="L132" s="2">
        <v>1</v>
      </c>
      <c r="M132" s="2">
        <v>2</v>
      </c>
    </row>
    <row r="133" spans="1:13">
      <c r="A133" s="7">
        <v>43803</v>
      </c>
      <c r="B133" s="8">
        <v>0.50763888888888886</v>
      </c>
      <c r="C133" s="2" t="str">
        <f>"FES1162726728"</f>
        <v>FES1162726728</v>
      </c>
      <c r="D133" s="2" t="s">
        <v>19</v>
      </c>
      <c r="E133" s="2" t="s">
        <v>82</v>
      </c>
      <c r="F133" s="2" t="str">
        <f>"2170720160 "</f>
        <v xml:space="preserve">2170720160 </v>
      </c>
      <c r="G133" s="2" t="str">
        <f t="shared" si="3"/>
        <v>ON1</v>
      </c>
      <c r="H133" s="2" t="s">
        <v>21</v>
      </c>
      <c r="I133" s="2" t="s">
        <v>72</v>
      </c>
      <c r="J133" s="2" t="s">
        <v>23</v>
      </c>
      <c r="K133" s="2" t="str">
        <f>"PFES1162726728_0001"</f>
        <v>PFES1162726728_0001</v>
      </c>
      <c r="L133" s="2">
        <v>1</v>
      </c>
      <c r="M133" s="2">
        <v>5</v>
      </c>
    </row>
    <row r="134" spans="1:13">
      <c r="A134" s="7">
        <v>43803</v>
      </c>
      <c r="B134" s="8">
        <v>0.50694444444444442</v>
      </c>
      <c r="C134" s="2" t="str">
        <f>"FES1162726613"</f>
        <v>FES1162726613</v>
      </c>
      <c r="D134" s="2" t="s">
        <v>19</v>
      </c>
      <c r="E134" s="2" t="s">
        <v>28</v>
      </c>
      <c r="F134" s="2" t="str">
        <f>"21707100089 "</f>
        <v xml:space="preserve">21707100089 </v>
      </c>
      <c r="G134" s="2" t="str">
        <f t="shared" si="3"/>
        <v>ON1</v>
      </c>
      <c r="H134" s="2" t="s">
        <v>21</v>
      </c>
      <c r="I134" s="2" t="s">
        <v>29</v>
      </c>
      <c r="J134" s="2" t="s">
        <v>23</v>
      </c>
      <c r="K134" s="2" t="str">
        <f>"PFES1162726613_0001"</f>
        <v>PFES1162726613_0001</v>
      </c>
      <c r="L134" s="2">
        <v>1</v>
      </c>
      <c r="M134" s="2">
        <v>2</v>
      </c>
    </row>
    <row r="135" spans="1:13">
      <c r="A135" s="7">
        <v>43803</v>
      </c>
      <c r="B135" s="8">
        <v>0.50694444444444442</v>
      </c>
      <c r="C135" s="2" t="str">
        <f>"FES1162726690"</f>
        <v>FES1162726690</v>
      </c>
      <c r="D135" s="2" t="s">
        <v>19</v>
      </c>
      <c r="E135" s="2" t="s">
        <v>188</v>
      </c>
      <c r="F135" s="2" t="str">
        <f>"2170718121 "</f>
        <v xml:space="preserve">2170718121 </v>
      </c>
      <c r="G135" s="2" t="str">
        <f t="shared" si="3"/>
        <v>ON1</v>
      </c>
      <c r="H135" s="2" t="s">
        <v>21</v>
      </c>
      <c r="I135" s="2" t="s">
        <v>189</v>
      </c>
      <c r="J135" s="2" t="s">
        <v>23</v>
      </c>
      <c r="K135" s="2" t="str">
        <f>"PFES1162726690_0001"</f>
        <v>PFES1162726690_0001</v>
      </c>
      <c r="L135" s="2">
        <v>1</v>
      </c>
      <c r="M135" s="2">
        <v>3</v>
      </c>
    </row>
    <row r="136" spans="1:13">
      <c r="A136" s="7">
        <v>43803</v>
      </c>
      <c r="B136" s="8">
        <v>0.50624999999999998</v>
      </c>
      <c r="C136" s="2" t="str">
        <f>"FES1162726712"</f>
        <v>FES1162726712</v>
      </c>
      <c r="D136" s="2" t="s">
        <v>19</v>
      </c>
      <c r="E136" s="2" t="s">
        <v>190</v>
      </c>
      <c r="F136" s="2" t="str">
        <f>"2170710136 "</f>
        <v xml:space="preserve">2170710136 </v>
      </c>
      <c r="G136" s="2" t="str">
        <f t="shared" si="3"/>
        <v>ON1</v>
      </c>
      <c r="H136" s="2" t="s">
        <v>21</v>
      </c>
      <c r="I136" s="2" t="s">
        <v>191</v>
      </c>
      <c r="J136" s="2" t="s">
        <v>23</v>
      </c>
      <c r="K136" s="2" t="str">
        <f>"PFES1162726712_0001"</f>
        <v>PFES1162726712_0001</v>
      </c>
      <c r="L136" s="2">
        <v>1</v>
      </c>
      <c r="M136" s="2">
        <v>1</v>
      </c>
    </row>
    <row r="137" spans="1:13">
      <c r="A137" s="7">
        <v>43803</v>
      </c>
      <c r="B137" s="8">
        <v>0.50486111111111109</v>
      </c>
      <c r="C137" s="2" t="str">
        <f>"FES1162726733"</f>
        <v>FES1162726733</v>
      </c>
      <c r="D137" s="2" t="s">
        <v>19</v>
      </c>
      <c r="E137" s="2" t="s">
        <v>192</v>
      </c>
      <c r="F137" s="2" t="str">
        <f>"2170720165 "</f>
        <v xml:space="preserve">2170720165 </v>
      </c>
      <c r="G137" s="2" t="str">
        <f t="shared" si="3"/>
        <v>ON1</v>
      </c>
      <c r="H137" s="2" t="s">
        <v>21</v>
      </c>
      <c r="I137" s="2" t="s">
        <v>193</v>
      </c>
      <c r="J137" s="2" t="s">
        <v>23</v>
      </c>
      <c r="K137" s="2" t="str">
        <f>"PFES1162726733_0001"</f>
        <v>PFES1162726733_0001</v>
      </c>
      <c r="L137" s="2">
        <v>1</v>
      </c>
      <c r="M137" s="2">
        <v>1</v>
      </c>
    </row>
    <row r="138" spans="1:13">
      <c r="A138" s="7">
        <v>43803</v>
      </c>
      <c r="B138" s="8">
        <v>0.50347222222222221</v>
      </c>
      <c r="C138" s="2" t="str">
        <f>"FES1162726686"</f>
        <v>FES1162726686</v>
      </c>
      <c r="D138" s="2" t="s">
        <v>19</v>
      </c>
      <c r="E138" s="2" t="s">
        <v>194</v>
      </c>
      <c r="F138" s="2" t="str">
        <f>"2170718107 "</f>
        <v xml:space="preserve">2170718107 </v>
      </c>
      <c r="G138" s="2" t="str">
        <f t="shared" si="3"/>
        <v>ON1</v>
      </c>
      <c r="H138" s="2" t="s">
        <v>21</v>
      </c>
      <c r="I138" s="2" t="s">
        <v>37</v>
      </c>
      <c r="J138" s="2" t="s">
        <v>23</v>
      </c>
      <c r="K138" s="2" t="str">
        <f>"PFES1162726686_0001"</f>
        <v>PFES1162726686_0001</v>
      </c>
      <c r="L138" s="2">
        <v>1</v>
      </c>
      <c r="M138" s="2">
        <v>1</v>
      </c>
    </row>
    <row r="139" spans="1:13">
      <c r="A139" s="7">
        <v>43803</v>
      </c>
      <c r="B139" s="8">
        <v>0.50277777777777777</v>
      </c>
      <c r="C139" s="2" t="str">
        <f>"FES1162726621"</f>
        <v>FES1162726621</v>
      </c>
      <c r="D139" s="2" t="s">
        <v>19</v>
      </c>
      <c r="E139" s="2" t="s">
        <v>195</v>
      </c>
      <c r="F139" s="2" t="str">
        <f>"2170720087 "</f>
        <v xml:space="preserve">2170720087 </v>
      </c>
      <c r="G139" s="2" t="str">
        <f t="shared" si="3"/>
        <v>ON1</v>
      </c>
      <c r="H139" s="2" t="s">
        <v>21</v>
      </c>
      <c r="I139" s="2" t="s">
        <v>43</v>
      </c>
      <c r="J139" s="2" t="s">
        <v>23</v>
      </c>
      <c r="K139" s="2" t="str">
        <f>"PFES1162726621_0001"</f>
        <v>PFES1162726621_0001</v>
      </c>
      <c r="L139" s="2">
        <v>1</v>
      </c>
      <c r="M139" s="2">
        <v>1</v>
      </c>
    </row>
    <row r="140" spans="1:13">
      <c r="A140" s="7">
        <v>43803</v>
      </c>
      <c r="B140" s="8">
        <v>0.50138888888888888</v>
      </c>
      <c r="C140" s="2" t="str">
        <f>"FES1162726605"</f>
        <v>FES1162726605</v>
      </c>
      <c r="D140" s="2" t="s">
        <v>19</v>
      </c>
      <c r="E140" s="2" t="s">
        <v>184</v>
      </c>
      <c r="F140" s="2" t="str">
        <f>"2170719210 "</f>
        <v xml:space="preserve">2170719210 </v>
      </c>
      <c r="G140" s="2" t="str">
        <f t="shared" si="3"/>
        <v>ON1</v>
      </c>
      <c r="H140" s="2" t="s">
        <v>21</v>
      </c>
      <c r="I140" s="2" t="s">
        <v>43</v>
      </c>
      <c r="J140" s="2" t="s">
        <v>23</v>
      </c>
      <c r="K140" s="2" t="str">
        <f>"PFES1162726605_0001"</f>
        <v>PFES1162726605_0001</v>
      </c>
      <c r="L140" s="2">
        <v>1</v>
      </c>
      <c r="M140" s="2">
        <v>1</v>
      </c>
    </row>
    <row r="141" spans="1:13">
      <c r="A141" s="7">
        <v>43803</v>
      </c>
      <c r="B141" s="8">
        <v>0.50069444444444444</v>
      </c>
      <c r="C141" s="2" t="str">
        <f>"FES1162726624"</f>
        <v>FES1162726624</v>
      </c>
      <c r="D141" s="2" t="s">
        <v>19</v>
      </c>
      <c r="E141" s="2" t="s">
        <v>59</v>
      </c>
      <c r="F141" s="2" t="str">
        <f>"2170720106 "</f>
        <v xml:space="preserve">2170720106 </v>
      </c>
      <c r="G141" s="2" t="str">
        <f t="shared" si="3"/>
        <v>ON1</v>
      </c>
      <c r="H141" s="2" t="s">
        <v>21</v>
      </c>
      <c r="I141" s="2" t="s">
        <v>60</v>
      </c>
      <c r="J141" s="2" t="s">
        <v>23</v>
      </c>
      <c r="K141" s="2" t="str">
        <f>"PFES1162726624_0001"</f>
        <v>PFES1162726624_0001</v>
      </c>
      <c r="L141" s="2">
        <v>1</v>
      </c>
      <c r="M141" s="2">
        <v>1</v>
      </c>
    </row>
    <row r="142" spans="1:13">
      <c r="A142" s="7">
        <v>43803</v>
      </c>
      <c r="B142" s="8">
        <v>0.5</v>
      </c>
      <c r="C142" s="2" t="str">
        <f>"FES1162726696"</f>
        <v>FES1162726696</v>
      </c>
      <c r="D142" s="2" t="s">
        <v>19</v>
      </c>
      <c r="E142" s="2" t="s">
        <v>163</v>
      </c>
      <c r="F142" s="2" t="str">
        <f>"2170718768 "</f>
        <v xml:space="preserve">2170718768 </v>
      </c>
      <c r="G142" s="2" t="str">
        <f t="shared" si="3"/>
        <v>ON1</v>
      </c>
      <c r="H142" s="2" t="s">
        <v>21</v>
      </c>
      <c r="I142" s="2" t="s">
        <v>164</v>
      </c>
      <c r="J142" s="2" t="s">
        <v>23</v>
      </c>
      <c r="K142" s="2" t="str">
        <f>"PFES1162726696_0001"</f>
        <v>PFES1162726696_0001</v>
      </c>
      <c r="L142" s="2">
        <v>1</v>
      </c>
      <c r="M142" s="2">
        <v>1</v>
      </c>
    </row>
    <row r="143" spans="1:13">
      <c r="A143" s="7">
        <v>43803</v>
      </c>
      <c r="B143" s="8">
        <v>0.49791666666666662</v>
      </c>
      <c r="C143" s="2" t="str">
        <f>"FES1162726575"</f>
        <v>FES1162726575</v>
      </c>
      <c r="D143" s="2" t="s">
        <v>19</v>
      </c>
      <c r="E143" s="2" t="s">
        <v>34</v>
      </c>
      <c r="F143" s="2" t="str">
        <f>"2170719759 "</f>
        <v xml:space="preserve">2170719759 </v>
      </c>
      <c r="G143" s="2" t="str">
        <f t="shared" si="3"/>
        <v>ON1</v>
      </c>
      <c r="H143" s="2" t="s">
        <v>21</v>
      </c>
      <c r="I143" s="2" t="s">
        <v>35</v>
      </c>
      <c r="J143" s="2" t="s">
        <v>23</v>
      </c>
      <c r="K143" s="2" t="str">
        <f>"PFES1162726575_0001"</f>
        <v>PFES1162726575_0001</v>
      </c>
      <c r="L143" s="2">
        <v>1</v>
      </c>
      <c r="M143" s="2">
        <v>1</v>
      </c>
    </row>
    <row r="144" spans="1:13">
      <c r="A144" s="7">
        <v>43803</v>
      </c>
      <c r="B144" s="8">
        <v>0.49722222222222223</v>
      </c>
      <c r="C144" s="2" t="str">
        <f>"FES1162726513"</f>
        <v>FES1162726513</v>
      </c>
      <c r="D144" s="2" t="s">
        <v>19</v>
      </c>
      <c r="E144" s="2" t="s">
        <v>36</v>
      </c>
      <c r="F144" s="2" t="str">
        <f>"2170719964 "</f>
        <v xml:space="preserve">2170719964 </v>
      </c>
      <c r="G144" s="2" t="str">
        <f t="shared" si="3"/>
        <v>ON1</v>
      </c>
      <c r="H144" s="2" t="s">
        <v>21</v>
      </c>
      <c r="I144" s="2" t="s">
        <v>37</v>
      </c>
      <c r="J144" s="2" t="s">
        <v>23</v>
      </c>
      <c r="K144" s="2" t="str">
        <f>"PFES1162726513_0001"</f>
        <v>PFES1162726513_0001</v>
      </c>
      <c r="L144" s="2">
        <v>1</v>
      </c>
      <c r="M144" s="2">
        <v>1</v>
      </c>
    </row>
    <row r="145" spans="1:13">
      <c r="A145" s="7">
        <v>43803</v>
      </c>
      <c r="B145" s="8">
        <v>0.49652777777777773</v>
      </c>
      <c r="C145" s="2" t="str">
        <f>"FES1162726639"</f>
        <v>FES1162726639</v>
      </c>
      <c r="D145" s="2" t="s">
        <v>19</v>
      </c>
      <c r="E145" s="2" t="s">
        <v>38</v>
      </c>
      <c r="F145" s="2" t="str">
        <f>"2170708314 "</f>
        <v xml:space="preserve">2170708314 </v>
      </c>
      <c r="G145" s="2" t="str">
        <f t="shared" si="3"/>
        <v>ON1</v>
      </c>
      <c r="H145" s="2" t="s">
        <v>21</v>
      </c>
      <c r="I145" s="2" t="s">
        <v>39</v>
      </c>
      <c r="J145" s="2" t="s">
        <v>23</v>
      </c>
      <c r="K145" s="2" t="str">
        <f>"PFES1162726639_0001"</f>
        <v>PFES1162726639_0001</v>
      </c>
      <c r="L145" s="2">
        <v>1</v>
      </c>
      <c r="M145" s="2">
        <v>1</v>
      </c>
    </row>
    <row r="146" spans="1:13">
      <c r="A146" s="7">
        <v>43803</v>
      </c>
      <c r="B146" s="8">
        <v>0.49583333333333335</v>
      </c>
      <c r="C146" s="2" t="str">
        <f>"FES1162726569"</f>
        <v>FES1162726569</v>
      </c>
      <c r="D146" s="2" t="s">
        <v>19</v>
      </c>
      <c r="E146" s="2" t="s">
        <v>36</v>
      </c>
      <c r="F146" s="2" t="str">
        <f>"2170718806 "</f>
        <v xml:space="preserve">2170718806 </v>
      </c>
      <c r="G146" s="2" t="str">
        <f t="shared" si="3"/>
        <v>ON1</v>
      </c>
      <c r="H146" s="2" t="s">
        <v>21</v>
      </c>
      <c r="I146" s="2" t="s">
        <v>37</v>
      </c>
      <c r="J146" s="2" t="s">
        <v>23</v>
      </c>
      <c r="K146" s="2" t="str">
        <f>"PFES1162726569_0001"</f>
        <v>PFES1162726569_0001</v>
      </c>
      <c r="L146" s="2">
        <v>1</v>
      </c>
      <c r="M146" s="2">
        <v>1</v>
      </c>
    </row>
    <row r="147" spans="1:13">
      <c r="A147" s="7">
        <v>43803</v>
      </c>
      <c r="B147" s="8">
        <v>0.49513888888888885</v>
      </c>
      <c r="C147" s="2" t="str">
        <f>"FES1162726521"</f>
        <v>FES1162726521</v>
      </c>
      <c r="D147" s="2" t="s">
        <v>19</v>
      </c>
      <c r="E147" s="2" t="s">
        <v>196</v>
      </c>
      <c r="F147" s="2" t="str">
        <f>"2170719973 "</f>
        <v xml:space="preserve">2170719973 </v>
      </c>
      <c r="G147" s="2" t="str">
        <f t="shared" si="3"/>
        <v>ON1</v>
      </c>
      <c r="H147" s="2" t="s">
        <v>21</v>
      </c>
      <c r="I147" s="2" t="s">
        <v>197</v>
      </c>
      <c r="J147" s="2" t="s">
        <v>23</v>
      </c>
      <c r="K147" s="2" t="str">
        <f>"PFES1162726521_0001"</f>
        <v>PFES1162726521_0001</v>
      </c>
      <c r="L147" s="2">
        <v>1</v>
      </c>
      <c r="M147" s="2">
        <v>1</v>
      </c>
    </row>
    <row r="148" spans="1:13">
      <c r="A148" s="7">
        <v>43803</v>
      </c>
      <c r="B148" s="8">
        <v>0.49305555555555558</v>
      </c>
      <c r="C148" s="2" t="str">
        <f>"FES1162726455"</f>
        <v>FES1162726455</v>
      </c>
      <c r="D148" s="2" t="s">
        <v>19</v>
      </c>
      <c r="E148" s="2" t="s">
        <v>156</v>
      </c>
      <c r="F148" s="2" t="str">
        <f>"2170719881 "</f>
        <v xml:space="preserve">2170719881 </v>
      </c>
      <c r="G148" s="2" t="str">
        <f t="shared" si="3"/>
        <v>ON1</v>
      </c>
      <c r="H148" s="2" t="s">
        <v>21</v>
      </c>
      <c r="I148" s="2" t="s">
        <v>157</v>
      </c>
      <c r="J148" s="2" t="s">
        <v>23</v>
      </c>
      <c r="K148" s="2" t="str">
        <f>"PFES1162726455_0001"</f>
        <v>PFES1162726455_0001</v>
      </c>
      <c r="L148" s="2">
        <v>1</v>
      </c>
      <c r="M148" s="2">
        <v>1</v>
      </c>
    </row>
    <row r="149" spans="1:13">
      <c r="A149" s="7">
        <v>43803</v>
      </c>
      <c r="B149" s="8">
        <v>0.49236111111111108</v>
      </c>
      <c r="C149" s="2" t="str">
        <f>"FES1162726599"</f>
        <v>FES1162726599</v>
      </c>
      <c r="D149" s="2" t="s">
        <v>19</v>
      </c>
      <c r="E149" s="2" t="s">
        <v>156</v>
      </c>
      <c r="F149" s="2" t="str">
        <f>"2170720077 "</f>
        <v xml:space="preserve">2170720077 </v>
      </c>
      <c r="G149" s="2" t="str">
        <f t="shared" si="3"/>
        <v>ON1</v>
      </c>
      <c r="H149" s="2" t="s">
        <v>21</v>
      </c>
      <c r="I149" s="2" t="s">
        <v>157</v>
      </c>
      <c r="J149" s="2" t="s">
        <v>23</v>
      </c>
      <c r="K149" s="2" t="str">
        <f>"PFES1162726599_0001"</f>
        <v>PFES1162726599_0001</v>
      </c>
      <c r="L149" s="2">
        <v>1</v>
      </c>
      <c r="M149" s="2">
        <v>1</v>
      </c>
    </row>
    <row r="150" spans="1:13">
      <c r="A150" s="7">
        <v>43803</v>
      </c>
      <c r="B150" s="8">
        <v>0.4916666666666667</v>
      </c>
      <c r="C150" s="2" t="str">
        <f>"FES1162726529"</f>
        <v>FES1162726529</v>
      </c>
      <c r="D150" s="2" t="s">
        <v>19</v>
      </c>
      <c r="E150" s="2" t="s">
        <v>24</v>
      </c>
      <c r="F150" s="2" t="str">
        <f>"2170719991 "</f>
        <v xml:space="preserve">2170719991 </v>
      </c>
      <c r="G150" s="2" t="str">
        <f t="shared" si="3"/>
        <v>ON1</v>
      </c>
      <c r="H150" s="2" t="s">
        <v>21</v>
      </c>
      <c r="I150" s="2" t="s">
        <v>25</v>
      </c>
      <c r="J150" s="2" t="s">
        <v>23</v>
      </c>
      <c r="K150" s="2" t="str">
        <f>"PFES1162726529_0001"</f>
        <v>PFES1162726529_0001</v>
      </c>
      <c r="L150" s="2">
        <v>1</v>
      </c>
      <c r="M150" s="2">
        <v>1</v>
      </c>
    </row>
    <row r="151" spans="1:13">
      <c r="A151" s="7">
        <v>43803</v>
      </c>
      <c r="B151" s="8">
        <v>0.49027777777777781</v>
      </c>
      <c r="C151" s="2" t="str">
        <f>"FES1162726406"</f>
        <v>FES1162726406</v>
      </c>
      <c r="D151" s="2" t="s">
        <v>19</v>
      </c>
      <c r="E151" s="2" t="s">
        <v>198</v>
      </c>
      <c r="F151" s="2" t="str">
        <f>"2170719211 "</f>
        <v xml:space="preserve">2170719211 </v>
      </c>
      <c r="G151" s="2" t="str">
        <f t="shared" si="3"/>
        <v>ON1</v>
      </c>
      <c r="H151" s="2" t="s">
        <v>21</v>
      </c>
      <c r="I151" s="2" t="s">
        <v>175</v>
      </c>
      <c r="J151" s="2" t="s">
        <v>23</v>
      </c>
      <c r="K151" s="2" t="str">
        <f>"PFES1162726406_0001"</f>
        <v>PFES1162726406_0001</v>
      </c>
      <c r="L151" s="2">
        <v>1</v>
      </c>
      <c r="M151" s="2">
        <v>1</v>
      </c>
    </row>
    <row r="152" spans="1:13">
      <c r="A152" s="7">
        <v>43803</v>
      </c>
      <c r="B152" s="8">
        <v>0.45277777777777778</v>
      </c>
      <c r="C152" s="2" t="str">
        <f>"FES1162726667"</f>
        <v>FES1162726667</v>
      </c>
      <c r="D152" s="2" t="s">
        <v>19</v>
      </c>
      <c r="E152" s="2" t="s">
        <v>199</v>
      </c>
      <c r="F152" s="2" t="str">
        <f>"2170717918 "</f>
        <v xml:space="preserve">2170717918 </v>
      </c>
      <c r="G152" s="2" t="str">
        <f t="shared" si="3"/>
        <v>ON1</v>
      </c>
      <c r="H152" s="2" t="s">
        <v>21</v>
      </c>
      <c r="I152" s="2" t="s">
        <v>161</v>
      </c>
      <c r="J152" s="2" t="s">
        <v>23</v>
      </c>
      <c r="K152" s="2" t="str">
        <f>"PFES1162726667_0001"</f>
        <v>PFES1162726667_0001</v>
      </c>
      <c r="L152" s="2">
        <v>1</v>
      </c>
      <c r="M152" s="2">
        <v>1</v>
      </c>
    </row>
    <row r="153" spans="1:13">
      <c r="A153" s="7">
        <v>43803</v>
      </c>
      <c r="B153" s="8">
        <v>0.4513888888888889</v>
      </c>
      <c r="C153" s="2" t="str">
        <f>"FES1162726670"</f>
        <v>FES1162726670</v>
      </c>
      <c r="D153" s="2" t="s">
        <v>19</v>
      </c>
      <c r="E153" s="2" t="s">
        <v>200</v>
      </c>
      <c r="F153" s="2" t="str">
        <f>"2170717956 "</f>
        <v xml:space="preserve">2170717956 </v>
      </c>
      <c r="G153" s="2" t="str">
        <f t="shared" si="3"/>
        <v>ON1</v>
      </c>
      <c r="H153" s="2" t="s">
        <v>21</v>
      </c>
      <c r="I153" s="2" t="s">
        <v>201</v>
      </c>
      <c r="J153" s="2" t="s">
        <v>23</v>
      </c>
      <c r="K153" s="2" t="str">
        <f>"PFES1162726670_0001"</f>
        <v>PFES1162726670_0001</v>
      </c>
      <c r="L153" s="2">
        <v>1</v>
      </c>
      <c r="M153" s="2">
        <v>1</v>
      </c>
    </row>
    <row r="154" spans="1:13">
      <c r="A154" s="7">
        <v>43803</v>
      </c>
      <c r="B154" s="8">
        <v>0.45069444444444445</v>
      </c>
      <c r="C154" s="2" t="str">
        <f>"FES1162726697"</f>
        <v>FES1162726697</v>
      </c>
      <c r="D154" s="2" t="s">
        <v>19</v>
      </c>
      <c r="E154" s="2" t="s">
        <v>202</v>
      </c>
      <c r="F154" s="2" t="str">
        <f>"2170718778 "</f>
        <v xml:space="preserve">2170718778 </v>
      </c>
      <c r="G154" s="2" t="str">
        <f t="shared" si="3"/>
        <v>ON1</v>
      </c>
      <c r="H154" s="2" t="s">
        <v>21</v>
      </c>
      <c r="I154" s="2" t="s">
        <v>56</v>
      </c>
      <c r="J154" s="2" t="s">
        <v>23</v>
      </c>
      <c r="K154" s="2" t="str">
        <f>"PFES1162726697_0001"</f>
        <v>PFES1162726697_0001</v>
      </c>
      <c r="L154" s="2">
        <v>1</v>
      </c>
      <c r="M154" s="2">
        <v>2</v>
      </c>
    </row>
    <row r="155" spans="1:13">
      <c r="A155" s="7">
        <v>43803</v>
      </c>
      <c r="B155" s="8">
        <v>0.44930555555555557</v>
      </c>
      <c r="C155" s="2" t="str">
        <f>"FES1162726649"</f>
        <v>FES1162726649</v>
      </c>
      <c r="D155" s="2" t="s">
        <v>19</v>
      </c>
      <c r="E155" s="2" t="s">
        <v>156</v>
      </c>
      <c r="F155" s="2" t="str">
        <f>"2170712831 "</f>
        <v xml:space="preserve">2170712831 </v>
      </c>
      <c r="G155" s="2" t="str">
        <f t="shared" si="3"/>
        <v>ON1</v>
      </c>
      <c r="H155" s="2" t="s">
        <v>21</v>
      </c>
      <c r="I155" s="2" t="s">
        <v>157</v>
      </c>
      <c r="J155" s="2" t="s">
        <v>23</v>
      </c>
      <c r="K155" s="2" t="str">
        <f>"PFES1162726649_0001"</f>
        <v>PFES1162726649_0001</v>
      </c>
      <c r="L155" s="2">
        <v>1</v>
      </c>
      <c r="M155" s="2">
        <v>1</v>
      </c>
    </row>
    <row r="156" spans="1:13">
      <c r="A156" s="7">
        <v>43803</v>
      </c>
      <c r="B156" s="8">
        <v>0.44861111111111113</v>
      </c>
      <c r="C156" s="2" t="str">
        <f>"FES1162726658"</f>
        <v>FES1162726658</v>
      </c>
      <c r="D156" s="2" t="s">
        <v>19</v>
      </c>
      <c r="E156" s="2" t="s">
        <v>203</v>
      </c>
      <c r="F156" s="2" t="str">
        <f>"2170715738 "</f>
        <v xml:space="preserve">2170715738 </v>
      </c>
      <c r="G156" s="2" t="str">
        <f t="shared" si="3"/>
        <v>ON1</v>
      </c>
      <c r="H156" s="2" t="s">
        <v>21</v>
      </c>
      <c r="I156" s="2" t="s">
        <v>204</v>
      </c>
      <c r="J156" s="2" t="s">
        <v>23</v>
      </c>
      <c r="K156" s="2" t="str">
        <f>"PFES1162726658_0001"</f>
        <v>PFES1162726658_0001</v>
      </c>
      <c r="L156" s="2">
        <v>1</v>
      </c>
      <c r="M156" s="2">
        <v>1</v>
      </c>
    </row>
    <row r="157" spans="1:13">
      <c r="A157" s="7">
        <v>43803</v>
      </c>
      <c r="B157" s="8">
        <v>0.44791666666666669</v>
      </c>
      <c r="C157" s="2" t="str">
        <f>"FES1162726636"</f>
        <v>FES1162726636</v>
      </c>
      <c r="D157" s="2" t="s">
        <v>19</v>
      </c>
      <c r="E157" s="2" t="s">
        <v>205</v>
      </c>
      <c r="F157" s="2" t="str">
        <f>"2170720115 "</f>
        <v xml:space="preserve">2170720115 </v>
      </c>
      <c r="G157" s="2" t="str">
        <f t="shared" si="3"/>
        <v>ON1</v>
      </c>
      <c r="H157" s="2" t="s">
        <v>21</v>
      </c>
      <c r="I157" s="2" t="s">
        <v>206</v>
      </c>
      <c r="J157" s="2" t="s">
        <v>23</v>
      </c>
      <c r="K157" s="2" t="str">
        <f>"PFES1162726636_0001"</f>
        <v>PFES1162726636_0001</v>
      </c>
      <c r="L157" s="2">
        <v>1</v>
      </c>
      <c r="M157" s="2">
        <v>1</v>
      </c>
    </row>
    <row r="158" spans="1:13">
      <c r="A158" s="7">
        <v>43803</v>
      </c>
      <c r="B158" s="8">
        <v>0.44375000000000003</v>
      </c>
      <c r="C158" s="2" t="str">
        <f>"FES1162726689"</f>
        <v>FES1162726689</v>
      </c>
      <c r="D158" s="2" t="s">
        <v>19</v>
      </c>
      <c r="E158" s="2" t="s">
        <v>207</v>
      </c>
      <c r="F158" s="2" t="str">
        <f>"2170718118 "</f>
        <v xml:space="preserve">2170718118 </v>
      </c>
      <c r="G158" s="2" t="str">
        <f t="shared" si="3"/>
        <v>ON1</v>
      </c>
      <c r="H158" s="2" t="s">
        <v>21</v>
      </c>
      <c r="I158" s="2" t="s">
        <v>31</v>
      </c>
      <c r="J158" s="2" t="s">
        <v>23</v>
      </c>
      <c r="K158" s="2" t="str">
        <f>"PFES1162726689_0001"</f>
        <v>PFES1162726689_0001</v>
      </c>
      <c r="L158" s="2">
        <v>1</v>
      </c>
      <c r="M158" s="2">
        <v>1</v>
      </c>
    </row>
    <row r="159" spans="1:13">
      <c r="A159" s="7">
        <v>43803</v>
      </c>
      <c r="B159" s="8">
        <v>0.43263888888888885</v>
      </c>
      <c r="C159" s="2" t="str">
        <f>"FES1162726370"</f>
        <v>FES1162726370</v>
      </c>
      <c r="D159" s="2" t="s">
        <v>19</v>
      </c>
      <c r="E159" s="2" t="s">
        <v>208</v>
      </c>
      <c r="F159" s="2" t="str">
        <f>"2170715354 "</f>
        <v xml:space="preserve">2170715354 </v>
      </c>
      <c r="G159" s="2" t="str">
        <f>"DBC"</f>
        <v>DBC</v>
      </c>
      <c r="H159" s="2" t="s">
        <v>21</v>
      </c>
      <c r="I159" s="2" t="s">
        <v>155</v>
      </c>
      <c r="J159" s="2" t="s">
        <v>23</v>
      </c>
      <c r="K159" s="2" t="str">
        <f>"PFES1162726370_0001"</f>
        <v>PFES1162726370_0001</v>
      </c>
      <c r="L159" s="2">
        <v>2</v>
      </c>
      <c r="M159" s="2">
        <v>25</v>
      </c>
    </row>
    <row r="160" spans="1:13">
      <c r="A160" s="7">
        <v>43803</v>
      </c>
      <c r="B160" s="8">
        <v>0.43263888888888885</v>
      </c>
      <c r="C160" s="2" t="str">
        <f>"FES1162726370"</f>
        <v>FES1162726370</v>
      </c>
      <c r="D160" s="2" t="s">
        <v>19</v>
      </c>
      <c r="E160" s="2" t="s">
        <v>208</v>
      </c>
      <c r="F160" s="2" t="str">
        <f>"2170715354 "</f>
        <v xml:space="preserve">2170715354 </v>
      </c>
      <c r="G160" s="2" t="str">
        <f>"DBC"</f>
        <v>DBC</v>
      </c>
      <c r="H160" s="2" t="s">
        <v>21</v>
      </c>
      <c r="I160" s="2" t="s">
        <v>155</v>
      </c>
      <c r="J160" s="2" t="s">
        <v>23</v>
      </c>
      <c r="K160" s="2" t="str">
        <f>"PFES1162726370_0002"</f>
        <v>PFES1162726370_0002</v>
      </c>
      <c r="L160" s="2">
        <v>2</v>
      </c>
      <c r="M160" s="2">
        <v>25</v>
      </c>
    </row>
    <row r="161" spans="1:13">
      <c r="A161" s="7">
        <v>43803</v>
      </c>
      <c r="B161" s="8">
        <v>0.43194444444444446</v>
      </c>
      <c r="C161" s="2" t="str">
        <f>"FES1162726363"</f>
        <v>FES1162726363</v>
      </c>
      <c r="D161" s="2" t="s">
        <v>19</v>
      </c>
      <c r="E161" s="2" t="s">
        <v>209</v>
      </c>
      <c r="F161" s="2" t="str">
        <f>"2170719866 "</f>
        <v xml:space="preserve">2170719866 </v>
      </c>
      <c r="G161" s="2" t="str">
        <f t="shared" ref="G161:G171" si="4">"ON1"</f>
        <v>ON1</v>
      </c>
      <c r="H161" s="2" t="s">
        <v>21</v>
      </c>
      <c r="I161" s="2" t="s">
        <v>210</v>
      </c>
      <c r="J161" s="2" t="s">
        <v>23</v>
      </c>
      <c r="K161" s="2" t="str">
        <f>"PFES1162726363_0001"</f>
        <v>PFES1162726363_0001</v>
      </c>
      <c r="L161" s="2">
        <v>1</v>
      </c>
      <c r="M161" s="2">
        <v>3</v>
      </c>
    </row>
    <row r="162" spans="1:13">
      <c r="A162" s="7">
        <v>43803</v>
      </c>
      <c r="B162" s="8">
        <v>0.43194444444444446</v>
      </c>
      <c r="C162" s="2" t="str">
        <f>"FES1162726564"</f>
        <v>FES1162726564</v>
      </c>
      <c r="D162" s="2" t="s">
        <v>19</v>
      </c>
      <c r="E162" s="2" t="s">
        <v>156</v>
      </c>
      <c r="F162" s="2" t="str">
        <f>"2170720044 "</f>
        <v xml:space="preserve">2170720044 </v>
      </c>
      <c r="G162" s="2" t="str">
        <f t="shared" si="4"/>
        <v>ON1</v>
      </c>
      <c r="H162" s="2" t="s">
        <v>21</v>
      </c>
      <c r="I162" s="2" t="s">
        <v>157</v>
      </c>
      <c r="J162" s="2" t="s">
        <v>23</v>
      </c>
      <c r="K162" s="2" t="str">
        <f>"PFES1162726564_0001"</f>
        <v>PFES1162726564_0001</v>
      </c>
      <c r="L162" s="2">
        <v>1</v>
      </c>
      <c r="M162" s="2">
        <v>1</v>
      </c>
    </row>
    <row r="163" spans="1:13">
      <c r="A163" s="7">
        <v>43803</v>
      </c>
      <c r="B163" s="8">
        <v>0.43124999999999997</v>
      </c>
      <c r="C163" s="2" t="str">
        <f>"FES1162726390"</f>
        <v>FES1162726390</v>
      </c>
      <c r="D163" s="2" t="s">
        <v>19</v>
      </c>
      <c r="E163" s="2" t="s">
        <v>211</v>
      </c>
      <c r="F163" s="2" t="str">
        <f>"2170718562 "</f>
        <v xml:space="preserve">2170718562 </v>
      </c>
      <c r="G163" s="2" t="str">
        <f t="shared" si="4"/>
        <v>ON1</v>
      </c>
      <c r="H163" s="2" t="s">
        <v>21</v>
      </c>
      <c r="I163" s="2" t="s">
        <v>212</v>
      </c>
      <c r="J163" s="2" t="s">
        <v>23</v>
      </c>
      <c r="K163" s="2" t="str">
        <f>"PFES1162726390_0001"</f>
        <v>PFES1162726390_0001</v>
      </c>
      <c r="L163" s="2">
        <v>1</v>
      </c>
      <c r="M163" s="2">
        <v>2</v>
      </c>
    </row>
    <row r="164" spans="1:13">
      <c r="A164" s="7">
        <v>43803</v>
      </c>
      <c r="B164" s="8">
        <v>0.43124999999999997</v>
      </c>
      <c r="C164" s="2" t="str">
        <f>"FES1162726522"</f>
        <v>FES1162726522</v>
      </c>
      <c r="D164" s="2" t="s">
        <v>19</v>
      </c>
      <c r="E164" s="2" t="s">
        <v>176</v>
      </c>
      <c r="F164" s="2" t="str">
        <f>"2170719975 "</f>
        <v xml:space="preserve">2170719975 </v>
      </c>
      <c r="G164" s="2" t="str">
        <f t="shared" si="4"/>
        <v>ON1</v>
      </c>
      <c r="H164" s="2" t="s">
        <v>21</v>
      </c>
      <c r="I164" s="2" t="s">
        <v>76</v>
      </c>
      <c r="J164" s="2" t="s">
        <v>23</v>
      </c>
      <c r="K164" s="2" t="str">
        <f>"PFES1162726522_0001"</f>
        <v>PFES1162726522_0001</v>
      </c>
      <c r="L164" s="2">
        <v>1</v>
      </c>
      <c r="M164" s="2">
        <v>4</v>
      </c>
    </row>
    <row r="165" spans="1:13">
      <c r="A165" s="7">
        <v>43803</v>
      </c>
      <c r="B165" s="8">
        <v>0.43124999999999997</v>
      </c>
      <c r="C165" s="2" t="str">
        <f>"FES1162726495"</f>
        <v>FES1162726495</v>
      </c>
      <c r="D165" s="2" t="s">
        <v>19</v>
      </c>
      <c r="E165" s="2" t="s">
        <v>34</v>
      </c>
      <c r="F165" s="2" t="str">
        <f>"2170719932 "</f>
        <v xml:space="preserve">2170719932 </v>
      </c>
      <c r="G165" s="2" t="str">
        <f t="shared" si="4"/>
        <v>ON1</v>
      </c>
      <c r="H165" s="2" t="s">
        <v>21</v>
      </c>
      <c r="I165" s="2" t="s">
        <v>35</v>
      </c>
      <c r="J165" s="2" t="s">
        <v>23</v>
      </c>
      <c r="K165" s="2" t="str">
        <f>"PFES1162726495_0001"</f>
        <v>PFES1162726495_0001</v>
      </c>
      <c r="L165" s="2">
        <v>1</v>
      </c>
      <c r="M165" s="2">
        <v>2</v>
      </c>
    </row>
    <row r="166" spans="1:13">
      <c r="A166" s="7">
        <v>43803</v>
      </c>
      <c r="B166" s="8">
        <v>0.43055555555555558</v>
      </c>
      <c r="C166" s="2" t="str">
        <f>"FES1162726435"</f>
        <v>FES1162726435</v>
      </c>
      <c r="D166" s="2" t="s">
        <v>19</v>
      </c>
      <c r="E166" s="2" t="s">
        <v>213</v>
      </c>
      <c r="F166" s="2" t="str">
        <f>"2170719734 "</f>
        <v xml:space="preserve">2170719734 </v>
      </c>
      <c r="G166" s="2" t="str">
        <f t="shared" si="4"/>
        <v>ON1</v>
      </c>
      <c r="H166" s="2" t="s">
        <v>21</v>
      </c>
      <c r="I166" s="2" t="s">
        <v>214</v>
      </c>
      <c r="J166" s="2" t="s">
        <v>23</v>
      </c>
      <c r="K166" s="2" t="str">
        <f>"PFES1162726435_0001"</f>
        <v>PFES1162726435_0001</v>
      </c>
      <c r="L166" s="2">
        <v>1</v>
      </c>
      <c r="M166" s="2">
        <v>7</v>
      </c>
    </row>
    <row r="167" spans="1:13">
      <c r="A167" s="7">
        <v>43803</v>
      </c>
      <c r="B167" s="8">
        <v>0.42986111111111108</v>
      </c>
      <c r="C167" s="2" t="str">
        <f>"FES1162726516"</f>
        <v>FES1162726516</v>
      </c>
      <c r="D167" s="2" t="s">
        <v>19</v>
      </c>
      <c r="E167" s="2" t="s">
        <v>107</v>
      </c>
      <c r="F167" s="2" t="str">
        <f>"2170719966 "</f>
        <v xml:space="preserve">2170719966 </v>
      </c>
      <c r="G167" s="2" t="str">
        <f t="shared" si="4"/>
        <v>ON1</v>
      </c>
      <c r="H167" s="2" t="s">
        <v>21</v>
      </c>
      <c r="I167" s="2" t="s">
        <v>56</v>
      </c>
      <c r="J167" s="2" t="s">
        <v>23</v>
      </c>
      <c r="K167" s="2" t="str">
        <f>"PFES1162726516_0001"</f>
        <v>PFES1162726516_0001</v>
      </c>
      <c r="L167" s="2">
        <v>1</v>
      </c>
      <c r="M167" s="2">
        <v>2</v>
      </c>
    </row>
    <row r="168" spans="1:13">
      <c r="A168" s="7">
        <v>43803</v>
      </c>
      <c r="B168" s="8">
        <v>0.42986111111111108</v>
      </c>
      <c r="C168" s="2" t="str">
        <f>"FES1162726546"</f>
        <v>FES1162726546</v>
      </c>
      <c r="D168" s="2" t="s">
        <v>19</v>
      </c>
      <c r="E168" s="2" t="s">
        <v>215</v>
      </c>
      <c r="F168" s="2" t="str">
        <f>"217070200014 "</f>
        <v xml:space="preserve">217070200014 </v>
      </c>
      <c r="G168" s="2" t="str">
        <f t="shared" si="4"/>
        <v>ON1</v>
      </c>
      <c r="H168" s="2" t="s">
        <v>21</v>
      </c>
      <c r="I168" s="2" t="s">
        <v>216</v>
      </c>
      <c r="J168" s="2" t="s">
        <v>23</v>
      </c>
      <c r="K168" s="2" t="str">
        <f>"PFES1162726546_0001"</f>
        <v>PFES1162726546_0001</v>
      </c>
      <c r="L168" s="2">
        <v>1</v>
      </c>
      <c r="M168" s="2">
        <v>2</v>
      </c>
    </row>
    <row r="169" spans="1:13">
      <c r="A169" s="7">
        <v>43803</v>
      </c>
      <c r="B169" s="8">
        <v>0.42986111111111108</v>
      </c>
      <c r="C169" s="2" t="str">
        <f>"FES1162726502"</f>
        <v>FES1162726502</v>
      </c>
      <c r="D169" s="2" t="s">
        <v>19</v>
      </c>
      <c r="E169" s="2" t="s">
        <v>215</v>
      </c>
      <c r="F169" s="2" t="str">
        <f>"2170719948 "</f>
        <v xml:space="preserve">2170719948 </v>
      </c>
      <c r="G169" s="2" t="str">
        <f t="shared" si="4"/>
        <v>ON1</v>
      </c>
      <c r="H169" s="2" t="s">
        <v>21</v>
      </c>
      <c r="I169" s="2" t="s">
        <v>216</v>
      </c>
      <c r="J169" s="2" t="s">
        <v>23</v>
      </c>
      <c r="K169" s="2" t="str">
        <f>"PFES1162726502_0001"</f>
        <v>PFES1162726502_0001</v>
      </c>
      <c r="L169" s="2">
        <v>1</v>
      </c>
      <c r="M169" s="2">
        <v>5</v>
      </c>
    </row>
    <row r="170" spans="1:13">
      <c r="A170" s="7">
        <v>43803</v>
      </c>
      <c r="B170" s="8">
        <v>0.4284722222222222</v>
      </c>
      <c r="C170" s="2" t="str">
        <f>"FES178431219"</f>
        <v>FES178431219</v>
      </c>
      <c r="D170" s="2" t="s">
        <v>19</v>
      </c>
      <c r="E170" s="2" t="s">
        <v>217</v>
      </c>
      <c r="F170" s="2" t="str">
        <f>"2170719630 "</f>
        <v xml:space="preserve">2170719630 </v>
      </c>
      <c r="G170" s="2" t="str">
        <f t="shared" si="4"/>
        <v>ON1</v>
      </c>
      <c r="H170" s="2" t="s">
        <v>21</v>
      </c>
      <c r="I170" s="2" t="s">
        <v>102</v>
      </c>
      <c r="J170" s="2" t="s">
        <v>23</v>
      </c>
      <c r="K170" s="2" t="str">
        <f>"PFES178431219_0001"</f>
        <v>PFES178431219_0001</v>
      </c>
      <c r="L170" s="2">
        <v>1</v>
      </c>
      <c r="M170" s="2">
        <v>3</v>
      </c>
    </row>
    <row r="171" spans="1:13">
      <c r="A171" s="7">
        <v>43803</v>
      </c>
      <c r="B171" s="8">
        <v>0.42777777777777781</v>
      </c>
      <c r="C171" s="2" t="str">
        <f>"FES1162726375"</f>
        <v>FES1162726375</v>
      </c>
      <c r="D171" s="2" t="s">
        <v>19</v>
      </c>
      <c r="E171" s="2" t="s">
        <v>218</v>
      </c>
      <c r="F171" s="2" t="str">
        <f>"2170716545 "</f>
        <v xml:space="preserve">2170716545 </v>
      </c>
      <c r="G171" s="2" t="str">
        <f t="shared" si="4"/>
        <v>ON1</v>
      </c>
      <c r="H171" s="2" t="s">
        <v>21</v>
      </c>
      <c r="I171" s="2" t="s">
        <v>219</v>
      </c>
      <c r="J171" s="2" t="s">
        <v>23</v>
      </c>
      <c r="K171" s="2" t="str">
        <f>"PFES1162726375_0001"</f>
        <v>PFES1162726375_0001</v>
      </c>
      <c r="L171" s="2">
        <v>1</v>
      </c>
      <c r="M171" s="2">
        <v>10</v>
      </c>
    </row>
    <row r="172" spans="1:13">
      <c r="A172" s="7">
        <v>43803</v>
      </c>
      <c r="B172" s="8">
        <v>0.42708333333333331</v>
      </c>
      <c r="C172" s="2" t="str">
        <f>"FES1162726387"</f>
        <v>FES1162726387</v>
      </c>
      <c r="D172" s="2" t="s">
        <v>19</v>
      </c>
      <c r="E172" s="2" t="s">
        <v>77</v>
      </c>
      <c r="F172" s="2" t="str">
        <f>"2170717987 "</f>
        <v xml:space="preserve">2170717987 </v>
      </c>
      <c r="G172" s="2" t="str">
        <f>"DBC"</f>
        <v>DBC</v>
      </c>
      <c r="H172" s="2" t="s">
        <v>21</v>
      </c>
      <c r="I172" s="2" t="s">
        <v>220</v>
      </c>
      <c r="J172" s="2" t="s">
        <v>23</v>
      </c>
      <c r="K172" s="2" t="str">
        <f>"PFES1162726387_0001"</f>
        <v>PFES1162726387_0001</v>
      </c>
      <c r="L172" s="2">
        <v>1</v>
      </c>
      <c r="M172" s="2">
        <v>20</v>
      </c>
    </row>
    <row r="173" spans="1:13">
      <c r="A173" s="7">
        <v>43803</v>
      </c>
      <c r="B173" s="8">
        <v>0.42708333333333331</v>
      </c>
      <c r="C173" s="2" t="str">
        <f>"FES1162726512"</f>
        <v>FES1162726512</v>
      </c>
      <c r="D173" s="2" t="s">
        <v>19</v>
      </c>
      <c r="E173" s="2" t="s">
        <v>138</v>
      </c>
      <c r="F173" s="2" t="str">
        <f>"2170719963 "</f>
        <v xml:space="preserve">2170719963 </v>
      </c>
      <c r="G173" s="2" t="str">
        <f t="shared" ref="G173:G236" si="5">"ON1"</f>
        <v>ON1</v>
      </c>
      <c r="H173" s="2" t="s">
        <v>21</v>
      </c>
      <c r="I173" s="2" t="s">
        <v>136</v>
      </c>
      <c r="J173" s="2" t="s">
        <v>23</v>
      </c>
      <c r="K173" s="2" t="str">
        <f>"PFES1162726512_0001"</f>
        <v>PFES1162726512_0001</v>
      </c>
      <c r="L173" s="2">
        <v>1</v>
      </c>
      <c r="M173" s="2">
        <v>2</v>
      </c>
    </row>
    <row r="174" spans="1:13">
      <c r="A174" s="7">
        <v>43803</v>
      </c>
      <c r="B174" s="8">
        <v>0.42638888888888887</v>
      </c>
      <c r="C174" s="2" t="str">
        <f>"FES1162726508"</f>
        <v>FES1162726508</v>
      </c>
      <c r="D174" s="2" t="s">
        <v>19</v>
      </c>
      <c r="E174" s="2" t="s">
        <v>221</v>
      </c>
      <c r="F174" s="2" t="str">
        <f>"2170719958 "</f>
        <v xml:space="preserve">2170719958 </v>
      </c>
      <c r="G174" s="2" t="str">
        <f t="shared" si="5"/>
        <v>ON1</v>
      </c>
      <c r="H174" s="2" t="s">
        <v>21</v>
      </c>
      <c r="I174" s="2" t="s">
        <v>56</v>
      </c>
      <c r="J174" s="2" t="s">
        <v>23</v>
      </c>
      <c r="K174" s="2" t="str">
        <f>"PFES1162726508_0001"</f>
        <v>PFES1162726508_0001</v>
      </c>
      <c r="L174" s="2">
        <v>1</v>
      </c>
      <c r="M174" s="2">
        <v>2</v>
      </c>
    </row>
    <row r="175" spans="1:13">
      <c r="A175" s="7">
        <v>43803</v>
      </c>
      <c r="B175" s="8">
        <v>0.42569444444444443</v>
      </c>
      <c r="C175" s="2" t="str">
        <f>"FES1162726503"</f>
        <v>FES1162726503</v>
      </c>
      <c r="D175" s="2" t="s">
        <v>19</v>
      </c>
      <c r="E175" s="2" t="s">
        <v>222</v>
      </c>
      <c r="F175" s="2" t="str">
        <f>"2170719949 "</f>
        <v xml:space="preserve">2170719949 </v>
      </c>
      <c r="G175" s="2" t="str">
        <f t="shared" si="5"/>
        <v>ON1</v>
      </c>
      <c r="H175" s="2" t="s">
        <v>21</v>
      </c>
      <c r="I175" s="2" t="s">
        <v>223</v>
      </c>
      <c r="J175" s="2" t="s">
        <v>23</v>
      </c>
      <c r="K175" s="2" t="str">
        <f>"PFES1162726503_0001"</f>
        <v>PFES1162726503_0001</v>
      </c>
      <c r="L175" s="2">
        <v>1</v>
      </c>
      <c r="M175" s="2">
        <v>12</v>
      </c>
    </row>
    <row r="176" spans="1:13">
      <c r="A176" s="7">
        <v>43803</v>
      </c>
      <c r="B176" s="8">
        <v>0.42499999999999999</v>
      </c>
      <c r="C176" s="2" t="str">
        <f>"FES1162726444"</f>
        <v>FES1162726444</v>
      </c>
      <c r="D176" s="2" t="s">
        <v>19</v>
      </c>
      <c r="E176" s="2" t="s">
        <v>224</v>
      </c>
      <c r="F176" s="2" t="str">
        <f>"2170719847 "</f>
        <v xml:space="preserve">2170719847 </v>
      </c>
      <c r="G176" s="2" t="str">
        <f t="shared" si="5"/>
        <v>ON1</v>
      </c>
      <c r="H176" s="2" t="s">
        <v>21</v>
      </c>
      <c r="I176" s="2" t="s">
        <v>141</v>
      </c>
      <c r="J176" s="2" t="s">
        <v>23</v>
      </c>
      <c r="K176" s="2" t="str">
        <f>"PFES1162726444_0001"</f>
        <v>PFES1162726444_0001</v>
      </c>
      <c r="L176" s="2">
        <v>1</v>
      </c>
      <c r="M176" s="2">
        <v>3</v>
      </c>
    </row>
    <row r="177" spans="1:13">
      <c r="A177" s="7">
        <v>43803</v>
      </c>
      <c r="B177" s="8">
        <v>0.42430555555555555</v>
      </c>
      <c r="C177" s="2" t="str">
        <f>"FES1162726590"</f>
        <v>FES1162726590</v>
      </c>
      <c r="D177" s="2" t="s">
        <v>19</v>
      </c>
      <c r="E177" s="2" t="s">
        <v>182</v>
      </c>
      <c r="F177" s="2" t="str">
        <f>"2170710067 "</f>
        <v xml:space="preserve">2170710067 </v>
      </c>
      <c r="G177" s="2" t="str">
        <f t="shared" si="5"/>
        <v>ON1</v>
      </c>
      <c r="H177" s="2" t="s">
        <v>21</v>
      </c>
      <c r="I177" s="2" t="s">
        <v>183</v>
      </c>
      <c r="J177" s="2" t="s">
        <v>23</v>
      </c>
      <c r="K177" s="2" t="str">
        <f>"PFES1162726590_0001"</f>
        <v>PFES1162726590_0001</v>
      </c>
      <c r="L177" s="2">
        <v>1</v>
      </c>
      <c r="M177" s="2">
        <v>5</v>
      </c>
    </row>
    <row r="178" spans="1:13">
      <c r="A178" s="7">
        <v>43803</v>
      </c>
      <c r="B178" s="8">
        <v>0.42430555555555555</v>
      </c>
      <c r="C178" s="2" t="str">
        <f>"FES1162726623"</f>
        <v>FES1162726623</v>
      </c>
      <c r="D178" s="2" t="s">
        <v>19</v>
      </c>
      <c r="E178" s="2" t="s">
        <v>225</v>
      </c>
      <c r="F178" s="2" t="str">
        <f>"217071201058 "</f>
        <v xml:space="preserve">217071201058 </v>
      </c>
      <c r="G178" s="2" t="str">
        <f t="shared" si="5"/>
        <v>ON1</v>
      </c>
      <c r="H178" s="2" t="s">
        <v>21</v>
      </c>
      <c r="I178" s="2" t="s">
        <v>76</v>
      </c>
      <c r="J178" s="2" t="s">
        <v>23</v>
      </c>
      <c r="K178" s="2" t="str">
        <f>"PFES1162726623_0001"</f>
        <v>PFES1162726623_0001</v>
      </c>
      <c r="L178" s="2">
        <v>1</v>
      </c>
      <c r="M178" s="2">
        <v>4</v>
      </c>
    </row>
    <row r="179" spans="1:13">
      <c r="A179" s="7">
        <v>43803</v>
      </c>
      <c r="B179" s="8">
        <v>0.4236111111111111</v>
      </c>
      <c r="C179" s="2" t="str">
        <f>"FES1162726666"</f>
        <v>FES1162726666</v>
      </c>
      <c r="D179" s="2" t="s">
        <v>19</v>
      </c>
      <c r="E179" s="2" t="s">
        <v>226</v>
      </c>
      <c r="F179" s="2" t="str">
        <f>"2170717905 "</f>
        <v xml:space="preserve">2170717905 </v>
      </c>
      <c r="G179" s="2" t="str">
        <f t="shared" si="5"/>
        <v>ON1</v>
      </c>
      <c r="H179" s="2" t="s">
        <v>21</v>
      </c>
      <c r="I179" s="2" t="s">
        <v>227</v>
      </c>
      <c r="J179" s="2" t="s">
        <v>23</v>
      </c>
      <c r="K179" s="2" t="str">
        <f>"PFES1162726666_0001"</f>
        <v>PFES1162726666_0001</v>
      </c>
      <c r="L179" s="2">
        <v>1</v>
      </c>
      <c r="M179" s="2">
        <v>3</v>
      </c>
    </row>
    <row r="180" spans="1:13">
      <c r="A180" s="7">
        <v>43803</v>
      </c>
      <c r="B180" s="8">
        <v>0.42291666666666666</v>
      </c>
      <c r="C180" s="2" t="str">
        <f>"FES1162726685"</f>
        <v>FES1162726685</v>
      </c>
      <c r="D180" s="2" t="s">
        <v>19</v>
      </c>
      <c r="E180" s="2" t="s">
        <v>228</v>
      </c>
      <c r="F180" s="2" t="str">
        <f>"2170718104 "</f>
        <v xml:space="preserve">2170718104 </v>
      </c>
      <c r="G180" s="2" t="str">
        <f t="shared" si="5"/>
        <v>ON1</v>
      </c>
      <c r="H180" s="2" t="s">
        <v>21</v>
      </c>
      <c r="I180" s="2" t="s">
        <v>229</v>
      </c>
      <c r="J180" s="2" t="s">
        <v>23</v>
      </c>
      <c r="K180" s="2" t="str">
        <f>"PFES1162726685_0001"</f>
        <v>PFES1162726685_0001</v>
      </c>
      <c r="L180" s="2">
        <v>1</v>
      </c>
      <c r="M180" s="2">
        <v>1</v>
      </c>
    </row>
    <row r="181" spans="1:13">
      <c r="A181" s="7">
        <v>43803</v>
      </c>
      <c r="B181" s="8">
        <v>0.42291666666666666</v>
      </c>
      <c r="C181" s="2" t="str">
        <f>"FES1162726388"</f>
        <v>FES1162726388</v>
      </c>
      <c r="D181" s="2" t="s">
        <v>19</v>
      </c>
      <c r="E181" s="2" t="s">
        <v>203</v>
      </c>
      <c r="F181" s="2" t="str">
        <f>"2170718296 "</f>
        <v xml:space="preserve">2170718296 </v>
      </c>
      <c r="G181" s="2" t="str">
        <f t="shared" si="5"/>
        <v>ON1</v>
      </c>
      <c r="H181" s="2" t="s">
        <v>21</v>
      </c>
      <c r="I181" s="2" t="s">
        <v>204</v>
      </c>
      <c r="J181" s="2" t="s">
        <v>23</v>
      </c>
      <c r="K181" s="2" t="str">
        <f>"PFES1162726388_0001"</f>
        <v>PFES1162726388_0001</v>
      </c>
      <c r="L181" s="2">
        <v>1</v>
      </c>
      <c r="M181" s="2">
        <v>7</v>
      </c>
    </row>
    <row r="182" spans="1:13">
      <c r="A182" s="7">
        <v>43803</v>
      </c>
      <c r="B182" s="8">
        <v>0.42222222222222222</v>
      </c>
      <c r="C182" s="2" t="str">
        <f>"FES1162726384"</f>
        <v>FES1162726384</v>
      </c>
      <c r="D182" s="2" t="s">
        <v>19</v>
      </c>
      <c r="E182" s="2" t="s">
        <v>208</v>
      </c>
      <c r="F182" s="2" t="str">
        <f>"2170717863 "</f>
        <v xml:space="preserve">2170717863 </v>
      </c>
      <c r="G182" s="2" t="str">
        <f t="shared" si="5"/>
        <v>ON1</v>
      </c>
      <c r="H182" s="2" t="s">
        <v>21</v>
      </c>
      <c r="I182" s="2" t="s">
        <v>155</v>
      </c>
      <c r="J182" s="2" t="s">
        <v>23</v>
      </c>
      <c r="K182" s="2" t="str">
        <f>"PFES1162726384_0001"</f>
        <v>PFES1162726384_0001</v>
      </c>
      <c r="L182" s="2">
        <v>1</v>
      </c>
      <c r="M182" s="2">
        <v>1</v>
      </c>
    </row>
    <row r="183" spans="1:13">
      <c r="A183" s="7">
        <v>43803</v>
      </c>
      <c r="B183" s="8">
        <v>0.42152777777777778</v>
      </c>
      <c r="C183" s="2" t="str">
        <f>"FES1162726525"</f>
        <v>FES1162726525</v>
      </c>
      <c r="D183" s="2" t="s">
        <v>19</v>
      </c>
      <c r="E183" s="2" t="s">
        <v>230</v>
      </c>
      <c r="F183" s="2" t="str">
        <f>"2170719978 "</f>
        <v xml:space="preserve">2170719978 </v>
      </c>
      <c r="G183" s="2" t="str">
        <f t="shared" si="5"/>
        <v>ON1</v>
      </c>
      <c r="H183" s="2" t="s">
        <v>21</v>
      </c>
      <c r="I183" s="2" t="s">
        <v>231</v>
      </c>
      <c r="J183" s="2" t="s">
        <v>23</v>
      </c>
      <c r="K183" s="2" t="str">
        <f>"PFES1162726525_0001"</f>
        <v>PFES1162726525_0001</v>
      </c>
      <c r="L183" s="2">
        <v>1</v>
      </c>
      <c r="M183" s="2">
        <v>1</v>
      </c>
    </row>
    <row r="184" spans="1:13">
      <c r="A184" s="7">
        <v>43803</v>
      </c>
      <c r="B184" s="8">
        <v>0.42083333333333334</v>
      </c>
      <c r="C184" s="2" t="str">
        <f>"FES1162726353"</f>
        <v>FES1162726353</v>
      </c>
      <c r="D184" s="2" t="s">
        <v>19</v>
      </c>
      <c r="E184" s="2" t="s">
        <v>171</v>
      </c>
      <c r="F184" s="2" t="str">
        <f>"2170719851 "</f>
        <v xml:space="preserve">2170719851 </v>
      </c>
      <c r="G184" s="2" t="str">
        <f t="shared" si="5"/>
        <v>ON1</v>
      </c>
      <c r="H184" s="2" t="s">
        <v>21</v>
      </c>
      <c r="I184" s="2" t="s">
        <v>145</v>
      </c>
      <c r="J184" s="2" t="s">
        <v>23</v>
      </c>
      <c r="K184" s="2" t="str">
        <f>"PFES1162726353_0001"</f>
        <v>PFES1162726353_0001</v>
      </c>
      <c r="L184" s="2">
        <v>1</v>
      </c>
      <c r="M184" s="2">
        <v>1</v>
      </c>
    </row>
    <row r="185" spans="1:13">
      <c r="A185" s="7">
        <v>43803</v>
      </c>
      <c r="B185" s="8">
        <v>0.41944444444444445</v>
      </c>
      <c r="C185" s="2" t="str">
        <f>"FES1162726395"</f>
        <v>FES1162726395</v>
      </c>
      <c r="D185" s="2" t="s">
        <v>19</v>
      </c>
      <c r="E185" s="2" t="s">
        <v>232</v>
      </c>
      <c r="F185" s="2" t="str">
        <f>"2170718856 "</f>
        <v xml:space="preserve">2170718856 </v>
      </c>
      <c r="G185" s="2" t="str">
        <f t="shared" si="5"/>
        <v>ON1</v>
      </c>
      <c r="H185" s="2" t="s">
        <v>21</v>
      </c>
      <c r="I185" s="2" t="s">
        <v>39</v>
      </c>
      <c r="J185" s="2" t="s">
        <v>23</v>
      </c>
      <c r="K185" s="2" t="str">
        <f>"PFES1162726395_0001"</f>
        <v>PFES1162726395_0001</v>
      </c>
      <c r="L185" s="2">
        <v>1</v>
      </c>
      <c r="M185" s="2">
        <v>1</v>
      </c>
    </row>
    <row r="186" spans="1:13">
      <c r="A186" s="7">
        <v>43803</v>
      </c>
      <c r="B186" s="8">
        <v>0.41875000000000001</v>
      </c>
      <c r="C186" s="2" t="str">
        <f>"FES1162726405"</f>
        <v>FES1162726405</v>
      </c>
      <c r="D186" s="2" t="s">
        <v>19</v>
      </c>
      <c r="E186" s="2" t="s">
        <v>184</v>
      </c>
      <c r="F186" s="2" t="str">
        <f>"2170719210 "</f>
        <v xml:space="preserve">2170719210 </v>
      </c>
      <c r="G186" s="2" t="str">
        <f t="shared" si="5"/>
        <v>ON1</v>
      </c>
      <c r="H186" s="2" t="s">
        <v>21</v>
      </c>
      <c r="I186" s="2" t="s">
        <v>43</v>
      </c>
      <c r="J186" s="2" t="s">
        <v>23</v>
      </c>
      <c r="K186" s="2" t="str">
        <f>"PFES1162726405_0001"</f>
        <v>PFES1162726405_0001</v>
      </c>
      <c r="L186" s="2">
        <v>1</v>
      </c>
      <c r="M186" s="2">
        <v>1</v>
      </c>
    </row>
    <row r="187" spans="1:13">
      <c r="A187" s="7">
        <v>43803</v>
      </c>
      <c r="B187" s="8">
        <v>0.41736111111111113</v>
      </c>
      <c r="C187" s="2" t="str">
        <f>"FES1162726597"</f>
        <v>FES1162726597</v>
      </c>
      <c r="D187" s="2" t="s">
        <v>19</v>
      </c>
      <c r="E187" s="2" t="s">
        <v>156</v>
      </c>
      <c r="F187" s="2" t="str">
        <f>"2170720075 "</f>
        <v xml:space="preserve">2170720075 </v>
      </c>
      <c r="G187" s="2" t="str">
        <f t="shared" si="5"/>
        <v>ON1</v>
      </c>
      <c r="H187" s="2" t="s">
        <v>21</v>
      </c>
      <c r="I187" s="2" t="s">
        <v>157</v>
      </c>
      <c r="J187" s="2" t="s">
        <v>23</v>
      </c>
      <c r="K187" s="2" t="str">
        <f>"PFES1162726597_0001"</f>
        <v>PFES1162726597_0001</v>
      </c>
      <c r="L187" s="2">
        <v>1</v>
      </c>
      <c r="M187" s="2">
        <v>1</v>
      </c>
    </row>
    <row r="188" spans="1:13">
      <c r="A188" s="7">
        <v>43803</v>
      </c>
      <c r="B188" s="8">
        <v>0.41666666666666669</v>
      </c>
      <c r="C188" s="2" t="str">
        <f>"FES1162726598"</f>
        <v>FES1162726598</v>
      </c>
      <c r="D188" s="2" t="s">
        <v>19</v>
      </c>
      <c r="E188" s="2" t="s">
        <v>156</v>
      </c>
      <c r="F188" s="2" t="str">
        <f>"2170720076 "</f>
        <v xml:space="preserve">2170720076 </v>
      </c>
      <c r="G188" s="2" t="str">
        <f t="shared" si="5"/>
        <v>ON1</v>
      </c>
      <c r="H188" s="2" t="s">
        <v>21</v>
      </c>
      <c r="I188" s="2" t="s">
        <v>157</v>
      </c>
      <c r="J188" s="2" t="s">
        <v>23</v>
      </c>
      <c r="K188" s="2" t="str">
        <f>"PFES1162726598_0001"</f>
        <v>PFES1162726598_0001</v>
      </c>
      <c r="L188" s="2">
        <v>1</v>
      </c>
      <c r="M188" s="2">
        <v>1</v>
      </c>
    </row>
    <row r="189" spans="1:13">
      <c r="A189" s="7">
        <v>43803</v>
      </c>
      <c r="B189" s="8">
        <v>0.4152777777777778</v>
      </c>
      <c r="C189" s="2" t="str">
        <f>"FES1162726507"</f>
        <v>FES1162726507</v>
      </c>
      <c r="D189" s="2" t="s">
        <v>19</v>
      </c>
      <c r="E189" s="2" t="s">
        <v>221</v>
      </c>
      <c r="F189" s="2" t="str">
        <f>"2170718706 "</f>
        <v xml:space="preserve">2170718706 </v>
      </c>
      <c r="G189" s="2" t="str">
        <f t="shared" si="5"/>
        <v>ON1</v>
      </c>
      <c r="H189" s="2" t="s">
        <v>21</v>
      </c>
      <c r="I189" s="2" t="s">
        <v>56</v>
      </c>
      <c r="J189" s="2" t="s">
        <v>23</v>
      </c>
      <c r="K189" s="2" t="str">
        <f>"PFES1162726507_0001"</f>
        <v>PFES1162726507_0001</v>
      </c>
      <c r="L189" s="2">
        <v>1</v>
      </c>
      <c r="M189" s="2">
        <v>1</v>
      </c>
    </row>
    <row r="190" spans="1:13">
      <c r="A190" s="7">
        <v>43804</v>
      </c>
      <c r="B190" s="8">
        <v>0.69027777777777777</v>
      </c>
      <c r="C190" s="2" t="str">
        <f>"FES1162727048"</f>
        <v>FES1162727048</v>
      </c>
      <c r="D190" s="2" t="s">
        <v>19</v>
      </c>
      <c r="E190" s="2" t="s">
        <v>233</v>
      </c>
      <c r="F190" s="2" t="str">
        <f>"217070518 "</f>
        <v xml:space="preserve">217070518 </v>
      </c>
      <c r="G190" s="2" t="str">
        <f t="shared" si="5"/>
        <v>ON1</v>
      </c>
      <c r="H190" s="2" t="s">
        <v>21</v>
      </c>
      <c r="I190" s="2" t="s">
        <v>37</v>
      </c>
      <c r="J190" s="2" t="str">
        <f>""</f>
        <v/>
      </c>
      <c r="K190" s="2" t="str">
        <f>"PFES1162727048_0001"</f>
        <v>PFES1162727048_0001</v>
      </c>
      <c r="L190" s="2">
        <v>1</v>
      </c>
      <c r="M190" s="2">
        <v>1</v>
      </c>
    </row>
    <row r="191" spans="1:13">
      <c r="A191" s="7">
        <v>43804</v>
      </c>
      <c r="B191" s="8">
        <v>0.69027777777777777</v>
      </c>
      <c r="C191" s="2" t="str">
        <f>"FES1162727104"</f>
        <v>FES1162727104</v>
      </c>
      <c r="D191" s="2" t="s">
        <v>19</v>
      </c>
      <c r="E191" s="2" t="s">
        <v>234</v>
      </c>
      <c r="F191" s="2" t="str">
        <f>"21707102751 "</f>
        <v xml:space="preserve">21707102751 </v>
      </c>
      <c r="G191" s="2" t="str">
        <f t="shared" si="5"/>
        <v>ON1</v>
      </c>
      <c r="H191" s="2" t="s">
        <v>21</v>
      </c>
      <c r="I191" s="2" t="s">
        <v>235</v>
      </c>
      <c r="J191" s="2" t="str">
        <f>""</f>
        <v/>
      </c>
      <c r="K191" s="2" t="str">
        <f>"PFES1162727104_0001"</f>
        <v>PFES1162727104_0001</v>
      </c>
      <c r="L191" s="2">
        <v>1</v>
      </c>
      <c r="M191" s="2">
        <v>1</v>
      </c>
    </row>
    <row r="192" spans="1:13">
      <c r="A192" s="7">
        <v>43804</v>
      </c>
      <c r="B192" s="8">
        <v>0.68958333333333333</v>
      </c>
      <c r="C192" s="2" t="str">
        <f>"FES1162727098"</f>
        <v>FES1162727098</v>
      </c>
      <c r="D192" s="2" t="s">
        <v>19</v>
      </c>
      <c r="E192" s="2" t="s">
        <v>234</v>
      </c>
      <c r="F192" s="2" t="str">
        <f>"21707102567 "</f>
        <v xml:space="preserve">21707102567 </v>
      </c>
      <c r="G192" s="2" t="str">
        <f t="shared" si="5"/>
        <v>ON1</v>
      </c>
      <c r="H192" s="2" t="s">
        <v>21</v>
      </c>
      <c r="I192" s="2" t="s">
        <v>235</v>
      </c>
      <c r="J192" s="2" t="str">
        <f>""</f>
        <v/>
      </c>
      <c r="K192" s="2" t="str">
        <f>"PFES1162727098_0001"</f>
        <v>PFES1162727098_0001</v>
      </c>
      <c r="L192" s="2">
        <v>1</v>
      </c>
      <c r="M192" s="2">
        <v>1</v>
      </c>
    </row>
    <row r="193" spans="1:13">
      <c r="A193" s="7">
        <v>43804</v>
      </c>
      <c r="B193" s="8">
        <v>0.68958333333333333</v>
      </c>
      <c r="C193" s="2" t="str">
        <f>"FES1162727131"</f>
        <v>FES1162727131</v>
      </c>
      <c r="D193" s="2" t="s">
        <v>19</v>
      </c>
      <c r="E193" s="2" t="s">
        <v>236</v>
      </c>
      <c r="F193" s="2" t="str">
        <f>"2170710600 "</f>
        <v xml:space="preserve">2170710600 </v>
      </c>
      <c r="G193" s="2" t="str">
        <f t="shared" si="5"/>
        <v>ON1</v>
      </c>
      <c r="H193" s="2" t="s">
        <v>21</v>
      </c>
      <c r="I193" s="2" t="s">
        <v>237</v>
      </c>
      <c r="J193" s="2" t="str">
        <f>""</f>
        <v/>
      </c>
      <c r="K193" s="2" t="str">
        <f>"PFES1162727131_0001"</f>
        <v>PFES1162727131_0001</v>
      </c>
      <c r="L193" s="2">
        <v>1</v>
      </c>
      <c r="M193" s="2">
        <v>1</v>
      </c>
    </row>
    <row r="194" spans="1:13">
      <c r="A194" s="7">
        <v>43804</v>
      </c>
      <c r="B194" s="8">
        <v>0.68888888888888899</v>
      </c>
      <c r="C194" s="2" t="str">
        <f>"FES1162727108"</f>
        <v>FES1162727108</v>
      </c>
      <c r="D194" s="2" t="s">
        <v>19</v>
      </c>
      <c r="E194" s="2" t="s">
        <v>238</v>
      </c>
      <c r="F194" s="2" t="str">
        <f>"2170710575 "</f>
        <v xml:space="preserve">2170710575 </v>
      </c>
      <c r="G194" s="2" t="str">
        <f t="shared" si="5"/>
        <v>ON1</v>
      </c>
      <c r="H194" s="2" t="s">
        <v>21</v>
      </c>
      <c r="I194" s="2" t="s">
        <v>70</v>
      </c>
      <c r="J194" s="2" t="str">
        <f>""</f>
        <v/>
      </c>
      <c r="K194" s="2" t="str">
        <f>"PFES1162727108_0001"</f>
        <v>PFES1162727108_0001</v>
      </c>
      <c r="L194" s="2">
        <v>1</v>
      </c>
      <c r="M194" s="2">
        <v>1</v>
      </c>
    </row>
    <row r="195" spans="1:13">
      <c r="A195" s="7">
        <v>43804</v>
      </c>
      <c r="B195" s="8">
        <v>0.68888888888888899</v>
      </c>
      <c r="C195" s="2" t="str">
        <f>"FES1162727087"</f>
        <v>FES1162727087</v>
      </c>
      <c r="D195" s="2" t="s">
        <v>19</v>
      </c>
      <c r="E195" s="2" t="s">
        <v>142</v>
      </c>
      <c r="F195" s="2" t="str">
        <f>"2170718907 "</f>
        <v xml:space="preserve">2170718907 </v>
      </c>
      <c r="G195" s="2" t="str">
        <f t="shared" si="5"/>
        <v>ON1</v>
      </c>
      <c r="H195" s="2" t="s">
        <v>21</v>
      </c>
      <c r="I195" s="2" t="s">
        <v>37</v>
      </c>
      <c r="J195" s="2" t="str">
        <f>""</f>
        <v/>
      </c>
      <c r="K195" s="2" t="str">
        <f>"PFES1162727087_0001"</f>
        <v>PFES1162727087_0001</v>
      </c>
      <c r="L195" s="2">
        <v>1</v>
      </c>
      <c r="M195" s="2">
        <v>1</v>
      </c>
    </row>
    <row r="196" spans="1:13">
      <c r="A196" s="7">
        <v>43804</v>
      </c>
      <c r="B196" s="8">
        <v>0.68819444444444444</v>
      </c>
      <c r="C196" s="2" t="str">
        <f>"FES1162727083"</f>
        <v>FES1162727083</v>
      </c>
      <c r="D196" s="2" t="s">
        <v>19</v>
      </c>
      <c r="E196" s="2" t="s">
        <v>151</v>
      </c>
      <c r="F196" s="2" t="str">
        <f>"2170710545 "</f>
        <v xml:space="preserve">2170710545 </v>
      </c>
      <c r="G196" s="2" t="str">
        <f t="shared" si="5"/>
        <v>ON1</v>
      </c>
      <c r="H196" s="2" t="s">
        <v>21</v>
      </c>
      <c r="I196" s="2" t="s">
        <v>152</v>
      </c>
      <c r="J196" s="2" t="str">
        <f>""</f>
        <v/>
      </c>
      <c r="K196" s="2" t="str">
        <f>"PFES1162727083_0001"</f>
        <v>PFES1162727083_0001</v>
      </c>
      <c r="L196" s="2">
        <v>1</v>
      </c>
      <c r="M196" s="2">
        <v>4</v>
      </c>
    </row>
    <row r="197" spans="1:13">
      <c r="A197" s="7">
        <v>43804</v>
      </c>
      <c r="B197" s="8">
        <v>0.68819444444444444</v>
      </c>
      <c r="C197" s="2" t="str">
        <f>"FES1162727085"</f>
        <v>FES1162727085</v>
      </c>
      <c r="D197" s="2" t="s">
        <v>19</v>
      </c>
      <c r="E197" s="2" t="s">
        <v>239</v>
      </c>
      <c r="F197" s="2" t="str">
        <f>"21707145456 "</f>
        <v xml:space="preserve">21707145456 </v>
      </c>
      <c r="G197" s="2" t="str">
        <f t="shared" si="5"/>
        <v>ON1</v>
      </c>
      <c r="H197" s="2" t="s">
        <v>21</v>
      </c>
      <c r="I197" s="2" t="s">
        <v>175</v>
      </c>
      <c r="J197" s="2" t="str">
        <f>""</f>
        <v/>
      </c>
      <c r="K197" s="2" t="str">
        <f>"PFES1162727085_0001"</f>
        <v>PFES1162727085_0001</v>
      </c>
      <c r="L197" s="2">
        <v>1</v>
      </c>
      <c r="M197" s="2">
        <v>1</v>
      </c>
    </row>
    <row r="198" spans="1:13">
      <c r="A198" s="7">
        <v>43804</v>
      </c>
      <c r="B198" s="8">
        <v>0.6875</v>
      </c>
      <c r="C198" s="2" t="str">
        <f>"FES1162727030"</f>
        <v>FES1162727030</v>
      </c>
      <c r="D198" s="2" t="s">
        <v>19</v>
      </c>
      <c r="E198" s="2" t="s">
        <v>240</v>
      </c>
      <c r="F198" s="2" t="str">
        <f>"2170710432 "</f>
        <v xml:space="preserve">2170710432 </v>
      </c>
      <c r="G198" s="2" t="str">
        <f t="shared" si="5"/>
        <v>ON1</v>
      </c>
      <c r="H198" s="2" t="s">
        <v>21</v>
      </c>
      <c r="I198" s="2" t="s">
        <v>100</v>
      </c>
      <c r="J198" s="2" t="str">
        <f>""</f>
        <v/>
      </c>
      <c r="K198" s="2" t="str">
        <f>"PFES1162727030_0001"</f>
        <v>PFES1162727030_0001</v>
      </c>
      <c r="L198" s="2">
        <v>2</v>
      </c>
      <c r="M198" s="2">
        <v>8</v>
      </c>
    </row>
    <row r="199" spans="1:13">
      <c r="A199" s="7">
        <v>43804</v>
      </c>
      <c r="B199" s="8">
        <v>0.68611111111111101</v>
      </c>
      <c r="C199" s="2" t="str">
        <f>"FES1162727130"</f>
        <v>FES1162727130</v>
      </c>
      <c r="D199" s="2" t="s">
        <v>19</v>
      </c>
      <c r="E199" s="2" t="s">
        <v>28</v>
      </c>
      <c r="F199" s="2" t="str">
        <f>"2170720596 "</f>
        <v xml:space="preserve">2170720596 </v>
      </c>
      <c r="G199" s="2" t="str">
        <f t="shared" si="5"/>
        <v>ON1</v>
      </c>
      <c r="H199" s="2" t="s">
        <v>21</v>
      </c>
      <c r="I199" s="2" t="s">
        <v>29</v>
      </c>
      <c r="J199" s="2" t="str">
        <f>""</f>
        <v/>
      </c>
      <c r="K199" s="2" t="str">
        <f>"PFES1162727130_0001"</f>
        <v>PFES1162727130_0001</v>
      </c>
      <c r="L199" s="2">
        <v>1</v>
      </c>
      <c r="M199" s="2">
        <v>2</v>
      </c>
    </row>
    <row r="200" spans="1:13">
      <c r="A200" s="7">
        <v>43804</v>
      </c>
      <c r="B200" s="8">
        <v>0.68611111111111101</v>
      </c>
      <c r="C200" s="2" t="str">
        <f>"FES1162727132"</f>
        <v>FES1162727132</v>
      </c>
      <c r="D200" s="2" t="s">
        <v>19</v>
      </c>
      <c r="E200" s="2" t="s">
        <v>241</v>
      </c>
      <c r="F200" s="2" t="str">
        <f>"2170710620 "</f>
        <v xml:space="preserve">2170710620 </v>
      </c>
      <c r="G200" s="2" t="str">
        <f t="shared" si="5"/>
        <v>ON1</v>
      </c>
      <c r="H200" s="2" t="s">
        <v>21</v>
      </c>
      <c r="I200" s="2" t="s">
        <v>72</v>
      </c>
      <c r="J200" s="2" t="str">
        <f>""</f>
        <v/>
      </c>
      <c r="K200" s="2" t="str">
        <f>"PFES1162727132_0001"</f>
        <v>PFES1162727132_0001</v>
      </c>
      <c r="L200" s="2">
        <v>1</v>
      </c>
      <c r="M200" s="2">
        <v>2</v>
      </c>
    </row>
    <row r="201" spans="1:13">
      <c r="A201" s="7">
        <v>43804</v>
      </c>
      <c r="B201" s="8">
        <v>0.68194444444444446</v>
      </c>
      <c r="C201" s="2" t="str">
        <f>"FES1162727121"</f>
        <v>FES1162727121</v>
      </c>
      <c r="D201" s="2" t="s">
        <v>19</v>
      </c>
      <c r="E201" s="2" t="s">
        <v>203</v>
      </c>
      <c r="F201" s="2" t="str">
        <f>"21770581 "</f>
        <v xml:space="preserve">21770581 </v>
      </c>
      <c r="G201" s="2" t="str">
        <f t="shared" si="5"/>
        <v>ON1</v>
      </c>
      <c r="H201" s="2" t="s">
        <v>21</v>
      </c>
      <c r="I201" s="2" t="s">
        <v>158</v>
      </c>
      <c r="J201" s="2" t="str">
        <f>""</f>
        <v/>
      </c>
      <c r="K201" s="2" t="str">
        <f>"PFES1162727121_0001"</f>
        <v>PFES1162727121_0001</v>
      </c>
      <c r="L201" s="2">
        <v>1</v>
      </c>
      <c r="M201" s="2">
        <v>1</v>
      </c>
    </row>
    <row r="202" spans="1:13">
      <c r="A202" s="7">
        <v>43804</v>
      </c>
      <c r="B202" s="8">
        <v>0.68125000000000002</v>
      </c>
      <c r="C202" s="2" t="str">
        <f>"FES1162727049"</f>
        <v>FES1162727049</v>
      </c>
      <c r="D202" s="2" t="s">
        <v>19</v>
      </c>
      <c r="E202" s="2" t="s">
        <v>151</v>
      </c>
      <c r="F202" s="2" t="str">
        <f>"2170701520 "</f>
        <v xml:space="preserve">2170701520 </v>
      </c>
      <c r="G202" s="2" t="str">
        <f t="shared" si="5"/>
        <v>ON1</v>
      </c>
      <c r="H202" s="2" t="s">
        <v>21</v>
      </c>
      <c r="I202" s="2" t="s">
        <v>152</v>
      </c>
      <c r="J202" s="2" t="str">
        <f>""</f>
        <v/>
      </c>
      <c r="K202" s="2" t="str">
        <f>"PFES1162727049_0001"</f>
        <v>PFES1162727049_0001</v>
      </c>
      <c r="L202" s="2">
        <v>1</v>
      </c>
      <c r="M202" s="2">
        <v>1</v>
      </c>
    </row>
    <row r="203" spans="1:13">
      <c r="A203" s="7">
        <v>43804</v>
      </c>
      <c r="B203" s="8">
        <v>0.68125000000000002</v>
      </c>
      <c r="C203" s="2" t="str">
        <f>"FES1162727106"</f>
        <v>FES1162727106</v>
      </c>
      <c r="D203" s="2" t="s">
        <v>19</v>
      </c>
      <c r="E203" s="2" t="s">
        <v>242</v>
      </c>
      <c r="F203" s="2" t="str">
        <f>"2170710570 "</f>
        <v xml:space="preserve">2170710570 </v>
      </c>
      <c r="G203" s="2" t="str">
        <f t="shared" si="5"/>
        <v>ON1</v>
      </c>
      <c r="H203" s="2" t="s">
        <v>21</v>
      </c>
      <c r="I203" s="2" t="s">
        <v>189</v>
      </c>
      <c r="J203" s="2" t="str">
        <f>""</f>
        <v/>
      </c>
      <c r="K203" s="2" t="str">
        <f>"PFES1162727106_0001"</f>
        <v>PFES1162727106_0001</v>
      </c>
      <c r="L203" s="2">
        <v>1</v>
      </c>
      <c r="M203" s="2">
        <v>1</v>
      </c>
    </row>
    <row r="204" spans="1:13">
      <c r="A204" s="7">
        <v>43804</v>
      </c>
      <c r="B204" s="8">
        <v>0.68055555555555547</v>
      </c>
      <c r="C204" s="2" t="str">
        <f>"FES1162727122"</f>
        <v>FES1162727122</v>
      </c>
      <c r="D204" s="2" t="s">
        <v>19</v>
      </c>
      <c r="E204" s="2" t="s">
        <v>203</v>
      </c>
      <c r="F204" s="2" t="str">
        <f>"21707150583 "</f>
        <v xml:space="preserve">21707150583 </v>
      </c>
      <c r="G204" s="2" t="str">
        <f t="shared" si="5"/>
        <v>ON1</v>
      </c>
      <c r="H204" s="2" t="s">
        <v>21</v>
      </c>
      <c r="I204" s="2" t="s">
        <v>158</v>
      </c>
      <c r="J204" s="2" t="str">
        <f>""</f>
        <v/>
      </c>
      <c r="K204" s="2" t="str">
        <f>"PFES1162727122_0001"</f>
        <v>PFES1162727122_0001</v>
      </c>
      <c r="L204" s="2">
        <v>1</v>
      </c>
      <c r="M204" s="2">
        <v>1</v>
      </c>
    </row>
    <row r="205" spans="1:13">
      <c r="A205" s="7">
        <v>43804</v>
      </c>
      <c r="B205" s="8">
        <v>0.68055555555555547</v>
      </c>
      <c r="C205" s="2" t="str">
        <f>"FES1162727039"</f>
        <v>FES1162727039</v>
      </c>
      <c r="D205" s="2" t="s">
        <v>19</v>
      </c>
      <c r="E205" s="2" t="s">
        <v>243</v>
      </c>
      <c r="F205" s="2" t="str">
        <f>"2170720503 "</f>
        <v xml:space="preserve">2170720503 </v>
      </c>
      <c r="G205" s="2" t="str">
        <f t="shared" si="5"/>
        <v>ON1</v>
      </c>
      <c r="H205" s="2" t="s">
        <v>21</v>
      </c>
      <c r="I205" s="2" t="s">
        <v>244</v>
      </c>
      <c r="J205" s="2" t="str">
        <f>""</f>
        <v/>
      </c>
      <c r="K205" s="2" t="str">
        <f>"PFES1162727039_0001"</f>
        <v>PFES1162727039_0001</v>
      </c>
      <c r="L205" s="2">
        <v>1</v>
      </c>
      <c r="M205" s="2">
        <v>1</v>
      </c>
    </row>
    <row r="206" spans="1:13">
      <c r="A206" s="7">
        <v>43804</v>
      </c>
      <c r="B206" s="8">
        <v>0.67986111111111114</v>
      </c>
      <c r="C206" s="2" t="str">
        <f>"FES1162727091"</f>
        <v>FES1162727091</v>
      </c>
      <c r="D206" s="2" t="s">
        <v>19</v>
      </c>
      <c r="E206" s="2" t="s">
        <v>245</v>
      </c>
      <c r="F206" s="2" t="str">
        <f>"2170720559 "</f>
        <v xml:space="preserve">2170720559 </v>
      </c>
      <c r="G206" s="2" t="str">
        <f t="shared" si="5"/>
        <v>ON1</v>
      </c>
      <c r="H206" s="2" t="s">
        <v>21</v>
      </c>
      <c r="I206" s="2" t="s">
        <v>246</v>
      </c>
      <c r="J206" s="2" t="str">
        <f>""</f>
        <v/>
      </c>
      <c r="K206" s="2" t="str">
        <f>"PFES1162727091_0001"</f>
        <v>PFES1162727091_0001</v>
      </c>
      <c r="L206" s="2">
        <v>1</v>
      </c>
      <c r="M206" s="2">
        <v>1</v>
      </c>
    </row>
    <row r="207" spans="1:13">
      <c r="A207" s="7">
        <v>43804</v>
      </c>
      <c r="B207" s="8">
        <v>0.67986111111111114</v>
      </c>
      <c r="C207" s="2" t="str">
        <f>"FES1162727005"</f>
        <v>FES1162727005</v>
      </c>
      <c r="D207" s="2" t="s">
        <v>19</v>
      </c>
      <c r="E207" s="2" t="s">
        <v>247</v>
      </c>
      <c r="F207" s="2" t="str">
        <f>"21707104562 "</f>
        <v xml:space="preserve">21707104562 </v>
      </c>
      <c r="G207" s="2" t="str">
        <f t="shared" si="5"/>
        <v>ON1</v>
      </c>
      <c r="H207" s="2" t="s">
        <v>21</v>
      </c>
      <c r="I207" s="2" t="s">
        <v>248</v>
      </c>
      <c r="J207" s="2" t="str">
        <f>""</f>
        <v/>
      </c>
      <c r="K207" s="2" t="str">
        <f>"PFES1162727005_0001"</f>
        <v>PFES1162727005_0001</v>
      </c>
      <c r="L207" s="2">
        <v>1</v>
      </c>
      <c r="M207" s="2">
        <v>1</v>
      </c>
    </row>
    <row r="208" spans="1:13">
      <c r="A208" s="7">
        <v>43804</v>
      </c>
      <c r="B208" s="8">
        <v>0.67986111111111114</v>
      </c>
      <c r="C208" s="2" t="str">
        <f>"FES1162727040"</f>
        <v>FES1162727040</v>
      </c>
      <c r="D208" s="2" t="s">
        <v>19</v>
      </c>
      <c r="E208" s="2" t="s">
        <v>249</v>
      </c>
      <c r="F208" s="2" t="str">
        <f>"2170710506 "</f>
        <v xml:space="preserve">2170710506 </v>
      </c>
      <c r="G208" s="2" t="str">
        <f t="shared" si="5"/>
        <v>ON1</v>
      </c>
      <c r="H208" s="2" t="s">
        <v>21</v>
      </c>
      <c r="I208" s="2" t="s">
        <v>85</v>
      </c>
      <c r="J208" s="2" t="str">
        <f>""</f>
        <v/>
      </c>
      <c r="K208" s="2" t="str">
        <f>"PFES1162727040_0001"</f>
        <v>PFES1162727040_0001</v>
      </c>
      <c r="L208" s="2">
        <v>1</v>
      </c>
      <c r="M208" s="2">
        <v>1</v>
      </c>
    </row>
    <row r="209" spans="1:13">
      <c r="A209" s="7">
        <v>43804</v>
      </c>
      <c r="B209" s="8">
        <v>0.67847222222222225</v>
      </c>
      <c r="C209" s="2" t="str">
        <f>"FES1162727051"</f>
        <v>FES1162727051</v>
      </c>
      <c r="D209" s="2" t="s">
        <v>19</v>
      </c>
      <c r="E209" s="2" t="s">
        <v>250</v>
      </c>
      <c r="F209" s="2" t="str">
        <f>"217071524 "</f>
        <v xml:space="preserve">217071524 </v>
      </c>
      <c r="G209" s="2" t="str">
        <f t="shared" si="5"/>
        <v>ON1</v>
      </c>
      <c r="H209" s="2" t="s">
        <v>21</v>
      </c>
      <c r="I209" s="2" t="s">
        <v>251</v>
      </c>
      <c r="J209" s="2" t="str">
        <f>""</f>
        <v/>
      </c>
      <c r="K209" s="2" t="str">
        <f>"PFES1162727051_0001"</f>
        <v>PFES1162727051_0001</v>
      </c>
      <c r="L209" s="2">
        <v>1</v>
      </c>
      <c r="M209" s="2">
        <v>1</v>
      </c>
    </row>
    <row r="210" spans="1:13">
      <c r="A210" s="7">
        <v>43804</v>
      </c>
      <c r="B210" s="8">
        <v>0.67847222222222225</v>
      </c>
      <c r="C210" s="2" t="str">
        <f>"FES1162727047"</f>
        <v>FES1162727047</v>
      </c>
      <c r="D210" s="2" t="s">
        <v>19</v>
      </c>
      <c r="E210" s="2" t="s">
        <v>252</v>
      </c>
      <c r="F210" s="2" t="str">
        <f>"2170710515 "</f>
        <v xml:space="preserve">2170710515 </v>
      </c>
      <c r="G210" s="2" t="str">
        <f t="shared" si="5"/>
        <v>ON1</v>
      </c>
      <c r="H210" s="2" t="s">
        <v>21</v>
      </c>
      <c r="I210" s="2" t="s">
        <v>253</v>
      </c>
      <c r="J210" s="2" t="str">
        <f>""</f>
        <v/>
      </c>
      <c r="K210" s="2" t="str">
        <f>"PFES1162727047_0001"</f>
        <v>PFES1162727047_0001</v>
      </c>
      <c r="L210" s="2">
        <v>1</v>
      </c>
      <c r="M210" s="2">
        <v>5</v>
      </c>
    </row>
    <row r="211" spans="1:13">
      <c r="A211" s="7">
        <v>43804</v>
      </c>
      <c r="B211" s="8">
        <v>0.6777777777777777</v>
      </c>
      <c r="C211" s="2" t="str">
        <f>"FES1162727067"</f>
        <v>FES1162727067</v>
      </c>
      <c r="D211" s="2" t="s">
        <v>19</v>
      </c>
      <c r="E211" s="2" t="s">
        <v>254</v>
      </c>
      <c r="F211" s="2" t="str">
        <f>"2170715934 "</f>
        <v xml:space="preserve">2170715934 </v>
      </c>
      <c r="G211" s="2" t="str">
        <f t="shared" si="5"/>
        <v>ON1</v>
      </c>
      <c r="H211" s="2" t="s">
        <v>21</v>
      </c>
      <c r="I211" s="2" t="s">
        <v>255</v>
      </c>
      <c r="J211" s="2" t="str">
        <f>""</f>
        <v/>
      </c>
      <c r="K211" s="2" t="str">
        <f>"PFES1162727067_0001"</f>
        <v>PFES1162727067_0001</v>
      </c>
      <c r="L211" s="2">
        <v>1</v>
      </c>
      <c r="M211" s="2">
        <v>16</v>
      </c>
    </row>
    <row r="212" spans="1:13">
      <c r="A212" s="7">
        <v>43804</v>
      </c>
      <c r="B212" s="8">
        <v>0.6777777777777777</v>
      </c>
      <c r="C212" s="2" t="str">
        <f>"FES1162727059"</f>
        <v>FES1162727059</v>
      </c>
      <c r="D212" s="2" t="s">
        <v>19</v>
      </c>
      <c r="E212" s="2" t="s">
        <v>256</v>
      </c>
      <c r="F212" s="2" t="str">
        <f>"2170720534 "</f>
        <v xml:space="preserve">2170720534 </v>
      </c>
      <c r="G212" s="2" t="str">
        <f t="shared" si="5"/>
        <v>ON1</v>
      </c>
      <c r="H212" s="2" t="s">
        <v>21</v>
      </c>
      <c r="I212" s="2" t="s">
        <v>257</v>
      </c>
      <c r="J212" s="2" t="str">
        <f>""</f>
        <v/>
      </c>
      <c r="K212" s="2" t="str">
        <f>"PFES1162727059_0001"</f>
        <v>PFES1162727059_0001</v>
      </c>
      <c r="L212" s="2">
        <v>1</v>
      </c>
      <c r="M212" s="2">
        <v>1</v>
      </c>
    </row>
    <row r="213" spans="1:13">
      <c r="A213" s="7">
        <v>43804</v>
      </c>
      <c r="B213" s="8">
        <v>0.6777777777777777</v>
      </c>
      <c r="C213" s="2" t="str">
        <f>"FES1162727124"</f>
        <v>FES1162727124</v>
      </c>
      <c r="D213" s="2" t="s">
        <v>19</v>
      </c>
      <c r="E213" s="2" t="s">
        <v>258</v>
      </c>
      <c r="F213" s="2" t="str">
        <f>"2170720592 "</f>
        <v xml:space="preserve">2170720592 </v>
      </c>
      <c r="G213" s="2" t="str">
        <f t="shared" si="5"/>
        <v>ON1</v>
      </c>
      <c r="H213" s="2" t="s">
        <v>21</v>
      </c>
      <c r="I213" s="2" t="s">
        <v>257</v>
      </c>
      <c r="J213" s="2" t="str">
        <f>""</f>
        <v/>
      </c>
      <c r="K213" s="2" t="str">
        <f>"PFES1162727124_0001"</f>
        <v>PFES1162727124_0001</v>
      </c>
      <c r="L213" s="2">
        <v>1</v>
      </c>
      <c r="M213" s="2">
        <v>6</v>
      </c>
    </row>
    <row r="214" spans="1:13">
      <c r="A214" s="7">
        <v>43804</v>
      </c>
      <c r="B214" s="8">
        <v>0.67708333333333337</v>
      </c>
      <c r="C214" s="2" t="str">
        <f>"FES1162726920"</f>
        <v>FES1162726920</v>
      </c>
      <c r="D214" s="2" t="s">
        <v>19</v>
      </c>
      <c r="E214" s="2" t="s">
        <v>259</v>
      </c>
      <c r="F214" s="2" t="str">
        <f>"2170717699 "</f>
        <v xml:space="preserve">2170717699 </v>
      </c>
      <c r="G214" s="2" t="str">
        <f t="shared" si="5"/>
        <v>ON1</v>
      </c>
      <c r="H214" s="2" t="s">
        <v>21</v>
      </c>
      <c r="I214" s="2" t="s">
        <v>45</v>
      </c>
      <c r="J214" s="2" t="str">
        <f>""</f>
        <v/>
      </c>
      <c r="K214" s="2" t="str">
        <f>"PFES1162726920_0001"</f>
        <v>PFES1162726920_0001</v>
      </c>
      <c r="L214" s="2">
        <v>1</v>
      </c>
      <c r="M214" s="2">
        <v>1</v>
      </c>
    </row>
    <row r="215" spans="1:13">
      <c r="A215" s="7">
        <v>43804</v>
      </c>
      <c r="B215" s="8">
        <v>0.67638888888888893</v>
      </c>
      <c r="C215" s="2" t="str">
        <f>"FES1162727113"</f>
        <v>FES1162727113</v>
      </c>
      <c r="D215" s="2" t="s">
        <v>19</v>
      </c>
      <c r="E215" s="2" t="s">
        <v>260</v>
      </c>
      <c r="F215" s="2" t="str">
        <f>"2170720585 "</f>
        <v xml:space="preserve">2170720585 </v>
      </c>
      <c r="G215" s="2" t="str">
        <f t="shared" si="5"/>
        <v>ON1</v>
      </c>
      <c r="H215" s="2" t="s">
        <v>21</v>
      </c>
      <c r="I215" s="2" t="s">
        <v>216</v>
      </c>
      <c r="J215" s="2" t="str">
        <f>""</f>
        <v/>
      </c>
      <c r="K215" s="2" t="str">
        <f>"PFES1162727113_0001"</f>
        <v>PFES1162727113_0001</v>
      </c>
      <c r="L215" s="2">
        <v>1</v>
      </c>
      <c r="M215" s="2">
        <v>1</v>
      </c>
    </row>
    <row r="216" spans="1:13">
      <c r="A216" s="7">
        <v>43804</v>
      </c>
      <c r="B216" s="8">
        <v>0.67569444444444438</v>
      </c>
      <c r="C216" s="2" t="str">
        <f>"FES1162727102"</f>
        <v>FES1162727102</v>
      </c>
      <c r="D216" s="2" t="s">
        <v>19</v>
      </c>
      <c r="E216" s="2" t="s">
        <v>194</v>
      </c>
      <c r="F216" s="2" t="str">
        <f>"2170719986 "</f>
        <v xml:space="preserve">2170719986 </v>
      </c>
      <c r="G216" s="2" t="str">
        <f t="shared" si="5"/>
        <v>ON1</v>
      </c>
      <c r="H216" s="2" t="s">
        <v>21</v>
      </c>
      <c r="I216" s="2" t="s">
        <v>37</v>
      </c>
      <c r="J216" s="2" t="str">
        <f>""</f>
        <v/>
      </c>
      <c r="K216" s="2" t="str">
        <f>"PFES1162727102_0001"</f>
        <v>PFES1162727102_0001</v>
      </c>
      <c r="L216" s="2">
        <v>1</v>
      </c>
      <c r="M216" s="2">
        <v>1</v>
      </c>
    </row>
    <row r="217" spans="1:13">
      <c r="A217" s="7">
        <v>43804</v>
      </c>
      <c r="B217" s="8">
        <v>0.67569444444444438</v>
      </c>
      <c r="C217" s="2" t="str">
        <f>"FES1162727057"</f>
        <v>FES1162727057</v>
      </c>
      <c r="D217" s="2" t="s">
        <v>19</v>
      </c>
      <c r="E217" s="2" t="s">
        <v>260</v>
      </c>
      <c r="F217" s="2" t="str">
        <f>"2170720531 "</f>
        <v xml:space="preserve">2170720531 </v>
      </c>
      <c r="G217" s="2" t="str">
        <f t="shared" si="5"/>
        <v>ON1</v>
      </c>
      <c r="H217" s="2" t="s">
        <v>21</v>
      </c>
      <c r="I217" s="2" t="s">
        <v>216</v>
      </c>
      <c r="J217" s="2" t="str">
        <f>""</f>
        <v/>
      </c>
      <c r="K217" s="2" t="str">
        <f>"PFES1162727057_0001"</f>
        <v>PFES1162727057_0001</v>
      </c>
      <c r="L217" s="2">
        <v>1</v>
      </c>
      <c r="M217" s="2">
        <v>1</v>
      </c>
    </row>
    <row r="218" spans="1:13">
      <c r="A218" s="7">
        <v>43804</v>
      </c>
      <c r="B218" s="8">
        <v>0.67569444444444438</v>
      </c>
      <c r="C218" s="2" t="str">
        <f>"FES1162727080"</f>
        <v>FES1162727080</v>
      </c>
      <c r="D218" s="2" t="s">
        <v>19</v>
      </c>
      <c r="E218" s="2" t="s">
        <v>209</v>
      </c>
      <c r="F218" s="2" t="str">
        <f>"2170708555 "</f>
        <v xml:space="preserve">2170708555 </v>
      </c>
      <c r="G218" s="2" t="str">
        <f t="shared" si="5"/>
        <v>ON1</v>
      </c>
      <c r="H218" s="2" t="s">
        <v>21</v>
      </c>
      <c r="I218" s="2" t="s">
        <v>210</v>
      </c>
      <c r="J218" s="2" t="str">
        <f>""</f>
        <v/>
      </c>
      <c r="K218" s="2" t="str">
        <f>"PFES1162727080_0001"</f>
        <v>PFES1162727080_0001</v>
      </c>
      <c r="L218" s="2">
        <v>1</v>
      </c>
      <c r="M218" s="2">
        <v>1</v>
      </c>
    </row>
    <row r="219" spans="1:13">
      <c r="A219" s="7">
        <v>43804</v>
      </c>
      <c r="B219" s="8">
        <v>0.67499999999999993</v>
      </c>
      <c r="C219" s="2" t="str">
        <f>"FES1162727082"</f>
        <v>FES1162727082</v>
      </c>
      <c r="D219" s="2" t="s">
        <v>19</v>
      </c>
      <c r="E219" s="2" t="s">
        <v>59</v>
      </c>
      <c r="F219" s="2" t="str">
        <f>"2170701758 "</f>
        <v xml:space="preserve">2170701758 </v>
      </c>
      <c r="G219" s="2" t="str">
        <f t="shared" si="5"/>
        <v>ON1</v>
      </c>
      <c r="H219" s="2" t="s">
        <v>21</v>
      </c>
      <c r="I219" s="2" t="s">
        <v>60</v>
      </c>
      <c r="J219" s="2" t="str">
        <f>""</f>
        <v/>
      </c>
      <c r="K219" s="2" t="str">
        <f>"PFES1162727082_0001"</f>
        <v>PFES1162727082_0001</v>
      </c>
      <c r="L219" s="2">
        <v>1</v>
      </c>
      <c r="M219" s="2">
        <v>1</v>
      </c>
    </row>
    <row r="220" spans="1:13">
      <c r="A220" s="7">
        <v>43804</v>
      </c>
      <c r="B220" s="8">
        <v>0.67499999999999993</v>
      </c>
      <c r="C220" s="2" t="str">
        <f>"FES1162727007"</f>
        <v>FES1162727007</v>
      </c>
      <c r="D220" s="2" t="s">
        <v>19</v>
      </c>
      <c r="E220" s="2" t="s">
        <v>261</v>
      </c>
      <c r="F220" s="2" t="str">
        <f>"2170720465 "</f>
        <v xml:space="preserve">2170720465 </v>
      </c>
      <c r="G220" s="2" t="str">
        <f t="shared" si="5"/>
        <v>ON1</v>
      </c>
      <c r="H220" s="2" t="s">
        <v>21</v>
      </c>
      <c r="I220" s="2" t="s">
        <v>130</v>
      </c>
      <c r="J220" s="2" t="str">
        <f>""</f>
        <v/>
      </c>
      <c r="K220" s="2" t="str">
        <f>"PFES1162727007_0001"</f>
        <v>PFES1162727007_0001</v>
      </c>
      <c r="L220" s="2">
        <v>1</v>
      </c>
      <c r="M220" s="2">
        <v>1</v>
      </c>
    </row>
    <row r="221" spans="1:13">
      <c r="A221" s="7">
        <v>43804</v>
      </c>
      <c r="B221" s="8">
        <v>0.6743055555555556</v>
      </c>
      <c r="C221" s="2" t="str">
        <f>"FES1162727118"</f>
        <v>FES1162727118</v>
      </c>
      <c r="D221" s="2" t="s">
        <v>19</v>
      </c>
      <c r="E221" s="2" t="s">
        <v>262</v>
      </c>
      <c r="F221" s="2" t="str">
        <f>"2170720513 "</f>
        <v xml:space="preserve">2170720513 </v>
      </c>
      <c r="G221" s="2" t="str">
        <f t="shared" si="5"/>
        <v>ON1</v>
      </c>
      <c r="H221" s="2" t="s">
        <v>21</v>
      </c>
      <c r="I221" s="2" t="s">
        <v>235</v>
      </c>
      <c r="J221" s="2" t="str">
        <f>""</f>
        <v/>
      </c>
      <c r="K221" s="2" t="str">
        <f>"PFES1162727118_0001"</f>
        <v>PFES1162727118_0001</v>
      </c>
      <c r="L221" s="2">
        <v>1</v>
      </c>
      <c r="M221" s="2">
        <v>1</v>
      </c>
    </row>
    <row r="222" spans="1:13">
      <c r="A222" s="7">
        <v>43804</v>
      </c>
      <c r="B222" s="8">
        <v>0.67361111111111116</v>
      </c>
      <c r="C222" s="2" t="str">
        <f>"FES1162726871"</f>
        <v>FES1162726871</v>
      </c>
      <c r="D222" s="2" t="s">
        <v>19</v>
      </c>
      <c r="E222" s="2" t="s">
        <v>101</v>
      </c>
      <c r="F222" s="2" t="str">
        <f>"2170720314 "</f>
        <v xml:space="preserve">2170720314 </v>
      </c>
      <c r="G222" s="2" t="str">
        <f t="shared" si="5"/>
        <v>ON1</v>
      </c>
      <c r="H222" s="2" t="s">
        <v>21</v>
      </c>
      <c r="I222" s="2" t="s">
        <v>102</v>
      </c>
      <c r="J222" s="2" t="str">
        <f>""</f>
        <v/>
      </c>
      <c r="K222" s="2" t="str">
        <f>"PFES1162726871_0001"</f>
        <v>PFES1162726871_0001</v>
      </c>
      <c r="L222" s="2">
        <v>1</v>
      </c>
      <c r="M222" s="2">
        <v>1</v>
      </c>
    </row>
    <row r="223" spans="1:13">
      <c r="A223" s="7">
        <v>43804</v>
      </c>
      <c r="B223" s="8">
        <v>0.67361111111111116</v>
      </c>
      <c r="C223" s="2" t="str">
        <f>"FES1162727028"</f>
        <v>FES1162727028</v>
      </c>
      <c r="D223" s="2" t="s">
        <v>19</v>
      </c>
      <c r="E223" s="2" t="s">
        <v>263</v>
      </c>
      <c r="F223" s="2" t="str">
        <f>"2170720490 "</f>
        <v xml:space="preserve">2170720490 </v>
      </c>
      <c r="G223" s="2" t="str">
        <f t="shared" si="5"/>
        <v>ON1</v>
      </c>
      <c r="H223" s="2" t="s">
        <v>21</v>
      </c>
      <c r="I223" s="2" t="s">
        <v>161</v>
      </c>
      <c r="J223" s="2" t="str">
        <f>""</f>
        <v/>
      </c>
      <c r="K223" s="2" t="str">
        <f>"PFES1162727028_0001"</f>
        <v>PFES1162727028_0001</v>
      </c>
      <c r="L223" s="2">
        <v>1</v>
      </c>
      <c r="M223" s="2">
        <v>1</v>
      </c>
    </row>
    <row r="224" spans="1:13">
      <c r="A224" s="7">
        <v>43804</v>
      </c>
      <c r="B224" s="8">
        <v>0.67291666666666661</v>
      </c>
      <c r="C224" s="2" t="str">
        <f>"FES1162727033"</f>
        <v>FES1162727033</v>
      </c>
      <c r="D224" s="2" t="s">
        <v>19</v>
      </c>
      <c r="E224" s="2" t="s">
        <v>263</v>
      </c>
      <c r="F224" s="2" t="str">
        <f>"217070494 "</f>
        <v xml:space="preserve">217070494 </v>
      </c>
      <c r="G224" s="2" t="str">
        <f t="shared" si="5"/>
        <v>ON1</v>
      </c>
      <c r="H224" s="2" t="s">
        <v>21</v>
      </c>
      <c r="I224" s="2" t="s">
        <v>161</v>
      </c>
      <c r="J224" s="2" t="str">
        <f>""</f>
        <v/>
      </c>
      <c r="K224" s="2" t="str">
        <f>"PFES1162727033_0001"</f>
        <v>PFES1162727033_0001</v>
      </c>
      <c r="L224" s="2">
        <v>1</v>
      </c>
      <c r="M224" s="2">
        <v>1</v>
      </c>
    </row>
    <row r="225" spans="1:13">
      <c r="A225" s="7">
        <v>43804</v>
      </c>
      <c r="B225" s="8">
        <v>0.67291666666666661</v>
      </c>
      <c r="C225" s="2" t="str">
        <f>"FES1162726708"</f>
        <v>FES1162726708</v>
      </c>
      <c r="D225" s="2" t="s">
        <v>19</v>
      </c>
      <c r="E225" s="2" t="s">
        <v>232</v>
      </c>
      <c r="F225" s="2" t="str">
        <f>"2170720101 "</f>
        <v xml:space="preserve">2170720101 </v>
      </c>
      <c r="G225" s="2" t="str">
        <f t="shared" si="5"/>
        <v>ON1</v>
      </c>
      <c r="H225" s="2" t="s">
        <v>21</v>
      </c>
      <c r="I225" s="2" t="s">
        <v>45</v>
      </c>
      <c r="J225" s="2" t="str">
        <f>""</f>
        <v/>
      </c>
      <c r="K225" s="2" t="str">
        <f>"PFES1162726708_0001"</f>
        <v>PFES1162726708_0001</v>
      </c>
      <c r="L225" s="2">
        <v>1</v>
      </c>
      <c r="M225" s="2">
        <v>1</v>
      </c>
    </row>
    <row r="226" spans="1:13">
      <c r="A226" s="7">
        <v>43804</v>
      </c>
      <c r="B226" s="8">
        <v>0.67222222222222217</v>
      </c>
      <c r="C226" s="2" t="str">
        <f>"FES1162727105"</f>
        <v>FES1162727105</v>
      </c>
      <c r="D226" s="2" t="s">
        <v>19</v>
      </c>
      <c r="E226" s="2" t="s">
        <v>234</v>
      </c>
      <c r="F226" s="2" t="str">
        <f>"21707020569 "</f>
        <v xml:space="preserve">21707020569 </v>
      </c>
      <c r="G226" s="2" t="str">
        <f t="shared" si="5"/>
        <v>ON1</v>
      </c>
      <c r="H226" s="2" t="s">
        <v>21</v>
      </c>
      <c r="I226" s="2" t="s">
        <v>235</v>
      </c>
      <c r="J226" s="2" t="str">
        <f>""</f>
        <v/>
      </c>
      <c r="K226" s="2" t="str">
        <f>"PFES1162727105_0001"</f>
        <v>PFES1162727105_0001</v>
      </c>
      <c r="L226" s="2">
        <v>1</v>
      </c>
      <c r="M226" s="2">
        <v>1</v>
      </c>
    </row>
    <row r="227" spans="1:13">
      <c r="A227" s="7">
        <v>43804</v>
      </c>
      <c r="B227" s="8">
        <v>0.67222222222222217</v>
      </c>
      <c r="C227" s="2" t="str">
        <f>"FES1162727015"</f>
        <v>FES1162727015</v>
      </c>
      <c r="D227" s="2" t="s">
        <v>19</v>
      </c>
      <c r="E227" s="2" t="s">
        <v>264</v>
      </c>
      <c r="F227" s="2" t="str">
        <f>"217070474 "</f>
        <v xml:space="preserve">217070474 </v>
      </c>
      <c r="G227" s="2" t="str">
        <f t="shared" si="5"/>
        <v>ON1</v>
      </c>
      <c r="H227" s="2" t="s">
        <v>21</v>
      </c>
      <c r="I227" s="2" t="s">
        <v>265</v>
      </c>
      <c r="J227" s="2" t="str">
        <f>""</f>
        <v/>
      </c>
      <c r="K227" s="2" t="str">
        <f>"PFES1162727015_0001"</f>
        <v>PFES1162727015_0001</v>
      </c>
      <c r="L227" s="2">
        <v>1</v>
      </c>
      <c r="M227" s="2">
        <v>1</v>
      </c>
    </row>
    <row r="228" spans="1:13">
      <c r="A228" s="7">
        <v>43804</v>
      </c>
      <c r="B228" s="8">
        <v>0.67152777777777783</v>
      </c>
      <c r="C228" s="2" t="str">
        <f>"FES1162727003"</f>
        <v>FES1162727003</v>
      </c>
      <c r="D228" s="2" t="s">
        <v>19</v>
      </c>
      <c r="E228" s="2" t="s">
        <v>266</v>
      </c>
      <c r="F228" s="2" t="str">
        <f>"2170710459 "</f>
        <v xml:space="preserve">2170710459 </v>
      </c>
      <c r="G228" s="2" t="str">
        <f t="shared" si="5"/>
        <v>ON1</v>
      </c>
      <c r="H228" s="2" t="s">
        <v>21</v>
      </c>
      <c r="I228" s="2" t="s">
        <v>31</v>
      </c>
      <c r="J228" s="2" t="str">
        <f>""</f>
        <v/>
      </c>
      <c r="K228" s="2" t="str">
        <f>"PFES1162727003_0001"</f>
        <v>PFES1162727003_0001</v>
      </c>
      <c r="L228" s="2">
        <v>1</v>
      </c>
      <c r="M228" s="2">
        <v>1</v>
      </c>
    </row>
    <row r="229" spans="1:13">
      <c r="A229" s="7">
        <v>43804</v>
      </c>
      <c r="B229" s="8">
        <v>0.67152777777777783</v>
      </c>
      <c r="C229" s="2" t="str">
        <f>"FES1162727004"</f>
        <v>FES1162727004</v>
      </c>
      <c r="D229" s="2" t="s">
        <v>19</v>
      </c>
      <c r="E229" s="2" t="s">
        <v>267</v>
      </c>
      <c r="F229" s="2" t="str">
        <f>"217070460 "</f>
        <v xml:space="preserve">217070460 </v>
      </c>
      <c r="G229" s="2" t="str">
        <f t="shared" si="5"/>
        <v>ON1</v>
      </c>
      <c r="H229" s="2" t="s">
        <v>21</v>
      </c>
      <c r="I229" s="2" t="s">
        <v>268</v>
      </c>
      <c r="J229" s="2" t="str">
        <f>""</f>
        <v/>
      </c>
      <c r="K229" s="2" t="str">
        <f>"PFES1162727004_0001"</f>
        <v>PFES1162727004_0001</v>
      </c>
      <c r="L229" s="2">
        <v>1</v>
      </c>
      <c r="M229" s="2">
        <v>4</v>
      </c>
    </row>
    <row r="230" spans="1:13">
      <c r="A230" s="7">
        <v>43804</v>
      </c>
      <c r="B230" s="8">
        <v>0.67083333333333339</v>
      </c>
      <c r="C230" s="2" t="str">
        <f>"FES1162726985"</f>
        <v>FES1162726985</v>
      </c>
      <c r="D230" s="2" t="s">
        <v>19</v>
      </c>
      <c r="E230" s="2" t="s">
        <v>269</v>
      </c>
      <c r="F230" s="2" t="str">
        <f>"217719703 "</f>
        <v xml:space="preserve">217719703 </v>
      </c>
      <c r="G230" s="2" t="str">
        <f t="shared" si="5"/>
        <v>ON1</v>
      </c>
      <c r="H230" s="2" t="s">
        <v>21</v>
      </c>
      <c r="I230" s="2" t="s">
        <v>270</v>
      </c>
      <c r="J230" s="2" t="str">
        <f>""</f>
        <v/>
      </c>
      <c r="K230" s="2" t="str">
        <f>"PFES1162726985_0001"</f>
        <v>PFES1162726985_0001</v>
      </c>
      <c r="L230" s="2">
        <v>1</v>
      </c>
      <c r="M230" s="2">
        <v>3</v>
      </c>
    </row>
    <row r="231" spans="1:13">
      <c r="A231" s="7">
        <v>43804</v>
      </c>
      <c r="B231" s="8">
        <v>0.67013888888888884</v>
      </c>
      <c r="C231" s="2" t="str">
        <f>"FES1162727008"</f>
        <v>FES1162727008</v>
      </c>
      <c r="D231" s="2" t="s">
        <v>19</v>
      </c>
      <c r="E231" s="2" t="s">
        <v>30</v>
      </c>
      <c r="F231" s="2" t="str">
        <f>"2170720404 "</f>
        <v xml:space="preserve">2170720404 </v>
      </c>
      <c r="G231" s="2" t="str">
        <f t="shared" si="5"/>
        <v>ON1</v>
      </c>
      <c r="H231" s="2" t="s">
        <v>21</v>
      </c>
      <c r="I231" s="2" t="s">
        <v>31</v>
      </c>
      <c r="J231" s="2" t="str">
        <f>""</f>
        <v/>
      </c>
      <c r="K231" s="2" t="str">
        <f>"PFES1162727008_0001"</f>
        <v>PFES1162727008_0001</v>
      </c>
      <c r="L231" s="2">
        <v>1</v>
      </c>
      <c r="M231" s="2">
        <v>2</v>
      </c>
    </row>
    <row r="232" spans="1:13">
      <c r="A232" s="7">
        <v>43804</v>
      </c>
      <c r="B232" s="8">
        <v>0.67013888888888884</v>
      </c>
      <c r="C232" s="2" t="str">
        <f>"FES1162726896"</f>
        <v>FES1162726896</v>
      </c>
      <c r="D232" s="2" t="s">
        <v>19</v>
      </c>
      <c r="E232" s="2" t="s">
        <v>271</v>
      </c>
      <c r="F232" s="2" t="str">
        <f>"2170720092 "</f>
        <v xml:space="preserve">2170720092 </v>
      </c>
      <c r="G232" s="2" t="str">
        <f t="shared" si="5"/>
        <v>ON1</v>
      </c>
      <c r="H232" s="2" t="s">
        <v>21</v>
      </c>
      <c r="I232" s="2" t="s">
        <v>272</v>
      </c>
      <c r="J232" s="2" t="str">
        <f>""</f>
        <v/>
      </c>
      <c r="K232" s="2" t="str">
        <f>"PFES1162726896_0001"</f>
        <v>PFES1162726896_0001</v>
      </c>
      <c r="L232" s="2">
        <v>1</v>
      </c>
      <c r="M232" s="2">
        <v>6</v>
      </c>
    </row>
    <row r="233" spans="1:13">
      <c r="A233" s="7">
        <v>43804</v>
      </c>
      <c r="B233" s="8">
        <v>0.67013888888888884</v>
      </c>
      <c r="C233" s="2" t="str">
        <f>"FES1162727046"</f>
        <v>FES1162727046</v>
      </c>
      <c r="D233" s="2" t="s">
        <v>19</v>
      </c>
      <c r="E233" s="2" t="s">
        <v>83</v>
      </c>
      <c r="F233" s="2" t="str">
        <f>"2170720514 "</f>
        <v xml:space="preserve">2170720514 </v>
      </c>
      <c r="G233" s="2" t="str">
        <f t="shared" si="5"/>
        <v>ON1</v>
      </c>
      <c r="H233" s="2" t="s">
        <v>21</v>
      </c>
      <c r="I233" s="2" t="s">
        <v>70</v>
      </c>
      <c r="J233" s="2" t="str">
        <f>""</f>
        <v/>
      </c>
      <c r="K233" s="2" t="str">
        <f>"PFES1162727046_0001"</f>
        <v>PFES1162727046_0001</v>
      </c>
      <c r="L233" s="2">
        <v>1</v>
      </c>
      <c r="M233" s="2">
        <v>1</v>
      </c>
    </row>
    <row r="234" spans="1:13">
      <c r="A234" s="7">
        <v>43804</v>
      </c>
      <c r="B234" s="8">
        <v>0.66666666666666663</v>
      </c>
      <c r="C234" s="2" t="str">
        <f>"FES1162727069"</f>
        <v>FES1162727069</v>
      </c>
      <c r="D234" s="2" t="s">
        <v>19</v>
      </c>
      <c r="E234" s="2" t="s">
        <v>82</v>
      </c>
      <c r="F234" s="2" t="str">
        <f>"2170720541 "</f>
        <v xml:space="preserve">2170720541 </v>
      </c>
      <c r="G234" s="2" t="str">
        <f t="shared" si="5"/>
        <v>ON1</v>
      </c>
      <c r="H234" s="2" t="s">
        <v>21</v>
      </c>
      <c r="I234" s="2" t="s">
        <v>72</v>
      </c>
      <c r="J234" s="2" t="str">
        <f>""</f>
        <v/>
      </c>
      <c r="K234" s="2" t="str">
        <f>"PFES1162727069_0001"</f>
        <v>PFES1162727069_0001</v>
      </c>
      <c r="L234" s="2">
        <v>1</v>
      </c>
      <c r="M234" s="2">
        <v>1</v>
      </c>
    </row>
    <row r="235" spans="1:13">
      <c r="A235" s="7">
        <v>43804</v>
      </c>
      <c r="B235" s="8">
        <v>0.66597222222222219</v>
      </c>
      <c r="C235" s="2" t="str">
        <f>"FES1162726718"</f>
        <v>FES1162726718</v>
      </c>
      <c r="D235" s="2" t="s">
        <v>19</v>
      </c>
      <c r="E235" s="2" t="s">
        <v>273</v>
      </c>
      <c r="F235" s="2" t="str">
        <f>"2170720143 "</f>
        <v xml:space="preserve">2170720143 </v>
      </c>
      <c r="G235" s="2" t="str">
        <f t="shared" si="5"/>
        <v>ON1</v>
      </c>
      <c r="H235" s="2" t="s">
        <v>21</v>
      </c>
      <c r="I235" s="2" t="s">
        <v>78</v>
      </c>
      <c r="J235" s="2" t="str">
        <f>""</f>
        <v/>
      </c>
      <c r="K235" s="2" t="str">
        <f>"PFES1162726718_0001"</f>
        <v>PFES1162726718_0001</v>
      </c>
      <c r="L235" s="2">
        <v>1</v>
      </c>
      <c r="M235" s="2">
        <v>1</v>
      </c>
    </row>
    <row r="236" spans="1:13">
      <c r="A236" s="7">
        <v>43804</v>
      </c>
      <c r="B236" s="8">
        <v>0.66527777777777775</v>
      </c>
      <c r="C236" s="2" t="str">
        <f>"FES1162726914"</f>
        <v>FES1162726914</v>
      </c>
      <c r="D236" s="2" t="s">
        <v>19</v>
      </c>
      <c r="E236" s="2" t="s">
        <v>274</v>
      </c>
      <c r="F236" s="2" t="str">
        <f>"2170720353 "</f>
        <v xml:space="preserve">2170720353 </v>
      </c>
      <c r="G236" s="2" t="str">
        <f t="shared" si="5"/>
        <v>ON1</v>
      </c>
      <c r="H236" s="2" t="s">
        <v>21</v>
      </c>
      <c r="I236" s="2" t="s">
        <v>45</v>
      </c>
      <c r="J236" s="2" t="str">
        <f>""</f>
        <v/>
      </c>
      <c r="K236" s="2" t="str">
        <f>"PFES1162726914_0001"</f>
        <v>PFES1162726914_0001</v>
      </c>
      <c r="L236" s="2">
        <v>1</v>
      </c>
      <c r="M236" s="2">
        <v>4</v>
      </c>
    </row>
    <row r="237" spans="1:13">
      <c r="A237" s="7">
        <v>43804</v>
      </c>
      <c r="B237" s="8">
        <v>0.66527777777777775</v>
      </c>
      <c r="C237" s="2" t="str">
        <f>"FES1162726942"</f>
        <v>FES1162726942</v>
      </c>
      <c r="D237" s="2" t="s">
        <v>19</v>
      </c>
      <c r="E237" s="2" t="s">
        <v>275</v>
      </c>
      <c r="F237" s="2" t="str">
        <f>"2170720397 "</f>
        <v xml:space="preserve">2170720397 </v>
      </c>
      <c r="G237" s="2" t="str">
        <f t="shared" ref="G237:G267" si="6">"ON1"</f>
        <v>ON1</v>
      </c>
      <c r="H237" s="2" t="s">
        <v>21</v>
      </c>
      <c r="I237" s="2" t="s">
        <v>276</v>
      </c>
      <c r="J237" s="2" t="str">
        <f>""</f>
        <v/>
      </c>
      <c r="K237" s="2" t="str">
        <f>"PFES1162726942_0001"</f>
        <v>PFES1162726942_0001</v>
      </c>
      <c r="L237" s="2">
        <v>1</v>
      </c>
      <c r="M237" s="2">
        <v>5</v>
      </c>
    </row>
    <row r="238" spans="1:13">
      <c r="A238" s="7">
        <v>43804</v>
      </c>
      <c r="B238" s="8">
        <v>0.6645833333333333</v>
      </c>
      <c r="C238" s="2" t="str">
        <f>"FES1162726652"</f>
        <v>FES1162726652</v>
      </c>
      <c r="D238" s="2" t="s">
        <v>19</v>
      </c>
      <c r="E238" s="2" t="s">
        <v>63</v>
      </c>
      <c r="F238" s="2" t="str">
        <f>"2170714680 "</f>
        <v xml:space="preserve">2170714680 </v>
      </c>
      <c r="G238" s="2" t="str">
        <f t="shared" si="6"/>
        <v>ON1</v>
      </c>
      <c r="H238" s="2" t="s">
        <v>21</v>
      </c>
      <c r="I238" s="2" t="s">
        <v>121</v>
      </c>
      <c r="J238" s="2" t="str">
        <f>""</f>
        <v/>
      </c>
      <c r="K238" s="2" t="str">
        <f>"PFES1162726652_0001"</f>
        <v>PFES1162726652_0001</v>
      </c>
      <c r="L238" s="2">
        <v>1</v>
      </c>
      <c r="M238" s="2">
        <v>1</v>
      </c>
    </row>
    <row r="239" spans="1:13">
      <c r="A239" s="7">
        <v>43804</v>
      </c>
      <c r="B239" s="8">
        <v>0.66319444444444442</v>
      </c>
      <c r="C239" s="2" t="str">
        <f>"FES1162727070"</f>
        <v>FES1162727070</v>
      </c>
      <c r="D239" s="2" t="s">
        <v>19</v>
      </c>
      <c r="E239" s="2" t="s">
        <v>82</v>
      </c>
      <c r="F239" s="2" t="str">
        <f>"217070542 "</f>
        <v xml:space="preserve">217070542 </v>
      </c>
      <c r="G239" s="2" t="str">
        <f t="shared" si="6"/>
        <v>ON1</v>
      </c>
      <c r="H239" s="2" t="s">
        <v>21</v>
      </c>
      <c r="I239" s="2" t="s">
        <v>72</v>
      </c>
      <c r="J239" s="2" t="str">
        <f>""</f>
        <v/>
      </c>
      <c r="K239" s="2" t="str">
        <f>"PFES1162727070_0001"</f>
        <v>PFES1162727070_0001</v>
      </c>
      <c r="L239" s="2">
        <v>1</v>
      </c>
      <c r="M239" s="2">
        <v>18</v>
      </c>
    </row>
    <row r="240" spans="1:13">
      <c r="A240" s="7">
        <v>43804</v>
      </c>
      <c r="B240" s="8">
        <v>0.66249999999999998</v>
      </c>
      <c r="C240" s="2" t="str">
        <f>"FES1162727100"</f>
        <v>FES1162727100</v>
      </c>
      <c r="D240" s="2" t="s">
        <v>19</v>
      </c>
      <c r="E240" s="2" t="s">
        <v>83</v>
      </c>
      <c r="F240" s="2" t="str">
        <f>"2170719669 "</f>
        <v xml:space="preserve">2170719669 </v>
      </c>
      <c r="G240" s="2" t="str">
        <f t="shared" si="6"/>
        <v>ON1</v>
      </c>
      <c r="H240" s="2" t="s">
        <v>21</v>
      </c>
      <c r="I240" s="2" t="s">
        <v>70</v>
      </c>
      <c r="J240" s="2" t="str">
        <f>""</f>
        <v/>
      </c>
      <c r="K240" s="2" t="str">
        <f>"PFES1162727100_0001"</f>
        <v>PFES1162727100_0001</v>
      </c>
      <c r="L240" s="2">
        <v>1</v>
      </c>
      <c r="M240" s="2">
        <v>3</v>
      </c>
    </row>
    <row r="241" spans="1:13">
      <c r="A241" s="7">
        <v>43804</v>
      </c>
      <c r="B241" s="8">
        <v>0.66249999999999998</v>
      </c>
      <c r="C241" s="2" t="str">
        <f>"FES1162727052"</f>
        <v>FES1162727052</v>
      </c>
      <c r="D241" s="2" t="s">
        <v>19</v>
      </c>
      <c r="E241" s="2" t="s">
        <v>277</v>
      </c>
      <c r="F241" s="2" t="str">
        <f>"2170720525 "</f>
        <v xml:space="preserve">2170720525 </v>
      </c>
      <c r="G241" s="2" t="str">
        <f t="shared" si="6"/>
        <v>ON1</v>
      </c>
      <c r="H241" s="2" t="s">
        <v>21</v>
      </c>
      <c r="I241" s="2" t="s">
        <v>278</v>
      </c>
      <c r="J241" s="2" t="str">
        <f>""</f>
        <v/>
      </c>
      <c r="K241" s="2" t="str">
        <f>"PFES1162727052_0001"</f>
        <v>PFES1162727052_0001</v>
      </c>
      <c r="L241" s="2">
        <v>1</v>
      </c>
      <c r="M241" s="2">
        <v>2</v>
      </c>
    </row>
    <row r="242" spans="1:13">
      <c r="A242" s="7">
        <v>43804</v>
      </c>
      <c r="B242" s="8">
        <v>0.66180555555555554</v>
      </c>
      <c r="C242" s="2" t="str">
        <f>"FES1162727055"</f>
        <v>FES1162727055</v>
      </c>
      <c r="D242" s="2" t="s">
        <v>19</v>
      </c>
      <c r="E242" s="2" t="s">
        <v>279</v>
      </c>
      <c r="F242" s="2" t="str">
        <f>"217071537 "</f>
        <v xml:space="preserve">217071537 </v>
      </c>
      <c r="G242" s="2" t="str">
        <f t="shared" si="6"/>
        <v>ON1</v>
      </c>
      <c r="H242" s="2" t="s">
        <v>21</v>
      </c>
      <c r="I242" s="2" t="s">
        <v>70</v>
      </c>
      <c r="J242" s="2" t="str">
        <f>""</f>
        <v/>
      </c>
      <c r="K242" s="2" t="str">
        <f>"PFES1162727055_0001"</f>
        <v>PFES1162727055_0001</v>
      </c>
      <c r="L242" s="2">
        <v>1</v>
      </c>
      <c r="M242" s="2">
        <v>4</v>
      </c>
    </row>
    <row r="243" spans="1:13">
      <c r="A243" s="7">
        <v>43804</v>
      </c>
      <c r="B243" s="8">
        <v>0.66111111111111109</v>
      </c>
      <c r="C243" s="2" t="str">
        <f>"FES1162727022"</f>
        <v>FES1162727022</v>
      </c>
      <c r="D243" s="2" t="s">
        <v>19</v>
      </c>
      <c r="E243" s="2" t="s">
        <v>151</v>
      </c>
      <c r="F243" s="2" t="str">
        <f>"21707104982 "</f>
        <v xml:space="preserve">21707104982 </v>
      </c>
      <c r="G243" s="2" t="str">
        <f t="shared" si="6"/>
        <v>ON1</v>
      </c>
      <c r="H243" s="2" t="s">
        <v>21</v>
      </c>
      <c r="I243" s="2" t="s">
        <v>152</v>
      </c>
      <c r="J243" s="2" t="str">
        <f>""</f>
        <v/>
      </c>
      <c r="K243" s="2" t="str">
        <f>"PFES1162727022_0001"</f>
        <v>PFES1162727022_0001</v>
      </c>
      <c r="L243" s="2">
        <v>2</v>
      </c>
      <c r="M243" s="2">
        <v>7</v>
      </c>
    </row>
    <row r="244" spans="1:13">
      <c r="A244" s="7">
        <v>43496</v>
      </c>
      <c r="B244" s="8">
        <v>0.62638888888888888</v>
      </c>
      <c r="C244" s="2" t="str">
        <f>"FES1162727022"</f>
        <v>FES1162727022</v>
      </c>
      <c r="D244" s="2" t="s">
        <v>19</v>
      </c>
      <c r="E244" s="2" t="s">
        <v>280</v>
      </c>
      <c r="F244" s="2" t="str">
        <f>"2170671903 "</f>
        <v xml:space="preserve">2170671903 </v>
      </c>
      <c r="G244" s="2" t="str">
        <f t="shared" si="6"/>
        <v>ON1</v>
      </c>
      <c r="H244" s="2" t="s">
        <v>21</v>
      </c>
      <c r="I244" s="2" t="s">
        <v>281</v>
      </c>
      <c r="J244" s="2" t="str">
        <f>""</f>
        <v/>
      </c>
      <c r="K244" s="2" t="str">
        <f>"PFES1162727022_0002"</f>
        <v>PFES1162727022_0002</v>
      </c>
      <c r="L244" s="2">
        <v>1</v>
      </c>
      <c r="M244" s="2">
        <v>1</v>
      </c>
    </row>
    <row r="245" spans="1:13">
      <c r="A245" s="7">
        <v>43804</v>
      </c>
      <c r="B245" s="8">
        <v>0.66041666666666665</v>
      </c>
      <c r="C245" s="2" t="str">
        <f>"009935712110"</f>
        <v>009935712110</v>
      </c>
      <c r="D245" s="2" t="s">
        <v>19</v>
      </c>
      <c r="E245" s="2" t="s">
        <v>282</v>
      </c>
      <c r="F245" s="2" t="str">
        <f>"TONY "</f>
        <v xml:space="preserve">TONY </v>
      </c>
      <c r="G245" s="2" t="str">
        <f t="shared" si="6"/>
        <v>ON1</v>
      </c>
      <c r="H245" s="2" t="s">
        <v>21</v>
      </c>
      <c r="I245" s="2" t="s">
        <v>283</v>
      </c>
      <c r="J245" s="2" t="str">
        <f>""</f>
        <v/>
      </c>
      <c r="K245" s="2" t="str">
        <f>"P009935712110_0001"</f>
        <v>P009935712110_0001</v>
      </c>
      <c r="L245" s="2">
        <v>1</v>
      </c>
      <c r="M245" s="2">
        <v>1</v>
      </c>
    </row>
    <row r="246" spans="1:13">
      <c r="A246" s="7">
        <v>43804</v>
      </c>
      <c r="B246" s="8">
        <v>0.65138888888888891</v>
      </c>
      <c r="C246" s="2" t="str">
        <f>"FES1162726997"</f>
        <v>FES1162726997</v>
      </c>
      <c r="D246" s="2" t="s">
        <v>19</v>
      </c>
      <c r="E246" s="2" t="s">
        <v>284</v>
      </c>
      <c r="F246" s="2" t="str">
        <f>"2170720452 "</f>
        <v xml:space="preserve">2170720452 </v>
      </c>
      <c r="G246" s="2" t="str">
        <f t="shared" si="6"/>
        <v>ON1</v>
      </c>
      <c r="H246" s="2" t="s">
        <v>21</v>
      </c>
      <c r="I246" s="2" t="s">
        <v>285</v>
      </c>
      <c r="J246" s="2" t="str">
        <f>""</f>
        <v/>
      </c>
      <c r="K246" s="2" t="str">
        <f>"PFES1162726997_0001"</f>
        <v>PFES1162726997_0001</v>
      </c>
      <c r="L246" s="2">
        <v>1</v>
      </c>
      <c r="M246" s="2">
        <v>2</v>
      </c>
    </row>
    <row r="247" spans="1:13">
      <c r="A247" s="7">
        <v>43804</v>
      </c>
      <c r="B247" s="8">
        <v>0.65069444444444446</v>
      </c>
      <c r="C247" s="2" t="str">
        <f>"FES1162727053"</f>
        <v>FES1162727053</v>
      </c>
      <c r="D247" s="2" t="s">
        <v>19</v>
      </c>
      <c r="E247" s="2" t="s">
        <v>260</v>
      </c>
      <c r="F247" s="2" t="str">
        <f>"2170720526 "</f>
        <v xml:space="preserve">2170720526 </v>
      </c>
      <c r="G247" s="2" t="str">
        <f t="shared" si="6"/>
        <v>ON1</v>
      </c>
      <c r="H247" s="2" t="s">
        <v>21</v>
      </c>
      <c r="I247" s="2" t="s">
        <v>216</v>
      </c>
      <c r="J247" s="2" t="str">
        <f>""</f>
        <v/>
      </c>
      <c r="K247" s="2" t="str">
        <f>"PFES1162727053_0001"</f>
        <v>PFES1162727053_0001</v>
      </c>
      <c r="L247" s="2">
        <v>1</v>
      </c>
      <c r="M247" s="2">
        <v>1</v>
      </c>
    </row>
    <row r="248" spans="1:13">
      <c r="A248" s="7">
        <v>43804</v>
      </c>
      <c r="B248" s="8">
        <v>0.64930555555555558</v>
      </c>
      <c r="C248" s="2" t="str">
        <f>"FES1162726780"</f>
        <v>FES1162726780</v>
      </c>
      <c r="D248" s="2" t="s">
        <v>19</v>
      </c>
      <c r="E248" s="2" t="s">
        <v>286</v>
      </c>
      <c r="F248" s="2" t="str">
        <f>"2170720226 "</f>
        <v xml:space="preserve">2170720226 </v>
      </c>
      <c r="G248" s="2" t="str">
        <f t="shared" si="6"/>
        <v>ON1</v>
      </c>
      <c r="H248" s="2" t="s">
        <v>21</v>
      </c>
      <c r="I248" s="2" t="s">
        <v>45</v>
      </c>
      <c r="J248" s="2" t="str">
        <f>""</f>
        <v/>
      </c>
      <c r="K248" s="2" t="str">
        <f>"PFES1162726780_0001"</f>
        <v>PFES1162726780_0001</v>
      </c>
      <c r="L248" s="2">
        <v>1</v>
      </c>
      <c r="M248" s="2">
        <v>1</v>
      </c>
    </row>
    <row r="249" spans="1:13">
      <c r="A249" s="7">
        <v>43804</v>
      </c>
      <c r="B249" s="8">
        <v>0.64861111111111114</v>
      </c>
      <c r="C249" s="2" t="str">
        <f>"FES1162726813"</f>
        <v>FES1162726813</v>
      </c>
      <c r="D249" s="2" t="s">
        <v>19</v>
      </c>
      <c r="E249" s="2" t="s">
        <v>287</v>
      </c>
      <c r="F249" s="2" t="str">
        <f>"2170720259 "</f>
        <v xml:space="preserve">2170720259 </v>
      </c>
      <c r="G249" s="2" t="str">
        <f t="shared" si="6"/>
        <v>ON1</v>
      </c>
      <c r="H249" s="2" t="s">
        <v>21</v>
      </c>
      <c r="I249" s="2" t="s">
        <v>288</v>
      </c>
      <c r="J249" s="2" t="str">
        <f>""</f>
        <v/>
      </c>
      <c r="K249" s="2" t="str">
        <f>"PFES1162726813_0001"</f>
        <v>PFES1162726813_0001</v>
      </c>
      <c r="L249" s="2">
        <v>1</v>
      </c>
      <c r="M249" s="2">
        <v>1</v>
      </c>
    </row>
    <row r="250" spans="1:13">
      <c r="A250" s="7">
        <v>43804</v>
      </c>
      <c r="B250" s="8">
        <v>0.64722222222222225</v>
      </c>
      <c r="C250" s="2" t="str">
        <f>"FES1162726869"</f>
        <v>FES1162726869</v>
      </c>
      <c r="D250" s="2" t="s">
        <v>19</v>
      </c>
      <c r="E250" s="2" t="s">
        <v>84</v>
      </c>
      <c r="F250" s="2" t="str">
        <f>"2170719084 "</f>
        <v xml:space="preserve">2170719084 </v>
      </c>
      <c r="G250" s="2" t="str">
        <f t="shared" si="6"/>
        <v>ON1</v>
      </c>
      <c r="H250" s="2" t="s">
        <v>21</v>
      </c>
      <c r="I250" s="2" t="s">
        <v>85</v>
      </c>
      <c r="J250" s="2" t="str">
        <f>""</f>
        <v/>
      </c>
      <c r="K250" s="2" t="str">
        <f>"PFES1162726869_0001"</f>
        <v>PFES1162726869_0001</v>
      </c>
      <c r="L250" s="2">
        <v>1</v>
      </c>
      <c r="M250" s="2">
        <v>1</v>
      </c>
    </row>
    <row r="251" spans="1:13">
      <c r="A251" s="7">
        <v>43804</v>
      </c>
      <c r="B251" s="8">
        <v>0.64652777777777781</v>
      </c>
      <c r="C251" s="2" t="str">
        <f>"FES1162727050"</f>
        <v>FES1162727050</v>
      </c>
      <c r="D251" s="2" t="s">
        <v>19</v>
      </c>
      <c r="E251" s="2" t="s">
        <v>289</v>
      </c>
      <c r="F251" s="2" t="str">
        <f>"2170720523 "</f>
        <v xml:space="preserve">2170720523 </v>
      </c>
      <c r="G251" s="2" t="str">
        <f t="shared" si="6"/>
        <v>ON1</v>
      </c>
      <c r="H251" s="2" t="s">
        <v>21</v>
      </c>
      <c r="I251" s="2" t="s">
        <v>41</v>
      </c>
      <c r="J251" s="2" t="str">
        <f>""</f>
        <v/>
      </c>
      <c r="K251" s="2" t="str">
        <f>"PFES1162727050_0001"</f>
        <v>PFES1162727050_0001</v>
      </c>
      <c r="L251" s="2">
        <v>1</v>
      </c>
      <c r="M251" s="2">
        <v>1</v>
      </c>
    </row>
    <row r="252" spans="1:13">
      <c r="A252" s="7">
        <v>43804</v>
      </c>
      <c r="B252" s="8">
        <v>0.64513888888888882</v>
      </c>
      <c r="C252" s="2" t="str">
        <f>"FES1162726865"</f>
        <v>FES1162726865</v>
      </c>
      <c r="D252" s="2" t="s">
        <v>19</v>
      </c>
      <c r="E252" s="2" t="s">
        <v>44</v>
      </c>
      <c r="F252" s="2" t="str">
        <f>"2170720309 "</f>
        <v xml:space="preserve">2170720309 </v>
      </c>
      <c r="G252" s="2" t="str">
        <f t="shared" si="6"/>
        <v>ON1</v>
      </c>
      <c r="H252" s="2" t="s">
        <v>21</v>
      </c>
      <c r="I252" s="2" t="s">
        <v>45</v>
      </c>
      <c r="J252" s="2" t="str">
        <f>""</f>
        <v/>
      </c>
      <c r="K252" s="2" t="str">
        <f>"PFES1162726865_0001"</f>
        <v>PFES1162726865_0001</v>
      </c>
      <c r="L252" s="2">
        <v>1</v>
      </c>
      <c r="M252" s="2">
        <v>1</v>
      </c>
    </row>
    <row r="253" spans="1:13">
      <c r="A253" s="7">
        <v>43804</v>
      </c>
      <c r="B253" s="8">
        <v>0.64444444444444449</v>
      </c>
      <c r="C253" s="2" t="str">
        <f>"FES1162726773"</f>
        <v>FES1162726773</v>
      </c>
      <c r="D253" s="2" t="s">
        <v>19</v>
      </c>
      <c r="E253" s="2" t="s">
        <v>290</v>
      </c>
      <c r="F253" s="2" t="str">
        <f>"2170720213 "</f>
        <v xml:space="preserve">2170720213 </v>
      </c>
      <c r="G253" s="2" t="str">
        <f t="shared" si="6"/>
        <v>ON1</v>
      </c>
      <c r="H253" s="2" t="s">
        <v>21</v>
      </c>
      <c r="I253" s="2" t="s">
        <v>123</v>
      </c>
      <c r="J253" s="2" t="str">
        <f>""</f>
        <v/>
      </c>
      <c r="K253" s="2" t="str">
        <f>"PFES1162726773_0001"</f>
        <v>PFES1162726773_0001</v>
      </c>
      <c r="L253" s="2">
        <v>1</v>
      </c>
      <c r="M253" s="2">
        <v>1</v>
      </c>
    </row>
    <row r="254" spans="1:13">
      <c r="A254" s="7">
        <v>43804</v>
      </c>
      <c r="B254" s="8">
        <v>0.64374999999999993</v>
      </c>
      <c r="C254" s="2" t="str">
        <f>"FES1162727029"</f>
        <v>FES1162727029</v>
      </c>
      <c r="D254" s="2" t="s">
        <v>19</v>
      </c>
      <c r="E254" s="2" t="s">
        <v>82</v>
      </c>
      <c r="F254" s="2" t="str">
        <f>"2170720493 "</f>
        <v xml:space="preserve">2170720493 </v>
      </c>
      <c r="G254" s="2" t="str">
        <f t="shared" si="6"/>
        <v>ON1</v>
      </c>
      <c r="H254" s="2" t="s">
        <v>21</v>
      </c>
      <c r="I254" s="2" t="s">
        <v>72</v>
      </c>
      <c r="J254" s="2" t="str">
        <f>""</f>
        <v/>
      </c>
      <c r="K254" s="2" t="str">
        <f>"PFES1162727029_0001"</f>
        <v>PFES1162727029_0001</v>
      </c>
      <c r="L254" s="2">
        <v>1</v>
      </c>
      <c r="M254" s="2">
        <v>1</v>
      </c>
    </row>
    <row r="255" spans="1:13">
      <c r="A255" s="7">
        <v>43804</v>
      </c>
      <c r="B255" s="8">
        <v>0.64236111111111105</v>
      </c>
      <c r="C255" s="2" t="str">
        <f>"FES1162727038"</f>
        <v>FES1162727038</v>
      </c>
      <c r="D255" s="2" t="s">
        <v>19</v>
      </c>
      <c r="E255" s="2" t="s">
        <v>82</v>
      </c>
      <c r="F255" s="2" t="str">
        <f>"2170720502 "</f>
        <v xml:space="preserve">2170720502 </v>
      </c>
      <c r="G255" s="2" t="str">
        <f t="shared" si="6"/>
        <v>ON1</v>
      </c>
      <c r="H255" s="2" t="s">
        <v>21</v>
      </c>
      <c r="I255" s="2" t="s">
        <v>72</v>
      </c>
      <c r="J255" s="2" t="str">
        <f>""</f>
        <v/>
      </c>
      <c r="K255" s="2" t="str">
        <f>"PFES1162727038_0001"</f>
        <v>PFES1162727038_0001</v>
      </c>
      <c r="L255" s="2">
        <v>1</v>
      </c>
      <c r="M255" s="2">
        <v>1</v>
      </c>
    </row>
    <row r="256" spans="1:13">
      <c r="A256" s="7">
        <v>43804</v>
      </c>
      <c r="B256" s="8">
        <v>0.64166666666666672</v>
      </c>
      <c r="C256" s="2" t="str">
        <f>"FES1162726768"</f>
        <v>FES1162726768</v>
      </c>
      <c r="D256" s="2" t="s">
        <v>19</v>
      </c>
      <c r="E256" s="2" t="s">
        <v>291</v>
      </c>
      <c r="F256" s="2" t="str">
        <f>"2170720199 "</f>
        <v xml:space="preserve">2170720199 </v>
      </c>
      <c r="G256" s="2" t="str">
        <f t="shared" si="6"/>
        <v>ON1</v>
      </c>
      <c r="H256" s="2" t="s">
        <v>21</v>
      </c>
      <c r="I256" s="2" t="s">
        <v>41</v>
      </c>
      <c r="J256" s="2" t="str">
        <f>""</f>
        <v/>
      </c>
      <c r="K256" s="2" t="str">
        <f>"PFES1162726768_0001"</f>
        <v>PFES1162726768_0001</v>
      </c>
      <c r="L256" s="2">
        <v>1</v>
      </c>
      <c r="M256" s="2">
        <v>1</v>
      </c>
    </row>
    <row r="257" spans="1:13">
      <c r="A257" s="7">
        <v>43804</v>
      </c>
      <c r="B257" s="8">
        <v>0.64097222222222217</v>
      </c>
      <c r="C257" s="2" t="str">
        <f>"FES1162726826"</f>
        <v>FES1162726826</v>
      </c>
      <c r="D257" s="2" t="s">
        <v>19</v>
      </c>
      <c r="E257" s="2" t="s">
        <v>292</v>
      </c>
      <c r="F257" s="2" t="str">
        <f>"2170720271 "</f>
        <v xml:space="preserve">2170720271 </v>
      </c>
      <c r="G257" s="2" t="str">
        <f t="shared" si="6"/>
        <v>ON1</v>
      </c>
      <c r="H257" s="2" t="s">
        <v>21</v>
      </c>
      <c r="I257" s="2" t="s">
        <v>78</v>
      </c>
      <c r="J257" s="2" t="str">
        <f>""</f>
        <v/>
      </c>
      <c r="K257" s="2" t="str">
        <f>"PFES1162726826_0001"</f>
        <v>PFES1162726826_0001</v>
      </c>
      <c r="L257" s="2">
        <v>1</v>
      </c>
      <c r="M257" s="2">
        <v>2</v>
      </c>
    </row>
    <row r="258" spans="1:13">
      <c r="A258" s="7">
        <v>43804</v>
      </c>
      <c r="B258" s="8">
        <v>0.63958333333333328</v>
      </c>
      <c r="C258" s="2" t="str">
        <f>"FES1162727044"</f>
        <v>FES1162727044</v>
      </c>
      <c r="D258" s="2" t="s">
        <v>19</v>
      </c>
      <c r="E258" s="2" t="s">
        <v>101</v>
      </c>
      <c r="F258" s="2" t="str">
        <f>"2170720511 "</f>
        <v xml:space="preserve">2170720511 </v>
      </c>
      <c r="G258" s="2" t="str">
        <f t="shared" si="6"/>
        <v>ON1</v>
      </c>
      <c r="H258" s="2" t="s">
        <v>21</v>
      </c>
      <c r="I258" s="2" t="s">
        <v>102</v>
      </c>
      <c r="J258" s="2" t="str">
        <f>""</f>
        <v/>
      </c>
      <c r="K258" s="2" t="str">
        <f>"PFES1162727044_0001"</f>
        <v>PFES1162727044_0001</v>
      </c>
      <c r="L258" s="2">
        <v>1</v>
      </c>
      <c r="M258" s="2">
        <v>1</v>
      </c>
    </row>
    <row r="259" spans="1:13">
      <c r="A259" s="7">
        <v>43804</v>
      </c>
      <c r="B259" s="8">
        <v>0.63888888888888895</v>
      </c>
      <c r="C259" s="2" t="str">
        <f>"FES1162726909"</f>
        <v>FES1162726909</v>
      </c>
      <c r="D259" s="2" t="s">
        <v>19</v>
      </c>
      <c r="E259" s="2" t="s">
        <v>293</v>
      </c>
      <c r="F259" s="2" t="str">
        <f>"2170715350 "</f>
        <v xml:space="preserve">2170715350 </v>
      </c>
      <c r="G259" s="2" t="str">
        <f t="shared" si="6"/>
        <v>ON1</v>
      </c>
      <c r="H259" s="2" t="s">
        <v>21</v>
      </c>
      <c r="I259" s="2" t="s">
        <v>294</v>
      </c>
      <c r="J259" s="2" t="str">
        <f>""</f>
        <v/>
      </c>
      <c r="K259" s="2" t="str">
        <f>"PFES1162726909_0001"</f>
        <v>PFES1162726909_0001</v>
      </c>
      <c r="L259" s="2">
        <v>1</v>
      </c>
      <c r="M259" s="2">
        <v>11</v>
      </c>
    </row>
    <row r="260" spans="1:13">
      <c r="A260" s="7">
        <v>43804</v>
      </c>
      <c r="B260" s="8">
        <v>0.6381944444444444</v>
      </c>
      <c r="C260" s="2" t="str">
        <f>"FES1162726950"</f>
        <v>FES1162726950</v>
      </c>
      <c r="D260" s="2" t="s">
        <v>19</v>
      </c>
      <c r="E260" s="2" t="s">
        <v>124</v>
      </c>
      <c r="F260" s="2" t="str">
        <f>"2170720409 "</f>
        <v xml:space="preserve">2170720409 </v>
      </c>
      <c r="G260" s="2" t="str">
        <f t="shared" si="6"/>
        <v>ON1</v>
      </c>
      <c r="H260" s="2" t="s">
        <v>21</v>
      </c>
      <c r="I260" s="2" t="s">
        <v>125</v>
      </c>
      <c r="J260" s="2" t="str">
        <f>""</f>
        <v/>
      </c>
      <c r="K260" s="2" t="str">
        <f>"PFES1162726950_0001"</f>
        <v>PFES1162726950_0001</v>
      </c>
      <c r="L260" s="2">
        <v>1</v>
      </c>
      <c r="M260" s="2">
        <v>1</v>
      </c>
    </row>
    <row r="261" spans="1:13">
      <c r="A261" s="7">
        <v>43804</v>
      </c>
      <c r="B261" s="8">
        <v>0.63680555555555551</v>
      </c>
      <c r="C261" s="2" t="str">
        <f>"FES1162726738"</f>
        <v>FES1162726738</v>
      </c>
      <c r="D261" s="2" t="s">
        <v>19</v>
      </c>
      <c r="E261" s="2" t="s">
        <v>295</v>
      </c>
      <c r="F261" s="2" t="str">
        <f>"2170719730 "</f>
        <v xml:space="preserve">2170719730 </v>
      </c>
      <c r="G261" s="2" t="str">
        <f t="shared" si="6"/>
        <v>ON1</v>
      </c>
      <c r="H261" s="2" t="s">
        <v>21</v>
      </c>
      <c r="I261" s="2" t="s">
        <v>78</v>
      </c>
      <c r="J261" s="2" t="str">
        <f>""</f>
        <v/>
      </c>
      <c r="K261" s="2" t="str">
        <f>"PFES1162726738_0001"</f>
        <v>PFES1162726738_0001</v>
      </c>
      <c r="L261" s="2">
        <v>1</v>
      </c>
      <c r="M261" s="2">
        <v>1</v>
      </c>
    </row>
    <row r="262" spans="1:13">
      <c r="A262" s="7">
        <v>43804</v>
      </c>
      <c r="B262" s="8">
        <v>0.63680555555555551</v>
      </c>
      <c r="C262" s="2" t="str">
        <f>"FES1162726797"</f>
        <v>FES1162726797</v>
      </c>
      <c r="D262" s="2" t="s">
        <v>19</v>
      </c>
      <c r="E262" s="2" t="s">
        <v>260</v>
      </c>
      <c r="F262" s="2" t="str">
        <f>"2170720241 "</f>
        <v xml:space="preserve">2170720241 </v>
      </c>
      <c r="G262" s="2" t="str">
        <f t="shared" si="6"/>
        <v>ON1</v>
      </c>
      <c r="H262" s="2" t="s">
        <v>21</v>
      </c>
      <c r="I262" s="2" t="s">
        <v>216</v>
      </c>
      <c r="J262" s="2" t="str">
        <f>""</f>
        <v/>
      </c>
      <c r="K262" s="2" t="str">
        <f>"PFES1162726797_0001"</f>
        <v>PFES1162726797_0001</v>
      </c>
      <c r="L262" s="2">
        <v>1</v>
      </c>
      <c r="M262" s="2">
        <v>1</v>
      </c>
    </row>
    <row r="263" spans="1:13">
      <c r="A263" s="7">
        <v>43804</v>
      </c>
      <c r="B263" s="8">
        <v>0.63680555555555551</v>
      </c>
      <c r="C263" s="2" t="str">
        <f>"FES1162727018"</f>
        <v>FES1162727018</v>
      </c>
      <c r="D263" s="2" t="s">
        <v>19</v>
      </c>
      <c r="E263" s="2" t="s">
        <v>293</v>
      </c>
      <c r="F263" s="2" t="str">
        <f>"2170720453 "</f>
        <v xml:space="preserve">2170720453 </v>
      </c>
      <c r="G263" s="2" t="str">
        <f t="shared" si="6"/>
        <v>ON1</v>
      </c>
      <c r="H263" s="2" t="s">
        <v>21</v>
      </c>
      <c r="I263" s="2" t="s">
        <v>294</v>
      </c>
      <c r="J263" s="2" t="str">
        <f>""</f>
        <v/>
      </c>
      <c r="K263" s="2" t="str">
        <f>"PFES1162727018_0001"</f>
        <v>PFES1162727018_0001</v>
      </c>
      <c r="L263" s="2">
        <v>1</v>
      </c>
      <c r="M263" s="2">
        <v>4</v>
      </c>
    </row>
    <row r="264" spans="1:13">
      <c r="A264" s="7">
        <v>43804</v>
      </c>
      <c r="B264" s="8">
        <v>0.63611111111111118</v>
      </c>
      <c r="C264" s="2" t="str">
        <f>"FES1162726854"</f>
        <v>FES1162726854</v>
      </c>
      <c r="D264" s="2" t="s">
        <v>19</v>
      </c>
      <c r="E264" s="2" t="s">
        <v>260</v>
      </c>
      <c r="F264" s="2" t="str">
        <f>"2170715710 "</f>
        <v xml:space="preserve">2170715710 </v>
      </c>
      <c r="G264" s="2" t="str">
        <f t="shared" si="6"/>
        <v>ON1</v>
      </c>
      <c r="H264" s="2" t="s">
        <v>21</v>
      </c>
      <c r="I264" s="2" t="s">
        <v>216</v>
      </c>
      <c r="J264" s="2" t="str">
        <f>""</f>
        <v/>
      </c>
      <c r="K264" s="2" t="str">
        <f>"PFES1162726854_0001"</f>
        <v>PFES1162726854_0001</v>
      </c>
      <c r="L264" s="2">
        <v>1</v>
      </c>
      <c r="M264" s="2">
        <v>2</v>
      </c>
    </row>
    <row r="265" spans="1:13">
      <c r="A265" s="7">
        <v>43804</v>
      </c>
      <c r="B265" s="8">
        <v>0.63611111111111118</v>
      </c>
      <c r="C265" s="2" t="str">
        <f>"FES1162726645"</f>
        <v>FES1162726645</v>
      </c>
      <c r="D265" s="2" t="s">
        <v>19</v>
      </c>
      <c r="E265" s="2" t="s">
        <v>295</v>
      </c>
      <c r="F265" s="2" t="str">
        <f>"217020126 "</f>
        <v xml:space="preserve">217020126 </v>
      </c>
      <c r="G265" s="2" t="str">
        <f t="shared" si="6"/>
        <v>ON1</v>
      </c>
      <c r="H265" s="2" t="s">
        <v>21</v>
      </c>
      <c r="I265" s="2" t="s">
        <v>78</v>
      </c>
      <c r="J265" s="2" t="str">
        <f>""</f>
        <v/>
      </c>
      <c r="K265" s="2" t="str">
        <f>"PFES1162726645_0001"</f>
        <v>PFES1162726645_0001</v>
      </c>
      <c r="L265" s="2">
        <v>1</v>
      </c>
      <c r="M265" s="2">
        <v>2</v>
      </c>
    </row>
    <row r="266" spans="1:13">
      <c r="A266" s="7">
        <v>43804</v>
      </c>
      <c r="B266" s="8">
        <v>0.63541666666666663</v>
      </c>
      <c r="C266" s="2" t="str">
        <f>"FES1162727065"</f>
        <v>FES1162727065</v>
      </c>
      <c r="D266" s="2" t="s">
        <v>19</v>
      </c>
      <c r="E266" s="2" t="s">
        <v>124</v>
      </c>
      <c r="F266" s="2" t="str">
        <f>"2170719807 "</f>
        <v xml:space="preserve">2170719807 </v>
      </c>
      <c r="G266" s="2" t="str">
        <f t="shared" si="6"/>
        <v>ON1</v>
      </c>
      <c r="H266" s="2" t="s">
        <v>21</v>
      </c>
      <c r="I266" s="2" t="s">
        <v>125</v>
      </c>
      <c r="J266" s="2" t="str">
        <f>""</f>
        <v/>
      </c>
      <c r="K266" s="2" t="str">
        <f>"PFES1162727065_0001"</f>
        <v>PFES1162727065_0001</v>
      </c>
      <c r="L266" s="2">
        <v>1</v>
      </c>
      <c r="M266" s="2">
        <v>3</v>
      </c>
    </row>
    <row r="267" spans="1:13">
      <c r="A267" s="7">
        <v>43804</v>
      </c>
      <c r="B267" s="8">
        <v>0.63472222222222219</v>
      </c>
      <c r="C267" s="2" t="str">
        <f>"FES1162726776"</f>
        <v>FES1162726776</v>
      </c>
      <c r="D267" s="2" t="s">
        <v>19</v>
      </c>
      <c r="E267" s="2" t="s">
        <v>296</v>
      </c>
      <c r="F267" s="2" t="str">
        <f>"2170720220 "</f>
        <v xml:space="preserve">2170720220 </v>
      </c>
      <c r="G267" s="2" t="str">
        <f t="shared" si="6"/>
        <v>ON1</v>
      </c>
      <c r="H267" s="2" t="s">
        <v>21</v>
      </c>
      <c r="I267" s="2" t="s">
        <v>41</v>
      </c>
      <c r="J267" s="2" t="str">
        <f>""</f>
        <v/>
      </c>
      <c r="K267" s="2" t="str">
        <f>"PFES1162726776_0001"</f>
        <v>PFES1162726776_0001</v>
      </c>
      <c r="L267" s="2">
        <v>1</v>
      </c>
      <c r="M267" s="2">
        <v>3</v>
      </c>
    </row>
    <row r="268" spans="1:13">
      <c r="A268" s="7">
        <v>43804</v>
      </c>
      <c r="B268" s="8">
        <v>0.6333333333333333</v>
      </c>
      <c r="C268" s="2" t="str">
        <f>"FES1162726793"</f>
        <v>FES1162726793</v>
      </c>
      <c r="D268" s="2" t="s">
        <v>19</v>
      </c>
      <c r="E268" s="2" t="s">
        <v>260</v>
      </c>
      <c r="F268" s="2" t="str">
        <f>"217720239 "</f>
        <v xml:space="preserve">217720239 </v>
      </c>
      <c r="G268" s="2" t="str">
        <f>"DBC"</f>
        <v>DBC</v>
      </c>
      <c r="H268" s="2" t="s">
        <v>21</v>
      </c>
      <c r="I268" s="2" t="s">
        <v>216</v>
      </c>
      <c r="J268" s="2" t="str">
        <f>"OIL"</f>
        <v>OIL</v>
      </c>
      <c r="K268" s="2" t="str">
        <f>"PFES1162726793_0001"</f>
        <v>PFES1162726793_0001</v>
      </c>
      <c r="L268" s="2">
        <v>1</v>
      </c>
      <c r="M268" s="2">
        <v>5</v>
      </c>
    </row>
    <row r="269" spans="1:13">
      <c r="A269" s="7">
        <v>43804</v>
      </c>
      <c r="B269" s="8">
        <v>0.6333333333333333</v>
      </c>
      <c r="C269" s="2" t="str">
        <f>"FES1162726919"</f>
        <v>FES1162726919</v>
      </c>
      <c r="D269" s="2" t="s">
        <v>19</v>
      </c>
      <c r="E269" s="2" t="s">
        <v>297</v>
      </c>
      <c r="F269" s="2" t="str">
        <f>"2170715790 "</f>
        <v xml:space="preserve">2170715790 </v>
      </c>
      <c r="G269" s="2" t="str">
        <f t="shared" ref="G269:G277" si="7">"ON1"</f>
        <v>ON1</v>
      </c>
      <c r="H269" s="2" t="s">
        <v>21</v>
      </c>
      <c r="I269" s="2" t="s">
        <v>123</v>
      </c>
      <c r="J269" s="2" t="str">
        <f>""</f>
        <v/>
      </c>
      <c r="K269" s="2" t="str">
        <f>"PFES1162726919_0001"</f>
        <v>PFES1162726919_0001</v>
      </c>
      <c r="L269" s="2">
        <v>1</v>
      </c>
      <c r="M269" s="2">
        <v>5</v>
      </c>
    </row>
    <row r="270" spans="1:13">
      <c r="A270" s="7">
        <v>43804</v>
      </c>
      <c r="B270" s="8">
        <v>0.63194444444444442</v>
      </c>
      <c r="C270" s="2" t="str">
        <f>"FES1162726895"</f>
        <v>FES1162726895</v>
      </c>
      <c r="D270" s="2" t="s">
        <v>19</v>
      </c>
      <c r="E270" s="2" t="s">
        <v>298</v>
      </c>
      <c r="F270" s="2" t="str">
        <f>"2170720052 "</f>
        <v xml:space="preserve">2170720052 </v>
      </c>
      <c r="G270" s="2" t="str">
        <f t="shared" si="7"/>
        <v>ON1</v>
      </c>
      <c r="H270" s="2" t="s">
        <v>21</v>
      </c>
      <c r="I270" s="2" t="s">
        <v>136</v>
      </c>
      <c r="J270" s="2" t="str">
        <f>""</f>
        <v/>
      </c>
      <c r="K270" s="2" t="str">
        <f>"PFES1162726895_0001"</f>
        <v>PFES1162726895_0001</v>
      </c>
      <c r="L270" s="2">
        <v>1</v>
      </c>
      <c r="M270" s="2">
        <v>3</v>
      </c>
    </row>
    <row r="271" spans="1:13">
      <c r="A271" s="7">
        <v>43804</v>
      </c>
      <c r="B271" s="8">
        <v>0.6118055555555556</v>
      </c>
      <c r="C271" s="2" t="str">
        <f>"FES1162727010"</f>
        <v>FES1162727010</v>
      </c>
      <c r="D271" s="2" t="s">
        <v>19</v>
      </c>
      <c r="E271" s="2" t="s">
        <v>299</v>
      </c>
      <c r="F271" s="2" t="str">
        <f>"2170710466 "</f>
        <v xml:space="preserve">2170710466 </v>
      </c>
      <c r="G271" s="2" t="str">
        <f t="shared" si="7"/>
        <v>ON1</v>
      </c>
      <c r="H271" s="2" t="s">
        <v>21</v>
      </c>
      <c r="I271" s="2" t="s">
        <v>119</v>
      </c>
      <c r="J271" s="2" t="str">
        <f>""</f>
        <v/>
      </c>
      <c r="K271" s="2" t="str">
        <f>"PFES1162727010_0001"</f>
        <v>PFES1162727010_0001</v>
      </c>
      <c r="L271" s="2">
        <v>1</v>
      </c>
      <c r="M271" s="2">
        <v>3</v>
      </c>
    </row>
    <row r="272" spans="1:13">
      <c r="A272" s="7">
        <v>43804</v>
      </c>
      <c r="B272" s="8">
        <v>0.61111111111111105</v>
      </c>
      <c r="C272" s="2" t="str">
        <f>"FES1162727021"</f>
        <v>FES1162727021</v>
      </c>
      <c r="D272" s="2" t="s">
        <v>19</v>
      </c>
      <c r="E272" s="2" t="s">
        <v>300</v>
      </c>
      <c r="F272" s="2" t="str">
        <f>"2170720480 "</f>
        <v xml:space="preserve">2170720480 </v>
      </c>
      <c r="G272" s="2" t="str">
        <f t="shared" si="7"/>
        <v>ON1</v>
      </c>
      <c r="H272" s="2" t="s">
        <v>21</v>
      </c>
      <c r="I272" s="2" t="s">
        <v>72</v>
      </c>
      <c r="J272" s="2" t="str">
        <f>""</f>
        <v/>
      </c>
      <c r="K272" s="2" t="str">
        <f>"PFES1162727021_0001"</f>
        <v>PFES1162727021_0001</v>
      </c>
      <c r="L272" s="2">
        <v>1</v>
      </c>
      <c r="M272" s="2">
        <v>14</v>
      </c>
    </row>
    <row r="273" spans="1:13">
      <c r="A273" s="7">
        <v>43804</v>
      </c>
      <c r="B273" s="8">
        <v>0.61111111111111105</v>
      </c>
      <c r="C273" s="2" t="str">
        <f>"FES1162726643"</f>
        <v>FES1162726643</v>
      </c>
      <c r="D273" s="2" t="s">
        <v>19</v>
      </c>
      <c r="E273" s="2" t="s">
        <v>301</v>
      </c>
      <c r="F273" s="2" t="str">
        <f>"2170719742 "</f>
        <v xml:space="preserve">2170719742 </v>
      </c>
      <c r="G273" s="2" t="str">
        <f t="shared" si="7"/>
        <v>ON1</v>
      </c>
      <c r="H273" s="2" t="s">
        <v>21</v>
      </c>
      <c r="I273" s="2" t="s">
        <v>54</v>
      </c>
      <c r="J273" s="2" t="str">
        <f>""</f>
        <v/>
      </c>
      <c r="K273" s="2" t="str">
        <f>"PFES1162726643_0001"</f>
        <v>PFES1162726643_0001</v>
      </c>
      <c r="L273" s="2">
        <v>1</v>
      </c>
      <c r="M273" s="2">
        <v>5</v>
      </c>
    </row>
    <row r="274" spans="1:13">
      <c r="A274" s="7">
        <v>43804</v>
      </c>
      <c r="B274" s="8">
        <v>0.60902777777777783</v>
      </c>
      <c r="C274" s="2" t="str">
        <f>"FES1162726880"</f>
        <v>FES1162726880</v>
      </c>
      <c r="D274" s="2" t="s">
        <v>19</v>
      </c>
      <c r="E274" s="2" t="s">
        <v>291</v>
      </c>
      <c r="F274" s="2" t="str">
        <f>"21707120983 "</f>
        <v xml:space="preserve">21707120983 </v>
      </c>
      <c r="G274" s="2" t="str">
        <f t="shared" si="7"/>
        <v>ON1</v>
      </c>
      <c r="H274" s="2" t="s">
        <v>21</v>
      </c>
      <c r="I274" s="2" t="s">
        <v>41</v>
      </c>
      <c r="J274" s="2" t="str">
        <f>""</f>
        <v/>
      </c>
      <c r="K274" s="2" t="str">
        <f>"PFES1162726880_0001"</f>
        <v>PFES1162726880_0001</v>
      </c>
      <c r="L274" s="2">
        <v>1</v>
      </c>
      <c r="M274" s="2">
        <v>5</v>
      </c>
    </row>
    <row r="275" spans="1:13">
      <c r="A275" s="7">
        <v>43804</v>
      </c>
      <c r="B275" s="8">
        <v>0.60833333333333328</v>
      </c>
      <c r="C275" s="2" t="str">
        <f>"FES1162726204"</f>
        <v>FES1162726204</v>
      </c>
      <c r="D275" s="2" t="s">
        <v>19</v>
      </c>
      <c r="E275" s="2" t="s">
        <v>293</v>
      </c>
      <c r="F275" s="2" t="str">
        <f>"2170719396 "</f>
        <v xml:space="preserve">2170719396 </v>
      </c>
      <c r="G275" s="2" t="str">
        <f t="shared" si="7"/>
        <v>ON1</v>
      </c>
      <c r="H275" s="2" t="s">
        <v>21</v>
      </c>
      <c r="I275" s="2" t="s">
        <v>294</v>
      </c>
      <c r="J275" s="2" t="str">
        <f>""</f>
        <v/>
      </c>
      <c r="K275" s="2" t="str">
        <f>"PFES1162726204_0001"</f>
        <v>PFES1162726204_0001</v>
      </c>
      <c r="L275" s="2">
        <v>3</v>
      </c>
      <c r="M275" s="2">
        <v>16</v>
      </c>
    </row>
    <row r="276" spans="1:13">
      <c r="A276" s="7">
        <v>43804</v>
      </c>
      <c r="B276" s="8">
        <v>0.60833333333333328</v>
      </c>
      <c r="C276" s="2" t="str">
        <f>"FES1162726204"</f>
        <v>FES1162726204</v>
      </c>
      <c r="D276" s="2" t="s">
        <v>19</v>
      </c>
      <c r="E276" s="2" t="s">
        <v>293</v>
      </c>
      <c r="F276" s="2" t="str">
        <f t="shared" ref="F276:F277" si="8">"2170719396 "</f>
        <v xml:space="preserve">2170719396 </v>
      </c>
      <c r="G276" s="2" t="str">
        <f t="shared" si="7"/>
        <v>ON1</v>
      </c>
      <c r="H276" s="2" t="s">
        <v>21</v>
      </c>
      <c r="I276" s="2" t="s">
        <v>294</v>
      </c>
      <c r="J276" s="2"/>
      <c r="K276" s="2" t="str">
        <f>"PFES1162726204_0002"</f>
        <v>PFES1162726204_0002</v>
      </c>
      <c r="L276" s="2">
        <v>3</v>
      </c>
      <c r="M276" s="2">
        <v>16</v>
      </c>
    </row>
    <row r="277" spans="1:13">
      <c r="A277" s="7">
        <v>43804</v>
      </c>
      <c r="B277" s="8">
        <v>0.60833333333333328</v>
      </c>
      <c r="C277" s="2" t="str">
        <f>"FES1162726204"</f>
        <v>FES1162726204</v>
      </c>
      <c r="D277" s="2" t="s">
        <v>19</v>
      </c>
      <c r="E277" s="2" t="s">
        <v>293</v>
      </c>
      <c r="F277" s="2" t="str">
        <f t="shared" si="8"/>
        <v xml:space="preserve">2170719396 </v>
      </c>
      <c r="G277" s="2" t="str">
        <f t="shared" si="7"/>
        <v>ON1</v>
      </c>
      <c r="H277" s="2" t="s">
        <v>21</v>
      </c>
      <c r="I277" s="2" t="s">
        <v>294</v>
      </c>
      <c r="J277" s="2"/>
      <c r="K277" s="2" t="str">
        <f>"PFES1162726204_0003"</f>
        <v>PFES1162726204_0003</v>
      </c>
      <c r="L277" s="2">
        <v>3</v>
      </c>
      <c r="M277" s="2">
        <v>16</v>
      </c>
    </row>
    <row r="278" spans="1:13">
      <c r="A278" s="7">
        <v>43804</v>
      </c>
      <c r="B278" s="8">
        <v>0.60625000000000007</v>
      </c>
      <c r="C278" s="2" t="str">
        <f>"FES1162726897"</f>
        <v>FES1162726897</v>
      </c>
      <c r="D278" s="2" t="s">
        <v>19</v>
      </c>
      <c r="E278" s="2" t="s">
        <v>302</v>
      </c>
      <c r="F278" s="2" t="str">
        <f>"2170720121 "</f>
        <v xml:space="preserve">2170720121 </v>
      </c>
      <c r="G278" s="2" t="str">
        <f>"ON1"</f>
        <v>ON1</v>
      </c>
      <c r="H278" s="2" t="s">
        <v>21</v>
      </c>
      <c r="I278" s="2" t="s">
        <v>102</v>
      </c>
      <c r="J278" s="2" t="str">
        <f>"PLS EARLY DELIVERY BY 8:30AM"</f>
        <v>PLS EARLY DELIVERY BY 8:30AM</v>
      </c>
      <c r="K278" s="2" t="str">
        <f>"PFES1162726897_0001"</f>
        <v>PFES1162726897_0001</v>
      </c>
      <c r="L278" s="2">
        <v>1</v>
      </c>
      <c r="M278" s="2">
        <v>1</v>
      </c>
    </row>
    <row r="279" spans="1:13">
      <c r="A279" s="7">
        <v>43804</v>
      </c>
      <c r="B279" s="8">
        <v>0.59236111111111112</v>
      </c>
      <c r="C279" s="2" t="str">
        <f>"FES1162726741"</f>
        <v>FES1162726741</v>
      </c>
      <c r="D279" s="2" t="s">
        <v>19</v>
      </c>
      <c r="E279" s="2" t="s">
        <v>303</v>
      </c>
      <c r="F279" s="2" t="str">
        <f>"2170710040 "</f>
        <v xml:space="preserve">2170710040 </v>
      </c>
      <c r="G279" s="2" t="str">
        <f>"ON1"</f>
        <v>ON1</v>
      </c>
      <c r="H279" s="2" t="s">
        <v>21</v>
      </c>
      <c r="I279" s="2" t="s">
        <v>304</v>
      </c>
      <c r="J279" s="2" t="str">
        <f>""</f>
        <v/>
      </c>
      <c r="K279" s="2" t="str">
        <f>"PFES1162726741_0001"</f>
        <v>PFES1162726741_0001</v>
      </c>
      <c r="L279" s="2">
        <v>2</v>
      </c>
      <c r="M279" s="2">
        <v>7</v>
      </c>
    </row>
    <row r="280" spans="1:13">
      <c r="A280" s="7">
        <v>43804</v>
      </c>
      <c r="B280" s="8">
        <v>0.59236111111111112</v>
      </c>
      <c r="C280" s="2" t="str">
        <f>"FES1162726741"</f>
        <v>FES1162726741</v>
      </c>
      <c r="D280" s="2" t="s">
        <v>19</v>
      </c>
      <c r="E280" s="2" t="s">
        <v>303</v>
      </c>
      <c r="F280" s="2" t="str">
        <f>"2170710040 "</f>
        <v xml:space="preserve">2170710040 </v>
      </c>
      <c r="G280" s="2" t="str">
        <f>"ON1"</f>
        <v>ON1</v>
      </c>
      <c r="H280" s="2" t="s">
        <v>21</v>
      </c>
      <c r="I280" s="2" t="s">
        <v>304</v>
      </c>
      <c r="J280" s="2"/>
      <c r="K280" s="2" t="str">
        <f>"PFES1162726741_0002"</f>
        <v>PFES1162726741_0002</v>
      </c>
      <c r="L280" s="2">
        <v>2</v>
      </c>
      <c r="M280" s="2">
        <v>7</v>
      </c>
    </row>
    <row r="281" spans="1:13">
      <c r="A281" s="7">
        <v>43804</v>
      </c>
      <c r="B281" s="8">
        <v>0.59027777777777779</v>
      </c>
      <c r="C281" s="2" t="str">
        <f>"FES1162726633"</f>
        <v>FES1162726633</v>
      </c>
      <c r="D281" s="2" t="s">
        <v>19</v>
      </c>
      <c r="E281" s="2" t="s">
        <v>295</v>
      </c>
      <c r="F281" s="2" t="str">
        <f>"21707198036 "</f>
        <v xml:space="preserve">21707198036 </v>
      </c>
      <c r="G281" s="2" t="str">
        <f>"DBC"</f>
        <v>DBC</v>
      </c>
      <c r="H281" s="2" t="s">
        <v>21</v>
      </c>
      <c r="I281" s="2" t="s">
        <v>78</v>
      </c>
      <c r="J281" s="2" t="str">
        <f>""</f>
        <v/>
      </c>
      <c r="K281" s="2" t="str">
        <f>"PFES1162726633_0001"</f>
        <v>PFES1162726633_0001</v>
      </c>
      <c r="L281" s="2">
        <v>1</v>
      </c>
      <c r="M281" s="2">
        <v>26</v>
      </c>
    </row>
    <row r="282" spans="1:13">
      <c r="A282" s="7">
        <v>43804</v>
      </c>
      <c r="B282" s="8">
        <v>0.57847222222222217</v>
      </c>
      <c r="C282" s="2" t="str">
        <f>"FES1162726582"</f>
        <v>FES1162726582</v>
      </c>
      <c r="D282" s="2" t="s">
        <v>19</v>
      </c>
      <c r="E282" s="2" t="s">
        <v>124</v>
      </c>
      <c r="F282" s="2" t="str">
        <f>"2170720054 "</f>
        <v xml:space="preserve">2170720054 </v>
      </c>
      <c r="G282" s="2" t="str">
        <f t="shared" ref="G282:G290" si="9">"ON1"</f>
        <v>ON1</v>
      </c>
      <c r="H282" s="2" t="s">
        <v>21</v>
      </c>
      <c r="I282" s="2" t="s">
        <v>125</v>
      </c>
      <c r="J282" s="2" t="str">
        <f>""</f>
        <v/>
      </c>
      <c r="K282" s="2" t="str">
        <f>"PFES1162726582_0001"</f>
        <v>PFES1162726582_0001</v>
      </c>
      <c r="L282" s="2">
        <v>1</v>
      </c>
      <c r="M282" s="2">
        <v>1</v>
      </c>
    </row>
    <row r="283" spans="1:13">
      <c r="A283" s="7">
        <v>43804</v>
      </c>
      <c r="B283" s="8">
        <v>0.57777777777777783</v>
      </c>
      <c r="C283" s="2" t="str">
        <f>"FES1162727034"</f>
        <v>FES1162727034</v>
      </c>
      <c r="D283" s="2" t="s">
        <v>19</v>
      </c>
      <c r="E283" s="2" t="s">
        <v>82</v>
      </c>
      <c r="F283" s="2" t="str">
        <f>"2170720495 "</f>
        <v xml:space="preserve">2170720495 </v>
      </c>
      <c r="G283" s="2" t="str">
        <f t="shared" si="9"/>
        <v>ON1</v>
      </c>
      <c r="H283" s="2" t="s">
        <v>21</v>
      </c>
      <c r="I283" s="2" t="s">
        <v>72</v>
      </c>
      <c r="J283" s="2" t="str">
        <f>""</f>
        <v/>
      </c>
      <c r="K283" s="2" t="str">
        <f>"PFES1162727034_0001"</f>
        <v>PFES1162727034_0001</v>
      </c>
      <c r="L283" s="2">
        <v>1</v>
      </c>
      <c r="M283" s="2">
        <v>1</v>
      </c>
    </row>
    <row r="284" spans="1:13">
      <c r="A284" s="7">
        <v>43804</v>
      </c>
      <c r="B284" s="8">
        <v>0.57708333333333328</v>
      </c>
      <c r="C284" s="2" t="str">
        <f>"FES1162726924"</f>
        <v>FES1162726924</v>
      </c>
      <c r="D284" s="2" t="s">
        <v>19</v>
      </c>
      <c r="E284" s="2" t="s">
        <v>305</v>
      </c>
      <c r="F284" s="2" t="str">
        <f>"2170720059 "</f>
        <v xml:space="preserve">2170720059 </v>
      </c>
      <c r="G284" s="2" t="str">
        <f t="shared" si="9"/>
        <v>ON1</v>
      </c>
      <c r="H284" s="2" t="s">
        <v>21</v>
      </c>
      <c r="I284" s="2" t="s">
        <v>306</v>
      </c>
      <c r="J284" s="2" t="str">
        <f>""</f>
        <v/>
      </c>
      <c r="K284" s="2" t="str">
        <f>"PFES1162726924_0001"</f>
        <v>PFES1162726924_0001</v>
      </c>
      <c r="L284" s="2">
        <v>1</v>
      </c>
      <c r="M284" s="2">
        <v>1</v>
      </c>
    </row>
    <row r="285" spans="1:13">
      <c r="A285" s="7">
        <v>43804</v>
      </c>
      <c r="B285" s="8">
        <v>0.57638888888888895</v>
      </c>
      <c r="C285" s="2" t="str">
        <f>"FES1162726907"</f>
        <v>FES1162726907</v>
      </c>
      <c r="D285" s="2" t="s">
        <v>19</v>
      </c>
      <c r="E285" s="2" t="s">
        <v>307</v>
      </c>
      <c r="F285" s="2" t="str">
        <f>"2170720348 "</f>
        <v xml:space="preserve">2170720348 </v>
      </c>
      <c r="G285" s="2" t="str">
        <f t="shared" si="9"/>
        <v>ON1</v>
      </c>
      <c r="H285" s="2" t="s">
        <v>21</v>
      </c>
      <c r="I285" s="2" t="s">
        <v>308</v>
      </c>
      <c r="J285" s="2" t="str">
        <f>""</f>
        <v/>
      </c>
      <c r="K285" s="2" t="str">
        <f>"PFES1162726907_0001"</f>
        <v>PFES1162726907_0001</v>
      </c>
      <c r="L285" s="2">
        <v>1</v>
      </c>
      <c r="M285" s="2">
        <v>1</v>
      </c>
    </row>
    <row r="286" spans="1:13">
      <c r="A286" s="7">
        <v>43804</v>
      </c>
      <c r="B286" s="8">
        <v>0.5756944444444444</v>
      </c>
      <c r="C286" s="2" t="str">
        <f>"FES1162726908"</f>
        <v>FES1162726908</v>
      </c>
      <c r="D286" s="2" t="s">
        <v>19</v>
      </c>
      <c r="E286" s="2" t="s">
        <v>226</v>
      </c>
      <c r="F286" s="2" t="str">
        <f>"2170720349 "</f>
        <v xml:space="preserve">2170720349 </v>
      </c>
      <c r="G286" s="2" t="str">
        <f t="shared" si="9"/>
        <v>ON1</v>
      </c>
      <c r="H286" s="2" t="s">
        <v>21</v>
      </c>
      <c r="I286" s="2" t="s">
        <v>227</v>
      </c>
      <c r="J286" s="2" t="str">
        <f>""</f>
        <v/>
      </c>
      <c r="K286" s="2" t="str">
        <f>"PFES1162726908_0001"</f>
        <v>PFES1162726908_0001</v>
      </c>
      <c r="L286" s="2">
        <v>1</v>
      </c>
      <c r="M286" s="2">
        <v>1</v>
      </c>
    </row>
    <row r="287" spans="1:13">
      <c r="A287" s="7">
        <v>43804</v>
      </c>
      <c r="B287" s="8">
        <v>0.57291666666666663</v>
      </c>
      <c r="C287" s="2" t="str">
        <f>"FES1162726979"</f>
        <v>FES1162726979</v>
      </c>
      <c r="D287" s="2" t="s">
        <v>19</v>
      </c>
      <c r="E287" s="2" t="s">
        <v>309</v>
      </c>
      <c r="F287" s="2" t="str">
        <f>"2170720242 "</f>
        <v xml:space="preserve">2170720242 </v>
      </c>
      <c r="G287" s="2" t="str">
        <f t="shared" si="9"/>
        <v>ON1</v>
      </c>
      <c r="H287" s="2" t="s">
        <v>21</v>
      </c>
      <c r="I287" s="2" t="s">
        <v>235</v>
      </c>
      <c r="J287" s="2" t="str">
        <f>""</f>
        <v/>
      </c>
      <c r="K287" s="2" t="str">
        <f>"PFES1162726979_0001"</f>
        <v>PFES1162726979_0001</v>
      </c>
      <c r="L287" s="2">
        <v>1</v>
      </c>
      <c r="M287" s="2">
        <v>1</v>
      </c>
    </row>
    <row r="288" spans="1:13">
      <c r="A288" s="7">
        <v>43804</v>
      </c>
      <c r="B288" s="8">
        <v>0.56597222222222221</v>
      </c>
      <c r="C288" s="2" t="str">
        <f>"FES1162726881"</f>
        <v>FES1162726881</v>
      </c>
      <c r="D288" s="2" t="s">
        <v>19</v>
      </c>
      <c r="E288" s="2" t="s">
        <v>310</v>
      </c>
      <c r="F288" s="2" t="str">
        <f>"217071308 "</f>
        <v xml:space="preserve">217071308 </v>
      </c>
      <c r="G288" s="2" t="str">
        <f t="shared" si="9"/>
        <v>ON1</v>
      </c>
      <c r="H288" s="2" t="s">
        <v>21</v>
      </c>
      <c r="I288" s="2" t="s">
        <v>294</v>
      </c>
      <c r="J288" s="2" t="str">
        <f>""</f>
        <v/>
      </c>
      <c r="K288" s="2" t="str">
        <f>"PFES1162726881_0001"</f>
        <v>PFES1162726881_0001</v>
      </c>
      <c r="L288" s="2">
        <v>1</v>
      </c>
      <c r="M288" s="2">
        <v>2</v>
      </c>
    </row>
    <row r="289" spans="1:13">
      <c r="A289" s="7">
        <v>43804</v>
      </c>
      <c r="B289" s="8">
        <v>0.56527777777777777</v>
      </c>
      <c r="C289" s="2" t="str">
        <f>"FES1162726929"</f>
        <v>FES1162726929</v>
      </c>
      <c r="D289" s="2" t="s">
        <v>19</v>
      </c>
      <c r="E289" s="2" t="s">
        <v>311</v>
      </c>
      <c r="F289" s="2" t="str">
        <f>"2170720382 "</f>
        <v xml:space="preserve">2170720382 </v>
      </c>
      <c r="G289" s="2" t="str">
        <f t="shared" si="9"/>
        <v>ON1</v>
      </c>
      <c r="H289" s="2" t="s">
        <v>21</v>
      </c>
      <c r="I289" s="2" t="s">
        <v>312</v>
      </c>
      <c r="J289" s="2" t="str">
        <f>""</f>
        <v/>
      </c>
      <c r="K289" s="2" t="str">
        <f>"PFES1162726929_0001"</f>
        <v>PFES1162726929_0001</v>
      </c>
      <c r="L289" s="2">
        <v>1</v>
      </c>
      <c r="M289" s="2">
        <v>5</v>
      </c>
    </row>
    <row r="290" spans="1:13">
      <c r="A290" s="7">
        <v>43804</v>
      </c>
      <c r="B290" s="8">
        <v>0.56527777777777777</v>
      </c>
      <c r="C290" s="2" t="str">
        <f>"FES1162726913"</f>
        <v>FES1162726913</v>
      </c>
      <c r="D290" s="2" t="s">
        <v>19</v>
      </c>
      <c r="E290" s="2" t="s">
        <v>313</v>
      </c>
      <c r="F290" s="2" t="str">
        <f>"21707120311 "</f>
        <v xml:space="preserve">21707120311 </v>
      </c>
      <c r="G290" s="2" t="str">
        <f t="shared" si="9"/>
        <v>ON1</v>
      </c>
      <c r="H290" s="2" t="s">
        <v>21</v>
      </c>
      <c r="I290" s="2" t="s">
        <v>314</v>
      </c>
      <c r="J290" s="2" t="str">
        <f>""</f>
        <v/>
      </c>
      <c r="K290" s="2" t="str">
        <f>"PFES1162726913_0001"</f>
        <v>PFES1162726913_0001</v>
      </c>
      <c r="L290" s="2">
        <v>1</v>
      </c>
      <c r="M290" s="2">
        <v>7</v>
      </c>
    </row>
    <row r="291" spans="1:13">
      <c r="A291" s="7">
        <v>43804</v>
      </c>
      <c r="B291" s="8">
        <v>0.55833333333333335</v>
      </c>
      <c r="C291" s="2" t="str">
        <f>"FES1162726947"</f>
        <v>FES1162726947</v>
      </c>
      <c r="D291" s="2" t="s">
        <v>19</v>
      </c>
      <c r="E291" s="2" t="s">
        <v>69</v>
      </c>
      <c r="F291" s="2" t="str">
        <f>"2017072049 "</f>
        <v xml:space="preserve">2017072049 </v>
      </c>
      <c r="G291" s="2" t="str">
        <f>"DBC"</f>
        <v>DBC</v>
      </c>
      <c r="H291" s="2" t="s">
        <v>21</v>
      </c>
      <c r="I291" s="2" t="s">
        <v>70</v>
      </c>
      <c r="J291" s="2" t="str">
        <f>""</f>
        <v/>
      </c>
      <c r="K291" s="2" t="str">
        <f>"PFES1162726947_0001"</f>
        <v>PFES1162726947_0001</v>
      </c>
      <c r="L291" s="2">
        <v>1</v>
      </c>
      <c r="M291" s="2">
        <v>20</v>
      </c>
    </row>
    <row r="292" spans="1:13">
      <c r="A292" s="7">
        <v>43804</v>
      </c>
      <c r="B292" s="8">
        <v>0.55833333333333335</v>
      </c>
      <c r="C292" s="2" t="str">
        <f>"FES1162726964"</f>
        <v>FES1162726964</v>
      </c>
      <c r="D292" s="2" t="s">
        <v>19</v>
      </c>
      <c r="E292" s="2" t="s">
        <v>315</v>
      </c>
      <c r="F292" s="2" t="str">
        <f>"2170720429 "</f>
        <v xml:space="preserve">2170720429 </v>
      </c>
      <c r="G292" s="2" t="str">
        <f t="shared" ref="G292:G317" si="10">"ON1"</f>
        <v>ON1</v>
      </c>
      <c r="H292" s="2" t="s">
        <v>21</v>
      </c>
      <c r="I292" s="2" t="s">
        <v>54</v>
      </c>
      <c r="J292" s="2" t="str">
        <f>""</f>
        <v/>
      </c>
      <c r="K292" s="2" t="str">
        <f>"PFES1162726964_0001"</f>
        <v>PFES1162726964_0001</v>
      </c>
      <c r="L292" s="2">
        <v>1</v>
      </c>
      <c r="M292" s="2">
        <v>1</v>
      </c>
    </row>
    <row r="293" spans="1:13">
      <c r="A293" s="7">
        <v>43804</v>
      </c>
      <c r="B293" s="8">
        <v>0.55763888888888891</v>
      </c>
      <c r="C293" s="2" t="str">
        <f>"FES1162726940"</f>
        <v>FES1162726940</v>
      </c>
      <c r="D293" s="2" t="s">
        <v>19</v>
      </c>
      <c r="E293" s="2" t="s">
        <v>258</v>
      </c>
      <c r="F293" s="2" t="str">
        <f>"21707240400 "</f>
        <v xml:space="preserve">21707240400 </v>
      </c>
      <c r="G293" s="2" t="str">
        <f t="shared" si="10"/>
        <v>ON1</v>
      </c>
      <c r="H293" s="2" t="s">
        <v>21</v>
      </c>
      <c r="I293" s="2" t="s">
        <v>257</v>
      </c>
      <c r="J293" s="2" t="str">
        <f>""</f>
        <v/>
      </c>
      <c r="K293" s="2" t="str">
        <f>"PFES1162726940_0001"</f>
        <v>PFES1162726940_0001</v>
      </c>
      <c r="L293" s="2">
        <v>1</v>
      </c>
      <c r="M293" s="2">
        <v>1</v>
      </c>
    </row>
    <row r="294" spans="1:13">
      <c r="A294" s="7">
        <v>43804</v>
      </c>
      <c r="B294" s="8">
        <v>0.55763888888888891</v>
      </c>
      <c r="C294" s="2" t="str">
        <f>"FES1162727014"</f>
        <v>FES1162727014</v>
      </c>
      <c r="D294" s="2" t="s">
        <v>19</v>
      </c>
      <c r="E294" s="2" t="s">
        <v>142</v>
      </c>
      <c r="F294" s="2" t="str">
        <f>"217071473 "</f>
        <v xml:space="preserve">217071473 </v>
      </c>
      <c r="G294" s="2" t="str">
        <f t="shared" si="10"/>
        <v>ON1</v>
      </c>
      <c r="H294" s="2" t="s">
        <v>21</v>
      </c>
      <c r="I294" s="2" t="s">
        <v>37</v>
      </c>
      <c r="J294" s="2" t="str">
        <f>""</f>
        <v/>
      </c>
      <c r="K294" s="2" t="str">
        <f>"PFES1162727014_0001"</f>
        <v>PFES1162727014_0001</v>
      </c>
      <c r="L294" s="2">
        <v>1</v>
      </c>
      <c r="M294" s="2">
        <v>2</v>
      </c>
    </row>
    <row r="295" spans="1:13">
      <c r="A295" s="7">
        <v>43804</v>
      </c>
      <c r="B295" s="8">
        <v>0.55694444444444446</v>
      </c>
      <c r="C295" s="2" t="str">
        <f>"FES1162727006"</f>
        <v>FES1162727006</v>
      </c>
      <c r="D295" s="2" t="s">
        <v>19</v>
      </c>
      <c r="E295" s="2" t="s">
        <v>151</v>
      </c>
      <c r="F295" s="2" t="str">
        <f>"2170720464 "</f>
        <v xml:space="preserve">2170720464 </v>
      </c>
      <c r="G295" s="2" t="str">
        <f t="shared" si="10"/>
        <v>ON1</v>
      </c>
      <c r="H295" s="2" t="s">
        <v>21</v>
      </c>
      <c r="I295" s="2" t="s">
        <v>152</v>
      </c>
      <c r="J295" s="2" t="str">
        <f>""</f>
        <v/>
      </c>
      <c r="K295" s="2" t="str">
        <f>"PFES1162727006_0001"</f>
        <v>PFES1162727006_0001</v>
      </c>
      <c r="L295" s="2">
        <v>1</v>
      </c>
      <c r="M295" s="2">
        <v>2</v>
      </c>
    </row>
    <row r="296" spans="1:13">
      <c r="A296" s="7">
        <v>43804</v>
      </c>
      <c r="B296" s="8">
        <v>0.55694444444444446</v>
      </c>
      <c r="C296" s="2" t="str">
        <f>"FES1162726614"</f>
        <v>FES1162726614</v>
      </c>
      <c r="D296" s="2" t="s">
        <v>19</v>
      </c>
      <c r="E296" s="2" t="s">
        <v>271</v>
      </c>
      <c r="F296" s="2" t="str">
        <f>"21707120092 "</f>
        <v xml:space="preserve">21707120092 </v>
      </c>
      <c r="G296" s="2" t="str">
        <f t="shared" si="10"/>
        <v>ON1</v>
      </c>
      <c r="H296" s="2" t="s">
        <v>21</v>
      </c>
      <c r="I296" s="2" t="s">
        <v>272</v>
      </c>
      <c r="J296" s="2" t="str">
        <f>""</f>
        <v/>
      </c>
      <c r="K296" s="2" t="str">
        <f>"PFES1162726614_0001"</f>
        <v>PFES1162726614_0001</v>
      </c>
      <c r="L296" s="2">
        <v>1</v>
      </c>
      <c r="M296" s="2">
        <v>13</v>
      </c>
    </row>
    <row r="297" spans="1:13">
      <c r="A297" s="7">
        <v>43804</v>
      </c>
      <c r="B297" s="8">
        <v>0.5541666666666667</v>
      </c>
      <c r="C297" s="2" t="str">
        <f>"FES1162726900"</f>
        <v>FES1162726900</v>
      </c>
      <c r="D297" s="2" t="s">
        <v>19</v>
      </c>
      <c r="E297" s="2" t="s">
        <v>316</v>
      </c>
      <c r="F297" s="2" t="str">
        <f>"2170720338 "</f>
        <v xml:space="preserve">2170720338 </v>
      </c>
      <c r="G297" s="2" t="str">
        <f t="shared" si="10"/>
        <v>ON1</v>
      </c>
      <c r="H297" s="2" t="s">
        <v>21</v>
      </c>
      <c r="I297" s="2" t="s">
        <v>317</v>
      </c>
      <c r="J297" s="2" t="str">
        <f>""</f>
        <v/>
      </c>
      <c r="K297" s="2" t="str">
        <f>"PFES1162726900_0001"</f>
        <v>PFES1162726900_0001</v>
      </c>
      <c r="L297" s="2">
        <v>1</v>
      </c>
      <c r="M297" s="2">
        <v>2</v>
      </c>
    </row>
    <row r="298" spans="1:13">
      <c r="A298" s="7">
        <v>43804</v>
      </c>
      <c r="B298" s="8">
        <v>0.5541666666666667</v>
      </c>
      <c r="C298" s="2" t="str">
        <f>"FES1162726986"</f>
        <v>FES1162726986</v>
      </c>
      <c r="D298" s="2" t="s">
        <v>19</v>
      </c>
      <c r="E298" s="2" t="s">
        <v>269</v>
      </c>
      <c r="F298" s="2" t="str">
        <f>"21707120121 "</f>
        <v xml:space="preserve">21707120121 </v>
      </c>
      <c r="G298" s="2" t="str">
        <f t="shared" si="10"/>
        <v>ON1</v>
      </c>
      <c r="H298" s="2" t="s">
        <v>21</v>
      </c>
      <c r="I298" s="2" t="s">
        <v>270</v>
      </c>
      <c r="J298" s="2" t="str">
        <f>""</f>
        <v/>
      </c>
      <c r="K298" s="2" t="str">
        <f>"PFES1162726986_0001"</f>
        <v>PFES1162726986_0001</v>
      </c>
      <c r="L298" s="2">
        <v>1</v>
      </c>
      <c r="M298" s="2">
        <v>3</v>
      </c>
    </row>
    <row r="299" spans="1:13">
      <c r="A299" s="7">
        <v>43804</v>
      </c>
      <c r="B299" s="8">
        <v>0.55347222222222225</v>
      </c>
      <c r="C299" s="2" t="str">
        <f>"FES1162726956"</f>
        <v>FES1162726956</v>
      </c>
      <c r="D299" s="2" t="s">
        <v>19</v>
      </c>
      <c r="E299" s="2" t="s">
        <v>24</v>
      </c>
      <c r="F299" s="2" t="str">
        <f>"21707120421 "</f>
        <v xml:space="preserve">21707120421 </v>
      </c>
      <c r="G299" s="2" t="str">
        <f t="shared" si="10"/>
        <v>ON1</v>
      </c>
      <c r="H299" s="2" t="s">
        <v>21</v>
      </c>
      <c r="I299" s="2" t="s">
        <v>25</v>
      </c>
      <c r="J299" s="2" t="str">
        <f>""</f>
        <v/>
      </c>
      <c r="K299" s="2" t="str">
        <f>"PFES1162726956_0001"</f>
        <v>PFES1162726956_0001</v>
      </c>
      <c r="L299" s="2">
        <v>1</v>
      </c>
      <c r="M299" s="2">
        <v>5</v>
      </c>
    </row>
    <row r="300" spans="1:13">
      <c r="A300" s="7">
        <v>43804</v>
      </c>
      <c r="B300" s="8">
        <v>0.55347222222222225</v>
      </c>
      <c r="C300" s="2" t="str">
        <f>"FES1162726996"</f>
        <v>FES1162726996</v>
      </c>
      <c r="D300" s="2" t="s">
        <v>19</v>
      </c>
      <c r="E300" s="2" t="s">
        <v>154</v>
      </c>
      <c r="F300" s="2" t="str">
        <f>"2170710451 "</f>
        <v xml:space="preserve">2170710451 </v>
      </c>
      <c r="G300" s="2" t="str">
        <f t="shared" si="10"/>
        <v>ON1</v>
      </c>
      <c r="H300" s="2" t="s">
        <v>21</v>
      </c>
      <c r="I300" s="2" t="s">
        <v>155</v>
      </c>
      <c r="J300" s="2" t="str">
        <f>""</f>
        <v/>
      </c>
      <c r="K300" s="2" t="str">
        <f>"PFES1162726996_0001"</f>
        <v>PFES1162726996_0001</v>
      </c>
      <c r="L300" s="2">
        <v>1</v>
      </c>
      <c r="M300" s="2">
        <v>2</v>
      </c>
    </row>
    <row r="301" spans="1:13">
      <c r="A301" s="7">
        <v>43804</v>
      </c>
      <c r="B301" s="8">
        <v>0.55277777777777781</v>
      </c>
      <c r="C301" s="2" t="str">
        <f>"FES1162726962"</f>
        <v>FES1162726962</v>
      </c>
      <c r="D301" s="2" t="s">
        <v>19</v>
      </c>
      <c r="E301" s="2" t="s">
        <v>34</v>
      </c>
      <c r="F301" s="2" t="str">
        <f>"21707120424 "</f>
        <v xml:space="preserve">21707120424 </v>
      </c>
      <c r="G301" s="2" t="str">
        <f t="shared" si="10"/>
        <v>ON1</v>
      </c>
      <c r="H301" s="2" t="s">
        <v>21</v>
      </c>
      <c r="I301" s="2" t="s">
        <v>35</v>
      </c>
      <c r="J301" s="2" t="str">
        <f>""</f>
        <v/>
      </c>
      <c r="K301" s="2" t="str">
        <f>"PFES1162726962_0001"</f>
        <v>PFES1162726962_0001</v>
      </c>
      <c r="L301" s="2">
        <v>1</v>
      </c>
      <c r="M301" s="2">
        <v>3</v>
      </c>
    </row>
    <row r="302" spans="1:13">
      <c r="A302" s="7">
        <v>43804</v>
      </c>
      <c r="B302" s="8">
        <v>0.55208333333333337</v>
      </c>
      <c r="C302" s="2" t="str">
        <f>"FES1162726858"</f>
        <v>FES1162726858</v>
      </c>
      <c r="D302" s="2" t="s">
        <v>19</v>
      </c>
      <c r="E302" s="2" t="s">
        <v>318</v>
      </c>
      <c r="F302" s="2" t="str">
        <f>"2170718958 "</f>
        <v xml:space="preserve">2170718958 </v>
      </c>
      <c r="G302" s="2" t="str">
        <f t="shared" si="10"/>
        <v>ON1</v>
      </c>
      <c r="H302" s="2" t="s">
        <v>21</v>
      </c>
      <c r="I302" s="2" t="s">
        <v>246</v>
      </c>
      <c r="J302" s="2" t="str">
        <f>""</f>
        <v/>
      </c>
      <c r="K302" s="2" t="str">
        <f>"PFES1162726858_0001"</f>
        <v>PFES1162726858_0001</v>
      </c>
      <c r="L302" s="2">
        <v>1</v>
      </c>
      <c r="M302" s="2">
        <v>18</v>
      </c>
    </row>
    <row r="303" spans="1:13">
      <c r="A303" s="7">
        <v>43804</v>
      </c>
      <c r="B303" s="8">
        <v>0.55208333333333337</v>
      </c>
      <c r="C303" s="2" t="str">
        <f>"FES162726617"</f>
        <v>FES162726617</v>
      </c>
      <c r="D303" s="2" t="s">
        <v>19</v>
      </c>
      <c r="E303" s="2" t="s">
        <v>292</v>
      </c>
      <c r="F303" s="2" t="str">
        <f>"21707120097 "</f>
        <v xml:space="preserve">21707120097 </v>
      </c>
      <c r="G303" s="2" t="str">
        <f t="shared" si="10"/>
        <v>ON1</v>
      </c>
      <c r="H303" s="2" t="s">
        <v>21</v>
      </c>
      <c r="I303" s="2" t="s">
        <v>78</v>
      </c>
      <c r="J303" s="2" t="str">
        <f>""</f>
        <v/>
      </c>
      <c r="K303" s="2" t="str">
        <f>"PFES162726617_0001"</f>
        <v>PFES162726617_0001</v>
      </c>
      <c r="L303" s="2">
        <v>1</v>
      </c>
      <c r="M303" s="2">
        <v>9</v>
      </c>
    </row>
    <row r="304" spans="1:13">
      <c r="A304" s="7">
        <v>43804</v>
      </c>
      <c r="B304" s="8">
        <v>0.55138888888888882</v>
      </c>
      <c r="C304" s="2" t="str">
        <f>"FES1162726958"</f>
        <v>FES1162726958</v>
      </c>
      <c r="D304" s="2" t="s">
        <v>19</v>
      </c>
      <c r="E304" s="2" t="s">
        <v>319</v>
      </c>
      <c r="F304" s="2" t="str">
        <f>"217071201796 "</f>
        <v xml:space="preserve">217071201796 </v>
      </c>
      <c r="G304" s="2" t="str">
        <f t="shared" si="10"/>
        <v>ON1</v>
      </c>
      <c r="H304" s="2" t="s">
        <v>21</v>
      </c>
      <c r="I304" s="2" t="s">
        <v>320</v>
      </c>
      <c r="J304" s="2" t="str">
        <f>""</f>
        <v/>
      </c>
      <c r="K304" s="2" t="str">
        <f>"PFES1162726958_0001"</f>
        <v>PFES1162726958_0001</v>
      </c>
      <c r="L304" s="2">
        <v>1</v>
      </c>
      <c r="M304" s="2">
        <v>5</v>
      </c>
    </row>
    <row r="305" spans="1:13">
      <c r="A305" s="7">
        <v>43804</v>
      </c>
      <c r="B305" s="8">
        <v>0.53125</v>
      </c>
      <c r="C305" s="2" t="str">
        <f>"FES1162726925"</f>
        <v>FES1162726925</v>
      </c>
      <c r="D305" s="2" t="s">
        <v>19</v>
      </c>
      <c r="E305" s="2" t="s">
        <v>321</v>
      </c>
      <c r="F305" s="2" t="str">
        <f>"2170720370 "</f>
        <v xml:space="preserve">2170720370 </v>
      </c>
      <c r="G305" s="2" t="str">
        <f t="shared" si="10"/>
        <v>ON1</v>
      </c>
      <c r="H305" s="2" t="s">
        <v>21</v>
      </c>
      <c r="I305" s="2" t="s">
        <v>119</v>
      </c>
      <c r="J305" s="2" t="str">
        <f>""</f>
        <v/>
      </c>
      <c r="K305" s="2" t="str">
        <f>"PFES1162726925_0001"</f>
        <v>PFES1162726925_0001</v>
      </c>
      <c r="L305" s="2">
        <v>1</v>
      </c>
      <c r="M305" s="2">
        <v>1</v>
      </c>
    </row>
    <row r="306" spans="1:13">
      <c r="A306" s="7">
        <v>43804</v>
      </c>
      <c r="B306" s="8">
        <v>0.53055555555555556</v>
      </c>
      <c r="C306" s="2" t="str">
        <f>"FES1162726967"</f>
        <v>FES1162726967</v>
      </c>
      <c r="D306" s="2" t="s">
        <v>19</v>
      </c>
      <c r="E306" s="2" t="s">
        <v>153</v>
      </c>
      <c r="F306" s="2" t="str">
        <f>"2170720367 "</f>
        <v xml:space="preserve">2170720367 </v>
      </c>
      <c r="G306" s="2" t="str">
        <f t="shared" si="10"/>
        <v>ON1</v>
      </c>
      <c r="H306" s="2" t="s">
        <v>21</v>
      </c>
      <c r="I306" s="2" t="s">
        <v>145</v>
      </c>
      <c r="J306" s="2" t="str">
        <f>""</f>
        <v/>
      </c>
      <c r="K306" s="2" t="str">
        <f>"PFES1162726967_0001"</f>
        <v>PFES1162726967_0001</v>
      </c>
      <c r="L306" s="2">
        <v>1</v>
      </c>
      <c r="M306" s="2">
        <v>1</v>
      </c>
    </row>
    <row r="307" spans="1:13">
      <c r="A307" s="7">
        <v>43804</v>
      </c>
      <c r="B307" s="8">
        <v>0.52986111111111112</v>
      </c>
      <c r="C307" s="2" t="str">
        <f>"FES1162726992"</f>
        <v>FES1162726992</v>
      </c>
      <c r="D307" s="2" t="s">
        <v>19</v>
      </c>
      <c r="E307" s="2" t="s">
        <v>24</v>
      </c>
      <c r="F307" s="2" t="str">
        <f>"2170720442 "</f>
        <v xml:space="preserve">2170720442 </v>
      </c>
      <c r="G307" s="2" t="str">
        <f t="shared" si="10"/>
        <v>ON1</v>
      </c>
      <c r="H307" s="2" t="s">
        <v>21</v>
      </c>
      <c r="I307" s="2" t="s">
        <v>25</v>
      </c>
      <c r="J307" s="2" t="str">
        <f>""</f>
        <v/>
      </c>
      <c r="K307" s="2" t="str">
        <f>"PFES1162726992_0001"</f>
        <v>PFES1162726992_0001</v>
      </c>
      <c r="L307" s="2">
        <v>1</v>
      </c>
      <c r="M307" s="2">
        <v>1</v>
      </c>
    </row>
    <row r="308" spans="1:13">
      <c r="A308" s="7">
        <v>43804</v>
      </c>
      <c r="B308" s="8">
        <v>0.52847222222222223</v>
      </c>
      <c r="C308" s="2" t="str">
        <f>"FES1162726915"</f>
        <v>FES1162726915</v>
      </c>
      <c r="D308" s="2" t="s">
        <v>19</v>
      </c>
      <c r="E308" s="2" t="s">
        <v>107</v>
      </c>
      <c r="F308" s="2" t="str">
        <f>"2170720354 "</f>
        <v xml:space="preserve">2170720354 </v>
      </c>
      <c r="G308" s="2" t="str">
        <f t="shared" si="10"/>
        <v>ON1</v>
      </c>
      <c r="H308" s="2" t="s">
        <v>21</v>
      </c>
      <c r="I308" s="2" t="s">
        <v>56</v>
      </c>
      <c r="J308" s="2" t="str">
        <f>""</f>
        <v/>
      </c>
      <c r="K308" s="2" t="str">
        <f>"PFES1162726915_0001"</f>
        <v>PFES1162726915_0001</v>
      </c>
      <c r="L308" s="2">
        <v>1</v>
      </c>
      <c r="M308" s="2">
        <v>1</v>
      </c>
    </row>
    <row r="309" spans="1:13">
      <c r="A309" s="7">
        <v>43804</v>
      </c>
      <c r="B309" s="8">
        <v>0.52777777777777779</v>
      </c>
      <c r="C309" s="2" t="str">
        <f>"FES1162726789"</f>
        <v>FES1162726789</v>
      </c>
      <c r="D309" s="2" t="s">
        <v>19</v>
      </c>
      <c r="E309" s="2" t="s">
        <v>322</v>
      </c>
      <c r="F309" s="2" t="str">
        <f>"2170720233 "</f>
        <v xml:space="preserve">2170720233 </v>
      </c>
      <c r="G309" s="2" t="str">
        <f t="shared" si="10"/>
        <v>ON1</v>
      </c>
      <c r="H309" s="2" t="s">
        <v>21</v>
      </c>
      <c r="I309" s="2" t="s">
        <v>323</v>
      </c>
      <c r="J309" s="2" t="str">
        <f>""</f>
        <v/>
      </c>
      <c r="K309" s="2" t="str">
        <f>"PFES1162726789_0001"</f>
        <v>PFES1162726789_0001</v>
      </c>
      <c r="L309" s="2">
        <v>1</v>
      </c>
      <c r="M309" s="2">
        <v>1</v>
      </c>
    </row>
    <row r="310" spans="1:13">
      <c r="A310" s="7">
        <v>43804</v>
      </c>
      <c r="B310" s="8">
        <v>0.52638888888888891</v>
      </c>
      <c r="C310" s="2" t="str">
        <f>"FES1162726944"</f>
        <v>FES1162726944</v>
      </c>
      <c r="D310" s="2" t="s">
        <v>19</v>
      </c>
      <c r="E310" s="2" t="s">
        <v>94</v>
      </c>
      <c r="F310" s="2" t="str">
        <f>"2170720402 "</f>
        <v xml:space="preserve">2170720402 </v>
      </c>
      <c r="G310" s="2" t="str">
        <f t="shared" si="10"/>
        <v>ON1</v>
      </c>
      <c r="H310" s="2" t="s">
        <v>21</v>
      </c>
      <c r="I310" s="2" t="s">
        <v>95</v>
      </c>
      <c r="J310" s="2" t="str">
        <f>""</f>
        <v/>
      </c>
      <c r="K310" s="2" t="str">
        <f>"PFES1162726944_0001"</f>
        <v>PFES1162726944_0001</v>
      </c>
      <c r="L310" s="2">
        <v>1</v>
      </c>
      <c r="M310" s="2">
        <v>1</v>
      </c>
    </row>
    <row r="311" spans="1:13">
      <c r="A311" s="7">
        <v>43804</v>
      </c>
      <c r="B311" s="8">
        <v>0.52569444444444446</v>
      </c>
      <c r="C311" s="2" t="str">
        <f>"FES1162726874"</f>
        <v>FES1162726874</v>
      </c>
      <c r="D311" s="2" t="s">
        <v>19</v>
      </c>
      <c r="E311" s="2" t="s">
        <v>75</v>
      </c>
      <c r="F311" s="2" t="str">
        <f>"2170720317 "</f>
        <v xml:space="preserve">2170720317 </v>
      </c>
      <c r="G311" s="2" t="str">
        <f t="shared" si="10"/>
        <v>ON1</v>
      </c>
      <c r="H311" s="2" t="s">
        <v>21</v>
      </c>
      <c r="I311" s="2" t="s">
        <v>76</v>
      </c>
      <c r="J311" s="2" t="str">
        <f>""</f>
        <v/>
      </c>
      <c r="K311" s="2" t="str">
        <f>"PFES1162726874_0001"</f>
        <v>PFES1162726874_0001</v>
      </c>
      <c r="L311" s="2">
        <v>1</v>
      </c>
      <c r="M311" s="2">
        <v>1</v>
      </c>
    </row>
    <row r="312" spans="1:13">
      <c r="A312" s="7">
        <v>43804</v>
      </c>
      <c r="B312" s="8">
        <v>0.52500000000000002</v>
      </c>
      <c r="C312" s="2" t="str">
        <f>"FES1162726934"</f>
        <v>FES1162726934</v>
      </c>
      <c r="D312" s="2" t="s">
        <v>19</v>
      </c>
      <c r="E312" s="2" t="s">
        <v>221</v>
      </c>
      <c r="F312" s="2" t="str">
        <f>"2170720388 "</f>
        <v xml:space="preserve">2170720388 </v>
      </c>
      <c r="G312" s="2" t="str">
        <f t="shared" si="10"/>
        <v>ON1</v>
      </c>
      <c r="H312" s="2" t="s">
        <v>21</v>
      </c>
      <c r="I312" s="2" t="s">
        <v>56</v>
      </c>
      <c r="J312" s="2" t="str">
        <f>""</f>
        <v/>
      </c>
      <c r="K312" s="2" t="str">
        <f>"PFES1162726934_0001"</f>
        <v>PFES1162726934_0001</v>
      </c>
      <c r="L312" s="2">
        <v>1</v>
      </c>
      <c r="M312" s="2">
        <v>1</v>
      </c>
    </row>
    <row r="313" spans="1:13">
      <c r="A313" s="7">
        <v>43804</v>
      </c>
      <c r="B313" s="8">
        <v>0.50069444444444444</v>
      </c>
      <c r="C313" s="2" t="str">
        <f>"FES1162726791"</f>
        <v>FES1162726791</v>
      </c>
      <c r="D313" s="2" t="s">
        <v>19</v>
      </c>
      <c r="E313" s="2" t="s">
        <v>67</v>
      </c>
      <c r="F313" s="2" t="str">
        <f>"2170720236 "</f>
        <v xml:space="preserve">2170720236 </v>
      </c>
      <c r="G313" s="2" t="str">
        <f t="shared" si="10"/>
        <v>ON1</v>
      </c>
      <c r="H313" s="2" t="s">
        <v>21</v>
      </c>
      <c r="I313" s="2" t="s">
        <v>68</v>
      </c>
      <c r="J313" s="2" t="str">
        <f>""</f>
        <v/>
      </c>
      <c r="K313" s="2" t="str">
        <f>"PFES1162726791_0001"</f>
        <v>PFES1162726791_0001</v>
      </c>
      <c r="L313" s="2">
        <v>1</v>
      </c>
      <c r="M313" s="2">
        <v>1</v>
      </c>
    </row>
    <row r="314" spans="1:13">
      <c r="A314" s="7">
        <v>43804</v>
      </c>
      <c r="B314" s="8">
        <v>0.5</v>
      </c>
      <c r="C314" s="2" t="str">
        <f>"FES1162726864"</f>
        <v>FES1162726864</v>
      </c>
      <c r="D314" s="2" t="s">
        <v>19</v>
      </c>
      <c r="E314" s="2" t="s">
        <v>24</v>
      </c>
      <c r="F314" s="2" t="str">
        <f>"2170720306 "</f>
        <v xml:space="preserve">2170720306 </v>
      </c>
      <c r="G314" s="2" t="str">
        <f t="shared" si="10"/>
        <v>ON1</v>
      </c>
      <c r="H314" s="2" t="s">
        <v>21</v>
      </c>
      <c r="I314" s="2" t="s">
        <v>25</v>
      </c>
      <c r="J314" s="2" t="str">
        <f>""</f>
        <v/>
      </c>
      <c r="K314" s="2" t="str">
        <f>"PFES1162726864_0001"</f>
        <v>PFES1162726864_0001</v>
      </c>
      <c r="L314" s="2">
        <v>1</v>
      </c>
      <c r="M314" s="2">
        <v>1</v>
      </c>
    </row>
    <row r="315" spans="1:13">
      <c r="A315" s="7">
        <v>43804</v>
      </c>
      <c r="B315" s="8">
        <v>0.4993055555555555</v>
      </c>
      <c r="C315" s="2" t="str">
        <f>"FES1162726792"</f>
        <v>FES1162726792</v>
      </c>
      <c r="D315" s="2" t="s">
        <v>19</v>
      </c>
      <c r="E315" s="2" t="s">
        <v>324</v>
      </c>
      <c r="F315" s="2" t="str">
        <f>"2170720238 "</f>
        <v xml:space="preserve">2170720238 </v>
      </c>
      <c r="G315" s="2" t="str">
        <f t="shared" si="10"/>
        <v>ON1</v>
      </c>
      <c r="H315" s="2" t="s">
        <v>21</v>
      </c>
      <c r="I315" s="2" t="s">
        <v>325</v>
      </c>
      <c r="J315" s="2" t="str">
        <f>""</f>
        <v/>
      </c>
      <c r="K315" s="2" t="str">
        <f>"PFES1162726792_0001"</f>
        <v>PFES1162726792_0001</v>
      </c>
      <c r="L315" s="2">
        <v>1</v>
      </c>
      <c r="M315" s="2">
        <v>1</v>
      </c>
    </row>
    <row r="316" spans="1:13">
      <c r="A316" s="7">
        <v>43804</v>
      </c>
      <c r="B316" s="8">
        <v>0.49861111111111112</v>
      </c>
      <c r="C316" s="2" t="str">
        <f>"FES1162726971"</f>
        <v>FES1162726971</v>
      </c>
      <c r="D316" s="2" t="s">
        <v>19</v>
      </c>
      <c r="E316" s="2" t="s">
        <v>326</v>
      </c>
      <c r="F316" s="2" t="str">
        <f>"2170710392 "</f>
        <v xml:space="preserve">2170710392 </v>
      </c>
      <c r="G316" s="2" t="str">
        <f t="shared" si="10"/>
        <v>ON1</v>
      </c>
      <c r="H316" s="2" t="s">
        <v>21</v>
      </c>
      <c r="I316" s="2" t="s">
        <v>327</v>
      </c>
      <c r="J316" s="2" t="str">
        <f>""</f>
        <v/>
      </c>
      <c r="K316" s="2" t="str">
        <f>"PFES1162726971_0001"</f>
        <v>PFES1162726971_0001</v>
      </c>
      <c r="L316" s="2">
        <v>1</v>
      </c>
      <c r="M316" s="2">
        <v>5</v>
      </c>
    </row>
    <row r="317" spans="1:13">
      <c r="A317" s="7">
        <v>43804</v>
      </c>
      <c r="B317" s="8">
        <v>0.49861111111111112</v>
      </c>
      <c r="C317" s="2" t="str">
        <f>"FES1162726848"</f>
        <v>FES1162726848</v>
      </c>
      <c r="D317" s="2" t="s">
        <v>19</v>
      </c>
      <c r="E317" s="2" t="s">
        <v>328</v>
      </c>
      <c r="F317" s="2" t="str">
        <f>"2170720297 "</f>
        <v xml:space="preserve">2170720297 </v>
      </c>
      <c r="G317" s="2" t="str">
        <f t="shared" si="10"/>
        <v>ON1</v>
      </c>
      <c r="H317" s="2" t="s">
        <v>21</v>
      </c>
      <c r="I317" s="2" t="s">
        <v>43</v>
      </c>
      <c r="J317" s="2" t="str">
        <f>""</f>
        <v/>
      </c>
      <c r="K317" s="2" t="str">
        <f>"PFES1162726848_0001"</f>
        <v>PFES1162726848_0001</v>
      </c>
      <c r="L317" s="2">
        <v>1</v>
      </c>
      <c r="M317" s="2">
        <v>1</v>
      </c>
    </row>
    <row r="318" spans="1:13">
      <c r="A318" s="7">
        <v>43804</v>
      </c>
      <c r="B318" s="8">
        <v>0.49861111111111112</v>
      </c>
      <c r="C318" s="2" t="str">
        <f>"FES1162726653"</f>
        <v>FES1162726653</v>
      </c>
      <c r="D318" s="2" t="s">
        <v>19</v>
      </c>
      <c r="E318" s="2" t="s">
        <v>329</v>
      </c>
      <c r="F318" s="2" t="str">
        <f>"21707152222 "</f>
        <v xml:space="preserve">21707152222 </v>
      </c>
      <c r="G318" s="2" t="str">
        <f>"ON2"</f>
        <v>ON2</v>
      </c>
      <c r="H318" s="2" t="s">
        <v>21</v>
      </c>
      <c r="I318" s="2" t="s">
        <v>330</v>
      </c>
      <c r="J318" s="2" t="str">
        <f>"OIL"</f>
        <v>OIL</v>
      </c>
      <c r="K318" s="2" t="str">
        <f>"PFES1162726653_0001"</f>
        <v>PFES1162726653_0001</v>
      </c>
      <c r="L318" s="2">
        <v>1</v>
      </c>
      <c r="M318" s="2">
        <v>15</v>
      </c>
    </row>
    <row r="319" spans="1:13">
      <c r="A319" s="7">
        <v>43804</v>
      </c>
      <c r="B319" s="8">
        <v>0.49791666666666662</v>
      </c>
      <c r="C319" s="2" t="str">
        <f>"FES1162726684"</f>
        <v>FES1162726684</v>
      </c>
      <c r="D319" s="2" t="s">
        <v>19</v>
      </c>
      <c r="E319" s="2" t="s">
        <v>101</v>
      </c>
      <c r="F319" s="2" t="str">
        <f>"2170718103 "</f>
        <v xml:space="preserve">2170718103 </v>
      </c>
      <c r="G319" s="2" t="str">
        <f t="shared" ref="G319:G382" si="11">"ON1"</f>
        <v>ON1</v>
      </c>
      <c r="H319" s="2" t="s">
        <v>21</v>
      </c>
      <c r="I319" s="2" t="s">
        <v>102</v>
      </c>
      <c r="J319" s="2" t="str">
        <f>""</f>
        <v/>
      </c>
      <c r="K319" s="2" t="str">
        <f>"PFES1162726684_0001"</f>
        <v>PFES1162726684_0001</v>
      </c>
      <c r="L319" s="2">
        <v>1</v>
      </c>
      <c r="M319" s="2">
        <v>13</v>
      </c>
    </row>
    <row r="320" spans="1:13">
      <c r="A320" s="7">
        <v>43804</v>
      </c>
      <c r="B320" s="8">
        <v>0.49791666666666662</v>
      </c>
      <c r="C320" s="2" t="str">
        <f>"FES1162726781"</f>
        <v>FES1162726781</v>
      </c>
      <c r="D320" s="2" t="s">
        <v>19</v>
      </c>
      <c r="E320" s="2" t="s">
        <v>331</v>
      </c>
      <c r="F320" s="2" t="str">
        <f>"2170720207 "</f>
        <v xml:space="preserve">2170720207 </v>
      </c>
      <c r="G320" s="2" t="str">
        <f t="shared" si="11"/>
        <v>ON1</v>
      </c>
      <c r="H320" s="2" t="s">
        <v>21</v>
      </c>
      <c r="I320" s="2" t="s">
        <v>332</v>
      </c>
      <c r="J320" s="2" t="str">
        <f>""</f>
        <v/>
      </c>
      <c r="K320" s="2" t="str">
        <f>"PFES1162726781_0001"</f>
        <v>PFES1162726781_0001</v>
      </c>
      <c r="L320" s="2">
        <v>1</v>
      </c>
      <c r="M320" s="2">
        <v>2</v>
      </c>
    </row>
    <row r="321" spans="1:13">
      <c r="A321" s="7">
        <v>43804</v>
      </c>
      <c r="B321" s="8">
        <v>0.49791666666666662</v>
      </c>
      <c r="C321" s="2" t="str">
        <f>"FES1162726699"</f>
        <v>FES1162726699</v>
      </c>
      <c r="D321" s="2" t="s">
        <v>19</v>
      </c>
      <c r="E321" s="2" t="s">
        <v>215</v>
      </c>
      <c r="F321" s="2" t="str">
        <f>"2170718836 "</f>
        <v xml:space="preserve">2170718836 </v>
      </c>
      <c r="G321" s="2" t="str">
        <f t="shared" si="11"/>
        <v>ON1</v>
      </c>
      <c r="H321" s="2" t="s">
        <v>21</v>
      </c>
      <c r="I321" s="2" t="s">
        <v>216</v>
      </c>
      <c r="J321" s="2" t="str">
        <f>""</f>
        <v/>
      </c>
      <c r="K321" s="2" t="str">
        <f>"PFES1162726699_0001"</f>
        <v>PFES1162726699_0001</v>
      </c>
      <c r="L321" s="2">
        <v>1</v>
      </c>
      <c r="M321" s="2">
        <v>8</v>
      </c>
    </row>
    <row r="322" spans="1:13">
      <c r="A322" s="7">
        <v>43804</v>
      </c>
      <c r="B322" s="8">
        <v>0.49722222222222223</v>
      </c>
      <c r="C322" s="2" t="str">
        <f>"FES1162726568"</f>
        <v>FES1162726568</v>
      </c>
      <c r="D322" s="2" t="s">
        <v>19</v>
      </c>
      <c r="E322" s="2" t="s">
        <v>124</v>
      </c>
      <c r="F322" s="2" t="str">
        <f>"2170719807 "</f>
        <v xml:space="preserve">2170719807 </v>
      </c>
      <c r="G322" s="2" t="str">
        <f t="shared" si="11"/>
        <v>ON1</v>
      </c>
      <c r="H322" s="2" t="s">
        <v>21</v>
      </c>
      <c r="I322" s="2" t="s">
        <v>125</v>
      </c>
      <c r="J322" s="2" t="str">
        <f>""</f>
        <v/>
      </c>
      <c r="K322" s="2" t="str">
        <f>"PFES1162726568_0001"</f>
        <v>PFES1162726568_0001</v>
      </c>
      <c r="L322" s="2">
        <v>1</v>
      </c>
      <c r="M322" s="2">
        <v>9</v>
      </c>
    </row>
    <row r="323" spans="1:13">
      <c r="A323" s="7">
        <v>43804</v>
      </c>
      <c r="B323" s="8">
        <v>0.49722222222222223</v>
      </c>
      <c r="C323" s="2" t="str">
        <f>"FES1162726632"</f>
        <v>FES1162726632</v>
      </c>
      <c r="D323" s="2" t="s">
        <v>19</v>
      </c>
      <c r="E323" s="2" t="s">
        <v>292</v>
      </c>
      <c r="F323" s="2" t="str">
        <f>"21772001 "</f>
        <v xml:space="preserve">21772001 </v>
      </c>
      <c r="G323" s="2" t="str">
        <f t="shared" si="11"/>
        <v>ON1</v>
      </c>
      <c r="H323" s="2" t="s">
        <v>21</v>
      </c>
      <c r="I323" s="2" t="s">
        <v>78</v>
      </c>
      <c r="J323" s="2" t="str">
        <f>""</f>
        <v/>
      </c>
      <c r="K323" s="2" t="str">
        <f>"PFES1162726632_0001"</f>
        <v>PFES1162726632_0001</v>
      </c>
      <c r="L323" s="2">
        <v>1</v>
      </c>
      <c r="M323" s="2">
        <v>1</v>
      </c>
    </row>
    <row r="324" spans="1:13">
      <c r="A324" s="7">
        <v>43804</v>
      </c>
      <c r="B324" s="8">
        <v>0.49652777777777773</v>
      </c>
      <c r="C324" s="2" t="str">
        <f>"FES1162726809"</f>
        <v>FES1162726809</v>
      </c>
      <c r="D324" s="2" t="s">
        <v>19</v>
      </c>
      <c r="E324" s="2" t="s">
        <v>333</v>
      </c>
      <c r="F324" s="2" t="str">
        <f>"2170720234 "</f>
        <v xml:space="preserve">2170720234 </v>
      </c>
      <c r="G324" s="2" t="str">
        <f t="shared" si="11"/>
        <v>ON1</v>
      </c>
      <c r="H324" s="2" t="s">
        <v>21</v>
      </c>
      <c r="I324" s="2" t="s">
        <v>334</v>
      </c>
      <c r="J324" s="2" t="str">
        <f>""</f>
        <v/>
      </c>
      <c r="K324" s="2" t="str">
        <f>"PFES1162726809_0001"</f>
        <v>PFES1162726809_0001</v>
      </c>
      <c r="L324" s="2">
        <v>1</v>
      </c>
      <c r="M324" s="2">
        <v>1</v>
      </c>
    </row>
    <row r="325" spans="1:13">
      <c r="A325" s="7">
        <v>43804</v>
      </c>
      <c r="B325" s="8">
        <v>0.49583333333333335</v>
      </c>
      <c r="C325" s="2" t="str">
        <f>"FES1162726515"</f>
        <v>FES1162726515</v>
      </c>
      <c r="D325" s="2" t="s">
        <v>19</v>
      </c>
      <c r="E325" s="2" t="s">
        <v>221</v>
      </c>
      <c r="F325" s="2" t="str">
        <f>"2170718706 "</f>
        <v xml:space="preserve">2170718706 </v>
      </c>
      <c r="G325" s="2" t="str">
        <f t="shared" si="11"/>
        <v>ON1</v>
      </c>
      <c r="H325" s="2" t="s">
        <v>21</v>
      </c>
      <c r="I325" s="2" t="s">
        <v>56</v>
      </c>
      <c r="J325" s="2" t="str">
        <f>""</f>
        <v/>
      </c>
      <c r="K325" s="2" t="str">
        <f>"PFES1162726515_0001"</f>
        <v>PFES1162726515_0001</v>
      </c>
      <c r="L325" s="2">
        <v>1</v>
      </c>
      <c r="M325" s="2">
        <v>1</v>
      </c>
    </row>
    <row r="326" spans="1:13">
      <c r="A326" s="7">
        <v>43804</v>
      </c>
      <c r="B326" s="8">
        <v>0.49513888888888885</v>
      </c>
      <c r="C326" s="2" t="str">
        <f>"FES1162726926"</f>
        <v>FES1162726926</v>
      </c>
      <c r="D326" s="2" t="s">
        <v>19</v>
      </c>
      <c r="E326" s="2" t="s">
        <v>335</v>
      </c>
      <c r="F326" s="2" t="str">
        <f>"2170720379 "</f>
        <v xml:space="preserve">2170720379 </v>
      </c>
      <c r="G326" s="2" t="str">
        <f t="shared" si="11"/>
        <v>ON1</v>
      </c>
      <c r="H326" s="2" t="s">
        <v>21</v>
      </c>
      <c r="I326" s="2" t="s">
        <v>336</v>
      </c>
      <c r="J326" s="2" t="str">
        <f>""</f>
        <v/>
      </c>
      <c r="K326" s="2" t="str">
        <f>"PFES1162726926_0001"</f>
        <v>PFES1162726926_0001</v>
      </c>
      <c r="L326" s="2">
        <v>1</v>
      </c>
      <c r="M326" s="2">
        <v>1</v>
      </c>
    </row>
    <row r="327" spans="1:13">
      <c r="A327" s="7">
        <v>43804</v>
      </c>
      <c r="B327" s="8">
        <v>0.49513888888888885</v>
      </c>
      <c r="C327" s="2" t="str">
        <f>"FES1162726795"</f>
        <v>FES1162726795</v>
      </c>
      <c r="D327" s="2" t="s">
        <v>19</v>
      </c>
      <c r="E327" s="2" t="s">
        <v>151</v>
      </c>
      <c r="F327" s="2" t="str">
        <f>"2170717124 "</f>
        <v xml:space="preserve">2170717124 </v>
      </c>
      <c r="G327" s="2" t="str">
        <f t="shared" si="11"/>
        <v>ON1</v>
      </c>
      <c r="H327" s="2" t="s">
        <v>21</v>
      </c>
      <c r="I327" s="2" t="s">
        <v>152</v>
      </c>
      <c r="J327" s="2" t="str">
        <f>""</f>
        <v/>
      </c>
      <c r="K327" s="2" t="str">
        <f>"PFES1162726795_0001"</f>
        <v>PFES1162726795_0001</v>
      </c>
      <c r="L327" s="2">
        <v>1</v>
      </c>
      <c r="M327" s="2">
        <v>11</v>
      </c>
    </row>
    <row r="328" spans="1:13">
      <c r="A328" s="7">
        <v>43804</v>
      </c>
      <c r="B328" s="8">
        <v>0.49444444444444446</v>
      </c>
      <c r="C328" s="2" t="str">
        <f>"FES1162726808"</f>
        <v>FES1162726808</v>
      </c>
      <c r="D328" s="2" t="s">
        <v>19</v>
      </c>
      <c r="E328" s="2" t="s">
        <v>59</v>
      </c>
      <c r="F328" s="2" t="str">
        <f>"2170717708 "</f>
        <v xml:space="preserve">2170717708 </v>
      </c>
      <c r="G328" s="2" t="str">
        <f t="shared" si="11"/>
        <v>ON1</v>
      </c>
      <c r="H328" s="2" t="s">
        <v>21</v>
      </c>
      <c r="I328" s="2" t="s">
        <v>60</v>
      </c>
      <c r="J328" s="2" t="str">
        <f>""</f>
        <v/>
      </c>
      <c r="K328" s="2" t="str">
        <f>"PFES1162726808_0001"</f>
        <v>PFES1162726808_0001</v>
      </c>
      <c r="L328" s="2">
        <v>1</v>
      </c>
      <c r="M328" s="2">
        <v>8</v>
      </c>
    </row>
    <row r="329" spans="1:13">
      <c r="A329" s="7">
        <v>43804</v>
      </c>
      <c r="B329" s="8">
        <v>0.49444444444444446</v>
      </c>
      <c r="C329" s="2" t="str">
        <f>"FES1162726898"</f>
        <v>FES1162726898</v>
      </c>
      <c r="D329" s="2" t="s">
        <v>19</v>
      </c>
      <c r="E329" s="2" t="s">
        <v>59</v>
      </c>
      <c r="F329" s="2" t="str">
        <f>"2170720336 "</f>
        <v xml:space="preserve">2170720336 </v>
      </c>
      <c r="G329" s="2" t="str">
        <f t="shared" si="11"/>
        <v>ON1</v>
      </c>
      <c r="H329" s="2" t="s">
        <v>21</v>
      </c>
      <c r="I329" s="2" t="s">
        <v>60</v>
      </c>
      <c r="J329" s="2" t="str">
        <f>""</f>
        <v/>
      </c>
      <c r="K329" s="2" t="str">
        <f>"PFES1162726898_0001"</f>
        <v>PFES1162726898_0001</v>
      </c>
      <c r="L329" s="2">
        <v>1</v>
      </c>
      <c r="M329" s="2">
        <v>1</v>
      </c>
    </row>
    <row r="330" spans="1:13">
      <c r="A330" s="7">
        <v>43804</v>
      </c>
      <c r="B330" s="8">
        <v>0.49444444444444446</v>
      </c>
      <c r="C330" s="2" t="str">
        <f>"FES1162726416"</f>
        <v>FES1162726416</v>
      </c>
      <c r="D330" s="2" t="s">
        <v>19</v>
      </c>
      <c r="E330" s="2" t="s">
        <v>116</v>
      </c>
      <c r="F330" s="2" t="str">
        <f>"2170719393 "</f>
        <v xml:space="preserve">2170719393 </v>
      </c>
      <c r="G330" s="2" t="str">
        <f t="shared" si="11"/>
        <v>ON1</v>
      </c>
      <c r="H330" s="2" t="s">
        <v>21</v>
      </c>
      <c r="I330" s="2" t="s">
        <v>117</v>
      </c>
      <c r="J330" s="2" t="str">
        <f>""</f>
        <v/>
      </c>
      <c r="K330" s="2" t="str">
        <f>"PFES1162726416_0001"</f>
        <v>PFES1162726416_0001</v>
      </c>
      <c r="L330" s="2">
        <v>1</v>
      </c>
      <c r="M330" s="2">
        <v>12</v>
      </c>
    </row>
    <row r="331" spans="1:13">
      <c r="A331" s="7">
        <v>43804</v>
      </c>
      <c r="B331" s="8">
        <v>0.49374999999999997</v>
      </c>
      <c r="C331" s="2" t="str">
        <f>"FES1162726978"</f>
        <v>FES1162726978</v>
      </c>
      <c r="D331" s="2" t="s">
        <v>19</v>
      </c>
      <c r="E331" s="2" t="s">
        <v>337</v>
      </c>
      <c r="F331" s="2" t="str">
        <f>"21707120042 "</f>
        <v xml:space="preserve">21707120042 </v>
      </c>
      <c r="G331" s="2" t="str">
        <f t="shared" si="11"/>
        <v>ON1</v>
      </c>
      <c r="H331" s="2" t="s">
        <v>21</v>
      </c>
      <c r="I331" s="2" t="s">
        <v>161</v>
      </c>
      <c r="J331" s="2" t="str">
        <f>""</f>
        <v/>
      </c>
      <c r="K331" s="2" t="str">
        <f>"PFES1162726978_0001"</f>
        <v>PFES1162726978_0001</v>
      </c>
      <c r="L331" s="2">
        <v>1</v>
      </c>
      <c r="M331" s="2">
        <v>8</v>
      </c>
    </row>
    <row r="332" spans="1:13">
      <c r="A332" s="7">
        <v>43804</v>
      </c>
      <c r="B332" s="8">
        <v>0.49374999999999997</v>
      </c>
      <c r="C332" s="2" t="str">
        <f>"FES1162726783"</f>
        <v>FES1162726783</v>
      </c>
      <c r="D332" s="2" t="s">
        <v>19</v>
      </c>
      <c r="E332" s="2" t="s">
        <v>338</v>
      </c>
      <c r="F332" s="2" t="str">
        <f>"2170720229 "</f>
        <v xml:space="preserve">2170720229 </v>
      </c>
      <c r="G332" s="2" t="str">
        <f t="shared" si="11"/>
        <v>ON1</v>
      </c>
      <c r="H332" s="2" t="s">
        <v>21</v>
      </c>
      <c r="I332" s="2" t="s">
        <v>339</v>
      </c>
      <c r="J332" s="2" t="str">
        <f>""</f>
        <v/>
      </c>
      <c r="K332" s="2" t="str">
        <f>"PFES1162726783_0001"</f>
        <v>PFES1162726783_0001</v>
      </c>
      <c r="L332" s="2">
        <v>1</v>
      </c>
      <c r="M332" s="2">
        <v>1</v>
      </c>
    </row>
    <row r="333" spans="1:13">
      <c r="A333" s="7">
        <v>43804</v>
      </c>
      <c r="B333" s="8">
        <v>0.49305555555555558</v>
      </c>
      <c r="C333" s="2" t="str">
        <f>"FES1162726807"</f>
        <v>FES1162726807</v>
      </c>
      <c r="D333" s="2" t="s">
        <v>19</v>
      </c>
      <c r="E333" s="2" t="s">
        <v>340</v>
      </c>
      <c r="F333" s="2" t="str">
        <f>"2170714877 "</f>
        <v xml:space="preserve">2170714877 </v>
      </c>
      <c r="G333" s="2" t="str">
        <f t="shared" si="11"/>
        <v>ON1</v>
      </c>
      <c r="H333" s="2" t="s">
        <v>21</v>
      </c>
      <c r="I333" s="2" t="s">
        <v>121</v>
      </c>
      <c r="J333" s="2" t="str">
        <f>""</f>
        <v/>
      </c>
      <c r="K333" s="2" t="str">
        <f>"PFES1162726807_0001"</f>
        <v>PFES1162726807_0001</v>
      </c>
      <c r="L333" s="2">
        <v>1</v>
      </c>
      <c r="M333" s="2">
        <v>11</v>
      </c>
    </row>
    <row r="334" spans="1:13">
      <c r="A334" s="7">
        <v>43804</v>
      </c>
      <c r="B334" s="8">
        <v>0.49305555555555558</v>
      </c>
      <c r="C334" s="2" t="str">
        <f>"FES1162726890"</f>
        <v>FES1162726890</v>
      </c>
      <c r="D334" s="2" t="s">
        <v>19</v>
      </c>
      <c r="E334" s="2" t="s">
        <v>341</v>
      </c>
      <c r="F334" s="2" t="str">
        <f>"2170720332 "</f>
        <v xml:space="preserve">2170720332 </v>
      </c>
      <c r="G334" s="2" t="str">
        <f t="shared" si="11"/>
        <v>ON1</v>
      </c>
      <c r="H334" s="2" t="s">
        <v>21</v>
      </c>
      <c r="I334" s="2" t="s">
        <v>342</v>
      </c>
      <c r="J334" s="2" t="str">
        <f>""</f>
        <v/>
      </c>
      <c r="K334" s="2" t="str">
        <f>"PFES1162726890_0001"</f>
        <v>PFES1162726890_0001</v>
      </c>
      <c r="L334" s="2">
        <v>1</v>
      </c>
      <c r="M334" s="2">
        <v>1</v>
      </c>
    </row>
    <row r="335" spans="1:13">
      <c r="A335" s="7">
        <v>43804</v>
      </c>
      <c r="B335" s="8">
        <v>0.49305555555555558</v>
      </c>
      <c r="C335" s="2" t="str">
        <f>"FES1162726937"</f>
        <v>FES1162726937</v>
      </c>
      <c r="D335" s="2" t="s">
        <v>19</v>
      </c>
      <c r="E335" s="2" t="s">
        <v>343</v>
      </c>
      <c r="F335" s="2" t="str">
        <f>"217071393 "</f>
        <v xml:space="preserve">217071393 </v>
      </c>
      <c r="G335" s="2" t="str">
        <f t="shared" si="11"/>
        <v>ON1</v>
      </c>
      <c r="H335" s="2" t="s">
        <v>21</v>
      </c>
      <c r="I335" s="2" t="s">
        <v>145</v>
      </c>
      <c r="J335" s="2" t="str">
        <f>""</f>
        <v/>
      </c>
      <c r="K335" s="2" t="str">
        <f>"PFES1162726937_0001"</f>
        <v>PFES1162726937_0001</v>
      </c>
      <c r="L335" s="2">
        <v>1</v>
      </c>
      <c r="M335" s="2">
        <v>6</v>
      </c>
    </row>
    <row r="336" spans="1:13">
      <c r="A336" s="7">
        <v>43804</v>
      </c>
      <c r="B336" s="8">
        <v>0.49236111111111108</v>
      </c>
      <c r="C336" s="2" t="str">
        <f>"FES1162726610"</f>
        <v>FES1162726610</v>
      </c>
      <c r="D336" s="2" t="s">
        <v>19</v>
      </c>
      <c r="E336" s="2" t="s">
        <v>109</v>
      </c>
      <c r="F336" s="2" t="str">
        <f>"2170720088 "</f>
        <v xml:space="preserve">2170720088 </v>
      </c>
      <c r="G336" s="2" t="str">
        <f t="shared" si="11"/>
        <v>ON1</v>
      </c>
      <c r="H336" s="2" t="s">
        <v>21</v>
      </c>
      <c r="I336" s="2" t="s">
        <v>100</v>
      </c>
      <c r="J336" s="2" t="str">
        <f>""</f>
        <v/>
      </c>
      <c r="K336" s="2" t="str">
        <f>"PFES1162726610_0001"</f>
        <v>PFES1162726610_0001</v>
      </c>
      <c r="L336" s="2">
        <v>1</v>
      </c>
      <c r="M336" s="2">
        <v>1</v>
      </c>
    </row>
    <row r="337" spans="1:13">
      <c r="A337" s="7">
        <v>43804</v>
      </c>
      <c r="B337" s="8">
        <v>0.4916666666666667</v>
      </c>
      <c r="C337" s="2" t="str">
        <f>"FES1162726910"</f>
        <v>FES1162726910</v>
      </c>
      <c r="D337" s="2" t="s">
        <v>19</v>
      </c>
      <c r="E337" s="2" t="s">
        <v>344</v>
      </c>
      <c r="F337" s="2" t="str">
        <f>"2170720351 "</f>
        <v xml:space="preserve">2170720351 </v>
      </c>
      <c r="G337" s="2" t="str">
        <f t="shared" si="11"/>
        <v>ON1</v>
      </c>
      <c r="H337" s="2" t="s">
        <v>21</v>
      </c>
      <c r="I337" s="2" t="s">
        <v>183</v>
      </c>
      <c r="J337" s="2" t="str">
        <f>""</f>
        <v/>
      </c>
      <c r="K337" s="2" t="str">
        <f>"PFES1162726910_0001"</f>
        <v>PFES1162726910_0001</v>
      </c>
      <c r="L337" s="2">
        <v>1</v>
      </c>
      <c r="M337" s="2">
        <v>9</v>
      </c>
    </row>
    <row r="338" spans="1:13">
      <c r="A338" s="7">
        <v>43804</v>
      </c>
      <c r="B338" s="8">
        <v>0.4909722222222222</v>
      </c>
      <c r="C338" s="2" t="str">
        <f>"FES1162726835"</f>
        <v>FES1162726835</v>
      </c>
      <c r="D338" s="2" t="s">
        <v>19</v>
      </c>
      <c r="E338" s="2" t="s">
        <v>263</v>
      </c>
      <c r="F338" s="2" t="str">
        <f>"2170720279 "</f>
        <v xml:space="preserve">2170720279 </v>
      </c>
      <c r="G338" s="2" t="str">
        <f t="shared" si="11"/>
        <v>ON1</v>
      </c>
      <c r="H338" s="2" t="s">
        <v>21</v>
      </c>
      <c r="I338" s="2" t="s">
        <v>161</v>
      </c>
      <c r="J338" s="2" t="str">
        <f>""</f>
        <v/>
      </c>
      <c r="K338" s="2" t="str">
        <f>"PFES1162726835_0001"</f>
        <v>PFES1162726835_0001</v>
      </c>
      <c r="L338" s="2">
        <v>1</v>
      </c>
      <c r="M338" s="2">
        <v>1</v>
      </c>
    </row>
    <row r="339" spans="1:13">
      <c r="A339" s="7">
        <v>43804</v>
      </c>
      <c r="B339" s="8">
        <v>0.49027777777777781</v>
      </c>
      <c r="C339" s="2" t="str">
        <f>"FES1162726819"</f>
        <v>FES1162726819</v>
      </c>
      <c r="D339" s="2" t="s">
        <v>19</v>
      </c>
      <c r="E339" s="2" t="s">
        <v>142</v>
      </c>
      <c r="F339" s="2" t="str">
        <f>"2170720266 "</f>
        <v xml:space="preserve">2170720266 </v>
      </c>
      <c r="G339" s="2" t="str">
        <f t="shared" si="11"/>
        <v>ON1</v>
      </c>
      <c r="H339" s="2" t="s">
        <v>21</v>
      </c>
      <c r="I339" s="2" t="s">
        <v>37</v>
      </c>
      <c r="J339" s="2" t="str">
        <f>""</f>
        <v/>
      </c>
      <c r="K339" s="2" t="str">
        <f>"PFES1162726819_0001"</f>
        <v>PFES1162726819_0001</v>
      </c>
      <c r="L339" s="2">
        <v>1</v>
      </c>
      <c r="M339" s="2">
        <v>1</v>
      </c>
    </row>
    <row r="340" spans="1:13">
      <c r="A340" s="7">
        <v>43804</v>
      </c>
      <c r="B340" s="8">
        <v>0.48958333333333331</v>
      </c>
      <c r="C340" s="2" t="str">
        <f>"FES1162726724"</f>
        <v>FES1162726724</v>
      </c>
      <c r="D340" s="2" t="s">
        <v>19</v>
      </c>
      <c r="E340" s="2" t="s">
        <v>345</v>
      </c>
      <c r="F340" s="2" t="str">
        <f>"2170720153 "</f>
        <v xml:space="preserve">2170720153 </v>
      </c>
      <c r="G340" s="2" t="str">
        <f t="shared" si="11"/>
        <v>ON1</v>
      </c>
      <c r="H340" s="2" t="s">
        <v>21</v>
      </c>
      <c r="I340" s="2" t="s">
        <v>346</v>
      </c>
      <c r="J340" s="2" t="str">
        <f>""</f>
        <v/>
      </c>
      <c r="K340" s="2" t="str">
        <f>"PFES1162726724_0001"</f>
        <v>PFES1162726724_0001</v>
      </c>
      <c r="L340" s="2">
        <v>1</v>
      </c>
      <c r="M340" s="2">
        <v>1</v>
      </c>
    </row>
    <row r="341" spans="1:13">
      <c r="A341" s="7">
        <v>43804</v>
      </c>
      <c r="B341" s="8">
        <v>0.48888888888888887</v>
      </c>
      <c r="C341" s="2" t="str">
        <f>"FES1162726872"</f>
        <v>FES1162726872</v>
      </c>
      <c r="D341" s="2" t="s">
        <v>19</v>
      </c>
      <c r="E341" s="2" t="s">
        <v>24</v>
      </c>
      <c r="F341" s="2" t="str">
        <f>"2170720315 "</f>
        <v xml:space="preserve">2170720315 </v>
      </c>
      <c r="G341" s="2" t="str">
        <f t="shared" si="11"/>
        <v>ON1</v>
      </c>
      <c r="H341" s="2" t="s">
        <v>21</v>
      </c>
      <c r="I341" s="2" t="s">
        <v>25</v>
      </c>
      <c r="J341" s="2" t="str">
        <f>""</f>
        <v/>
      </c>
      <c r="K341" s="2" t="str">
        <f>"PFES1162726872_0001"</f>
        <v>PFES1162726872_0001</v>
      </c>
      <c r="L341" s="2">
        <v>1</v>
      </c>
      <c r="M341" s="2">
        <v>1</v>
      </c>
    </row>
    <row r="342" spans="1:13">
      <c r="A342" s="7">
        <v>43804</v>
      </c>
      <c r="B342" s="8">
        <v>0.48819444444444443</v>
      </c>
      <c r="C342" s="2" t="str">
        <f>"FES1162726904"</f>
        <v>FES1162726904</v>
      </c>
      <c r="D342" s="2" t="s">
        <v>19</v>
      </c>
      <c r="E342" s="2" t="s">
        <v>347</v>
      </c>
      <c r="F342" s="2" t="str">
        <f>"2170720343 "</f>
        <v xml:space="preserve">2170720343 </v>
      </c>
      <c r="G342" s="2" t="str">
        <f t="shared" si="11"/>
        <v>ON1</v>
      </c>
      <c r="H342" s="2" t="s">
        <v>21</v>
      </c>
      <c r="I342" s="2" t="s">
        <v>220</v>
      </c>
      <c r="J342" s="2" t="str">
        <f>""</f>
        <v/>
      </c>
      <c r="K342" s="2" t="str">
        <f>"PFES1162726904_0001"</f>
        <v>PFES1162726904_0001</v>
      </c>
      <c r="L342" s="2">
        <v>1</v>
      </c>
      <c r="M342" s="2">
        <v>1</v>
      </c>
    </row>
    <row r="343" spans="1:13">
      <c r="A343" s="7">
        <v>43804</v>
      </c>
      <c r="B343" s="8">
        <v>0.48680555555555555</v>
      </c>
      <c r="C343" s="2" t="str">
        <f>"FES1162726723"</f>
        <v>FES1162726723</v>
      </c>
      <c r="D343" s="2" t="s">
        <v>19</v>
      </c>
      <c r="E343" s="2" t="s">
        <v>348</v>
      </c>
      <c r="F343" s="2" t="str">
        <f>"2170720150 "</f>
        <v xml:space="preserve">2170720150 </v>
      </c>
      <c r="G343" s="2" t="str">
        <f t="shared" si="11"/>
        <v>ON1</v>
      </c>
      <c r="H343" s="2" t="s">
        <v>21</v>
      </c>
      <c r="I343" s="2" t="s">
        <v>130</v>
      </c>
      <c r="J343" s="2" t="str">
        <f>""</f>
        <v/>
      </c>
      <c r="K343" s="2" t="str">
        <f>"PFES1162726723_0001"</f>
        <v>PFES1162726723_0001</v>
      </c>
      <c r="L343" s="2">
        <v>1</v>
      </c>
      <c r="M343" s="2">
        <v>1</v>
      </c>
    </row>
    <row r="344" spans="1:13">
      <c r="A344" s="7">
        <v>43804</v>
      </c>
      <c r="B344" s="8">
        <v>0.4861111111111111</v>
      </c>
      <c r="C344" s="2" t="str">
        <f>"FES1162726790"</f>
        <v>FES1162726790</v>
      </c>
      <c r="D344" s="2" t="s">
        <v>19</v>
      </c>
      <c r="E344" s="2" t="s">
        <v>349</v>
      </c>
      <c r="F344" s="2" t="str">
        <f>"2170720235 "</f>
        <v xml:space="preserve">2170720235 </v>
      </c>
      <c r="G344" s="2" t="str">
        <f t="shared" si="11"/>
        <v>ON1</v>
      </c>
      <c r="H344" s="2" t="s">
        <v>21</v>
      </c>
      <c r="I344" s="2" t="s">
        <v>145</v>
      </c>
      <c r="J344" s="2" t="str">
        <f>""</f>
        <v/>
      </c>
      <c r="K344" s="2" t="str">
        <f>"PFES1162726790_0001"</f>
        <v>PFES1162726790_0001</v>
      </c>
      <c r="L344" s="2">
        <v>1</v>
      </c>
      <c r="M344" s="2">
        <v>1</v>
      </c>
    </row>
    <row r="345" spans="1:13">
      <c r="A345" s="7">
        <v>43804</v>
      </c>
      <c r="B345" s="8">
        <v>0.48541666666666666</v>
      </c>
      <c r="C345" s="2" t="str">
        <f>"FES1162726889"</f>
        <v>FES1162726889</v>
      </c>
      <c r="D345" s="2" t="s">
        <v>19</v>
      </c>
      <c r="E345" s="2" t="s">
        <v>208</v>
      </c>
      <c r="F345" s="2" t="str">
        <f>"2170720331 "</f>
        <v xml:space="preserve">2170720331 </v>
      </c>
      <c r="G345" s="2" t="str">
        <f t="shared" si="11"/>
        <v>ON1</v>
      </c>
      <c r="H345" s="2" t="s">
        <v>21</v>
      </c>
      <c r="I345" s="2" t="s">
        <v>155</v>
      </c>
      <c r="J345" s="2" t="str">
        <f>""</f>
        <v/>
      </c>
      <c r="K345" s="2" t="str">
        <f>"PFES1162726889_0001"</f>
        <v>PFES1162726889_0001</v>
      </c>
      <c r="L345" s="2">
        <v>1</v>
      </c>
      <c r="M345" s="2">
        <v>1</v>
      </c>
    </row>
    <row r="346" spans="1:13">
      <c r="A346" s="7">
        <v>43804</v>
      </c>
      <c r="B346" s="8">
        <v>0.48541666666666666</v>
      </c>
      <c r="C346" s="2" t="str">
        <f>"FES1162726847"</f>
        <v>FES1162726847</v>
      </c>
      <c r="D346" s="2" t="s">
        <v>19</v>
      </c>
      <c r="E346" s="2" t="s">
        <v>350</v>
      </c>
      <c r="F346" s="2" t="str">
        <f>"2170712096 "</f>
        <v xml:space="preserve">2170712096 </v>
      </c>
      <c r="G346" s="2" t="str">
        <f t="shared" si="11"/>
        <v>ON1</v>
      </c>
      <c r="H346" s="2" t="s">
        <v>21</v>
      </c>
      <c r="I346" s="2" t="s">
        <v>197</v>
      </c>
      <c r="J346" s="2" t="str">
        <f>""</f>
        <v/>
      </c>
      <c r="K346" s="2" t="str">
        <f>"PFES1162726847_0001"</f>
        <v>PFES1162726847_0001</v>
      </c>
      <c r="L346" s="2">
        <v>1</v>
      </c>
      <c r="M346" s="2">
        <v>12</v>
      </c>
    </row>
    <row r="347" spans="1:13">
      <c r="A347" s="7">
        <v>43804</v>
      </c>
      <c r="B347" s="8">
        <v>0.55138888888888882</v>
      </c>
      <c r="C347" s="2" t="str">
        <f>"FES1162726988"</f>
        <v>FES1162726988</v>
      </c>
      <c r="D347" s="2" t="s">
        <v>19</v>
      </c>
      <c r="E347" s="2" t="s">
        <v>351</v>
      </c>
      <c r="F347" s="2" t="str">
        <f>"21707120437 "</f>
        <v xml:space="preserve">21707120437 </v>
      </c>
      <c r="G347" s="2" t="str">
        <f t="shared" si="11"/>
        <v>ON1</v>
      </c>
      <c r="H347" s="2" t="s">
        <v>21</v>
      </c>
      <c r="I347" s="2" t="s">
        <v>70</v>
      </c>
      <c r="J347" s="2" t="str">
        <f>""</f>
        <v/>
      </c>
      <c r="K347" s="2" t="str">
        <f>"PFES1162726988_0001"</f>
        <v>PFES1162726988_0001</v>
      </c>
      <c r="L347" s="2">
        <v>1</v>
      </c>
      <c r="M347" s="2">
        <v>1</v>
      </c>
    </row>
    <row r="348" spans="1:13">
      <c r="A348" s="7">
        <v>43804</v>
      </c>
      <c r="B348" s="8">
        <v>0.55069444444444449</v>
      </c>
      <c r="C348" s="2" t="str">
        <f>"FES162726959"</f>
        <v>FES162726959</v>
      </c>
      <c r="D348" s="2" t="s">
        <v>19</v>
      </c>
      <c r="E348" s="2" t="s">
        <v>352</v>
      </c>
      <c r="F348" s="2" t="str">
        <f>"2170720412 "</f>
        <v xml:space="preserve">2170720412 </v>
      </c>
      <c r="G348" s="2" t="str">
        <f t="shared" si="11"/>
        <v>ON1</v>
      </c>
      <c r="H348" s="2" t="s">
        <v>21</v>
      </c>
      <c r="I348" s="2" t="s">
        <v>353</v>
      </c>
      <c r="J348" s="2" t="str">
        <f>""</f>
        <v/>
      </c>
      <c r="K348" s="2" t="str">
        <f>"PFES162726959_0001"</f>
        <v>PFES162726959_0001</v>
      </c>
      <c r="L348" s="2">
        <v>1</v>
      </c>
      <c r="M348" s="2">
        <v>1</v>
      </c>
    </row>
    <row r="349" spans="1:13">
      <c r="A349" s="7">
        <v>43804</v>
      </c>
      <c r="B349" s="8">
        <v>0.55069444444444449</v>
      </c>
      <c r="C349" s="2" t="str">
        <f>"FES1162726960"</f>
        <v>FES1162726960</v>
      </c>
      <c r="D349" s="2" t="s">
        <v>19</v>
      </c>
      <c r="E349" s="2" t="s">
        <v>352</v>
      </c>
      <c r="F349" s="2" t="str">
        <f>"2170720414 "</f>
        <v xml:space="preserve">2170720414 </v>
      </c>
      <c r="G349" s="2" t="str">
        <f t="shared" si="11"/>
        <v>ON1</v>
      </c>
      <c r="H349" s="2" t="s">
        <v>21</v>
      </c>
      <c r="I349" s="2" t="s">
        <v>353</v>
      </c>
      <c r="J349" s="2" t="str">
        <f>""</f>
        <v/>
      </c>
      <c r="K349" s="2" t="str">
        <f>"PFES1162726960_0001"</f>
        <v>PFES1162726960_0001</v>
      </c>
      <c r="L349" s="2">
        <v>1</v>
      </c>
      <c r="M349" s="2">
        <v>1</v>
      </c>
    </row>
    <row r="350" spans="1:13">
      <c r="A350" s="7">
        <v>43804</v>
      </c>
      <c r="B350" s="8">
        <v>0.55069444444444449</v>
      </c>
      <c r="C350" s="2" t="str">
        <f>"FES1162726998"</f>
        <v>FES1162726998</v>
      </c>
      <c r="D350" s="2" t="s">
        <v>19</v>
      </c>
      <c r="E350" s="2" t="s">
        <v>354</v>
      </c>
      <c r="F350" s="2" t="str">
        <f>"2170710454 "</f>
        <v xml:space="preserve">2170710454 </v>
      </c>
      <c r="G350" s="2" t="str">
        <f t="shared" si="11"/>
        <v>ON1</v>
      </c>
      <c r="H350" s="2" t="s">
        <v>21</v>
      </c>
      <c r="I350" s="2" t="s">
        <v>355</v>
      </c>
      <c r="J350" s="2" t="str">
        <f>""</f>
        <v/>
      </c>
      <c r="K350" s="2" t="str">
        <f>"PFES1162726998_0001"</f>
        <v>PFES1162726998_0001</v>
      </c>
      <c r="L350" s="2">
        <v>1</v>
      </c>
      <c r="M350" s="2">
        <v>3</v>
      </c>
    </row>
    <row r="351" spans="1:13">
      <c r="A351" s="7">
        <v>43804</v>
      </c>
      <c r="B351" s="8">
        <v>0.54999999999999993</v>
      </c>
      <c r="C351" s="2" t="str">
        <f>"FES162727001"</f>
        <v>FES162727001</v>
      </c>
      <c r="D351" s="2" t="s">
        <v>19</v>
      </c>
      <c r="E351" s="2" t="s">
        <v>173</v>
      </c>
      <c r="F351" s="2" t="str">
        <f>"21707120369 "</f>
        <v xml:space="preserve">21707120369 </v>
      </c>
      <c r="G351" s="2" t="str">
        <f t="shared" si="11"/>
        <v>ON1</v>
      </c>
      <c r="H351" s="2" t="s">
        <v>21</v>
      </c>
      <c r="I351" s="2" t="s">
        <v>130</v>
      </c>
      <c r="J351" s="2" t="str">
        <f>""</f>
        <v/>
      </c>
      <c r="K351" s="2" t="str">
        <f>"PFES162727001_0001"</f>
        <v>PFES162727001_0001</v>
      </c>
      <c r="L351" s="2">
        <v>1</v>
      </c>
      <c r="M351" s="2">
        <v>3</v>
      </c>
    </row>
    <row r="352" spans="1:13">
      <c r="A352" s="7">
        <v>43804</v>
      </c>
      <c r="B352" s="8">
        <v>0.5493055555555556</v>
      </c>
      <c r="C352" s="2" t="str">
        <f>"FES1162726957"</f>
        <v>FES1162726957</v>
      </c>
      <c r="D352" s="2" t="s">
        <v>19</v>
      </c>
      <c r="E352" s="2" t="s">
        <v>82</v>
      </c>
      <c r="F352" s="2" t="str">
        <f>"2170720423 "</f>
        <v xml:space="preserve">2170720423 </v>
      </c>
      <c r="G352" s="2" t="str">
        <f t="shared" si="11"/>
        <v>ON1</v>
      </c>
      <c r="H352" s="2" t="s">
        <v>21</v>
      </c>
      <c r="I352" s="2" t="s">
        <v>72</v>
      </c>
      <c r="J352" s="2" t="str">
        <f>""</f>
        <v/>
      </c>
      <c r="K352" s="2" t="str">
        <f>"PFES1162726957_0001"</f>
        <v>PFES1162726957_0001</v>
      </c>
      <c r="L352" s="2">
        <v>1</v>
      </c>
      <c r="M352" s="2">
        <v>1</v>
      </c>
    </row>
    <row r="353" spans="1:13">
      <c r="A353" s="7">
        <v>43804</v>
      </c>
      <c r="B353" s="8">
        <v>0.54861111111111105</v>
      </c>
      <c r="C353" s="2" t="str">
        <f>"FES1162726628"</f>
        <v>FES1162726628</v>
      </c>
      <c r="D353" s="2" t="s">
        <v>19</v>
      </c>
      <c r="E353" s="2" t="s">
        <v>356</v>
      </c>
      <c r="F353" s="2" t="str">
        <f>"2170719730 "</f>
        <v xml:space="preserve">2170719730 </v>
      </c>
      <c r="G353" s="2" t="str">
        <f t="shared" si="11"/>
        <v>ON1</v>
      </c>
      <c r="H353" s="2" t="s">
        <v>21</v>
      </c>
      <c r="I353" s="2" t="s">
        <v>357</v>
      </c>
      <c r="J353" s="2" t="str">
        <f>""</f>
        <v/>
      </c>
      <c r="K353" s="2" t="str">
        <f>"PFES1162726628_0001"</f>
        <v>PFES1162726628_0001</v>
      </c>
      <c r="L353" s="2">
        <v>1</v>
      </c>
      <c r="M353" s="2">
        <v>1</v>
      </c>
    </row>
    <row r="354" spans="1:13">
      <c r="A354" s="7">
        <v>43804</v>
      </c>
      <c r="B354" s="8">
        <v>0.54722222222222217</v>
      </c>
      <c r="C354" s="2" t="str">
        <f>"FES1162726963"</f>
        <v>FES1162726963</v>
      </c>
      <c r="D354" s="2" t="s">
        <v>19</v>
      </c>
      <c r="E354" s="2" t="s">
        <v>24</v>
      </c>
      <c r="F354" s="2" t="str">
        <f>"2170720428 "</f>
        <v xml:space="preserve">2170720428 </v>
      </c>
      <c r="G354" s="2" t="str">
        <f t="shared" si="11"/>
        <v>ON1</v>
      </c>
      <c r="H354" s="2" t="s">
        <v>21</v>
      </c>
      <c r="I354" s="2" t="s">
        <v>25</v>
      </c>
      <c r="J354" s="2" t="str">
        <f>""</f>
        <v/>
      </c>
      <c r="K354" s="2" t="str">
        <f>"PFES1162726963_0001"</f>
        <v>PFES1162726963_0001</v>
      </c>
      <c r="L354" s="2">
        <v>1</v>
      </c>
      <c r="M354" s="2">
        <v>2</v>
      </c>
    </row>
    <row r="355" spans="1:13">
      <c r="A355" s="7">
        <v>43804</v>
      </c>
      <c r="B355" s="8">
        <v>0.54652777777777783</v>
      </c>
      <c r="C355" s="2" t="str">
        <f>"FES1162726912"</f>
        <v>FES1162726912</v>
      </c>
      <c r="D355" s="2" t="s">
        <v>19</v>
      </c>
      <c r="E355" s="2" t="s">
        <v>271</v>
      </c>
      <c r="F355" s="2" t="str">
        <f>"2170720001 "</f>
        <v xml:space="preserve">2170720001 </v>
      </c>
      <c r="G355" s="2" t="str">
        <f t="shared" si="11"/>
        <v>ON1</v>
      </c>
      <c r="H355" s="2" t="s">
        <v>21</v>
      </c>
      <c r="I355" s="2" t="s">
        <v>272</v>
      </c>
      <c r="J355" s="2" t="str">
        <f>""</f>
        <v/>
      </c>
      <c r="K355" s="2" t="str">
        <f>"PFES1162726912_0001"</f>
        <v>PFES1162726912_0001</v>
      </c>
      <c r="L355" s="2">
        <v>1</v>
      </c>
      <c r="M355" s="2">
        <v>1</v>
      </c>
    </row>
    <row r="356" spans="1:13">
      <c r="A356" s="7">
        <v>43804</v>
      </c>
      <c r="B356" s="8">
        <v>0.5444444444444444</v>
      </c>
      <c r="C356" s="2" t="str">
        <f>"FES1162727002"</f>
        <v>FES1162727002</v>
      </c>
      <c r="D356" s="2" t="s">
        <v>19</v>
      </c>
      <c r="E356" s="2" t="s">
        <v>190</v>
      </c>
      <c r="F356" s="2" t="str">
        <f>"2170720458 "</f>
        <v xml:space="preserve">2170720458 </v>
      </c>
      <c r="G356" s="2" t="str">
        <f t="shared" si="11"/>
        <v>ON1</v>
      </c>
      <c r="H356" s="2" t="s">
        <v>21</v>
      </c>
      <c r="I356" s="2" t="s">
        <v>191</v>
      </c>
      <c r="J356" s="2" t="str">
        <f>""</f>
        <v/>
      </c>
      <c r="K356" s="2" t="str">
        <f>"PFES1162727002_0001"</f>
        <v>PFES1162727002_0001</v>
      </c>
      <c r="L356" s="2">
        <v>1</v>
      </c>
      <c r="M356" s="2">
        <v>1</v>
      </c>
    </row>
    <row r="357" spans="1:13">
      <c r="A357" s="7">
        <v>43804</v>
      </c>
      <c r="B357" s="8">
        <v>0.54375000000000007</v>
      </c>
      <c r="C357" s="2" t="str">
        <f>"FES1162726941"</f>
        <v>FES1162726941</v>
      </c>
      <c r="D357" s="2" t="s">
        <v>19</v>
      </c>
      <c r="E357" s="2" t="s">
        <v>358</v>
      </c>
      <c r="F357" s="2" t="str">
        <f>"2170720395 "</f>
        <v xml:space="preserve">2170720395 </v>
      </c>
      <c r="G357" s="2" t="str">
        <f t="shared" si="11"/>
        <v>ON1</v>
      </c>
      <c r="H357" s="2" t="s">
        <v>21</v>
      </c>
      <c r="I357" s="2" t="s">
        <v>359</v>
      </c>
      <c r="J357" s="2" t="str">
        <f>""</f>
        <v/>
      </c>
      <c r="K357" s="2" t="str">
        <f>"PFES1162726941_0001"</f>
        <v>PFES1162726941_0001</v>
      </c>
      <c r="L357" s="2">
        <v>1</v>
      </c>
      <c r="M357" s="2">
        <v>1</v>
      </c>
    </row>
    <row r="358" spans="1:13">
      <c r="A358" s="7">
        <v>43804</v>
      </c>
      <c r="B358" s="8">
        <v>0.54236111111111118</v>
      </c>
      <c r="C358" s="2" t="str">
        <f>"FES1162726995"</f>
        <v>FES1162726995</v>
      </c>
      <c r="D358" s="2" t="s">
        <v>19</v>
      </c>
      <c r="E358" s="2" t="s">
        <v>360</v>
      </c>
      <c r="F358" s="2" t="str">
        <f>"2170720446 "</f>
        <v xml:space="preserve">2170720446 </v>
      </c>
      <c r="G358" s="2" t="str">
        <f t="shared" si="11"/>
        <v>ON1</v>
      </c>
      <c r="H358" s="2" t="s">
        <v>21</v>
      </c>
      <c r="I358" s="2" t="s">
        <v>361</v>
      </c>
      <c r="J358" s="2" t="str">
        <f>""</f>
        <v/>
      </c>
      <c r="K358" s="2" t="str">
        <f>"PFES1162726995_0001"</f>
        <v>PFES1162726995_0001</v>
      </c>
      <c r="L358" s="2">
        <v>1</v>
      </c>
      <c r="M358" s="2">
        <v>1</v>
      </c>
    </row>
    <row r="359" spans="1:13">
      <c r="A359" s="7">
        <v>43804</v>
      </c>
      <c r="B359" s="8">
        <v>0.54027777777777775</v>
      </c>
      <c r="C359" s="2" t="str">
        <f>"FES1162726972"</f>
        <v>FES1162726972</v>
      </c>
      <c r="D359" s="2" t="s">
        <v>19</v>
      </c>
      <c r="E359" s="2" t="s">
        <v>362</v>
      </c>
      <c r="F359" s="2" t="str">
        <f>"2170720399 "</f>
        <v xml:space="preserve">2170720399 </v>
      </c>
      <c r="G359" s="2" t="str">
        <f t="shared" si="11"/>
        <v>ON1</v>
      </c>
      <c r="H359" s="2" t="s">
        <v>21</v>
      </c>
      <c r="I359" s="2" t="s">
        <v>359</v>
      </c>
      <c r="J359" s="2" t="str">
        <f>""</f>
        <v/>
      </c>
      <c r="K359" s="2" t="str">
        <f>"PFES1162726972_0001"</f>
        <v>PFES1162726972_0001</v>
      </c>
      <c r="L359" s="2">
        <v>1</v>
      </c>
      <c r="M359" s="2">
        <v>1</v>
      </c>
    </row>
    <row r="360" spans="1:13">
      <c r="A360" s="7">
        <v>43804</v>
      </c>
      <c r="B360" s="8">
        <v>0.53888888888888886</v>
      </c>
      <c r="C360" s="2" t="str">
        <f>"FES1162726999"</f>
        <v>FES1162726999</v>
      </c>
      <c r="D360" s="2" t="s">
        <v>19</v>
      </c>
      <c r="E360" s="2" t="s">
        <v>184</v>
      </c>
      <c r="F360" s="2" t="str">
        <f>"2170720455 "</f>
        <v xml:space="preserve">2170720455 </v>
      </c>
      <c r="G360" s="2" t="str">
        <f t="shared" si="11"/>
        <v>ON1</v>
      </c>
      <c r="H360" s="2" t="s">
        <v>21</v>
      </c>
      <c r="I360" s="2" t="s">
        <v>43</v>
      </c>
      <c r="J360" s="2" t="str">
        <f>""</f>
        <v/>
      </c>
      <c r="K360" s="2" t="str">
        <f>"PFES1162726999_0001"</f>
        <v>PFES1162726999_0001</v>
      </c>
      <c r="L360" s="2">
        <v>1</v>
      </c>
      <c r="M360" s="2">
        <v>1</v>
      </c>
    </row>
    <row r="361" spans="1:13">
      <c r="A361" s="7">
        <v>43804</v>
      </c>
      <c r="B361" s="8">
        <v>0.53819444444444442</v>
      </c>
      <c r="C361" s="2" t="str">
        <f>"FES1162726980"</f>
        <v>FES1162726980</v>
      </c>
      <c r="D361" s="2" t="s">
        <v>19</v>
      </c>
      <c r="E361" s="2" t="s">
        <v>107</v>
      </c>
      <c r="F361" s="2" t="str">
        <f>"2170720375 "</f>
        <v xml:space="preserve">2170720375 </v>
      </c>
      <c r="G361" s="2" t="str">
        <f t="shared" si="11"/>
        <v>ON1</v>
      </c>
      <c r="H361" s="2" t="s">
        <v>21</v>
      </c>
      <c r="I361" s="2" t="s">
        <v>56</v>
      </c>
      <c r="J361" s="2" t="str">
        <f>""</f>
        <v/>
      </c>
      <c r="K361" s="2" t="str">
        <f>"PFES1162726980_0001"</f>
        <v>PFES1162726980_0001</v>
      </c>
      <c r="L361" s="2">
        <v>1</v>
      </c>
      <c r="M361" s="2">
        <v>1</v>
      </c>
    </row>
    <row r="362" spans="1:13">
      <c r="A362" s="7">
        <v>43804</v>
      </c>
      <c r="B362" s="8">
        <v>0.53749999999999998</v>
      </c>
      <c r="C362" s="2" t="str">
        <f>"FES1162726969"</f>
        <v>FES1162726969</v>
      </c>
      <c r="D362" s="2" t="s">
        <v>19</v>
      </c>
      <c r="E362" s="2" t="s">
        <v>144</v>
      </c>
      <c r="F362" s="2" t="str">
        <f>"2170720373 "</f>
        <v xml:space="preserve">2170720373 </v>
      </c>
      <c r="G362" s="2" t="str">
        <f t="shared" si="11"/>
        <v>ON1</v>
      </c>
      <c r="H362" s="2" t="s">
        <v>21</v>
      </c>
      <c r="I362" s="2" t="s">
        <v>130</v>
      </c>
      <c r="J362" s="2" t="str">
        <f>""</f>
        <v/>
      </c>
      <c r="K362" s="2" t="str">
        <f>"PFES1162726969_0001"</f>
        <v>PFES1162726969_0001</v>
      </c>
      <c r="L362" s="2">
        <v>1</v>
      </c>
      <c r="M362" s="2">
        <v>1</v>
      </c>
    </row>
    <row r="363" spans="1:13">
      <c r="A363" s="7">
        <v>43804</v>
      </c>
      <c r="B363" s="8">
        <v>0.53472222222222221</v>
      </c>
      <c r="C363" s="2" t="str">
        <f>"FES1162726983"</f>
        <v>FES1162726983</v>
      </c>
      <c r="D363" s="2" t="s">
        <v>19</v>
      </c>
      <c r="E363" s="2" t="s">
        <v>363</v>
      </c>
      <c r="F363" s="2" t="str">
        <f>"2170720427 "</f>
        <v xml:space="preserve">2170720427 </v>
      </c>
      <c r="G363" s="2" t="str">
        <f t="shared" si="11"/>
        <v>ON1</v>
      </c>
      <c r="H363" s="2" t="s">
        <v>21</v>
      </c>
      <c r="I363" s="2" t="s">
        <v>220</v>
      </c>
      <c r="J363" s="2" t="str">
        <f>""</f>
        <v/>
      </c>
      <c r="K363" s="2" t="str">
        <f>"PFES1162726983_0001"</f>
        <v>PFES1162726983_0001</v>
      </c>
      <c r="L363" s="2">
        <v>1</v>
      </c>
      <c r="M363" s="2">
        <v>1</v>
      </c>
    </row>
    <row r="364" spans="1:13">
      <c r="A364" s="7">
        <v>43804</v>
      </c>
      <c r="B364" s="8">
        <v>0.53402777777777777</v>
      </c>
      <c r="C364" s="2" t="str">
        <f>"FES1162726970"</f>
        <v>FES1162726970</v>
      </c>
      <c r="D364" s="2" t="s">
        <v>19</v>
      </c>
      <c r="E364" s="2" t="s">
        <v>322</v>
      </c>
      <c r="F364" s="2" t="str">
        <f>"2170720385 "</f>
        <v xml:space="preserve">2170720385 </v>
      </c>
      <c r="G364" s="2" t="str">
        <f t="shared" si="11"/>
        <v>ON1</v>
      </c>
      <c r="H364" s="2" t="s">
        <v>21</v>
      </c>
      <c r="I364" s="2" t="s">
        <v>323</v>
      </c>
      <c r="J364" s="2" t="str">
        <f>""</f>
        <v/>
      </c>
      <c r="K364" s="2" t="str">
        <f>"PFES1162726970_0001"</f>
        <v>PFES1162726970_0001</v>
      </c>
      <c r="L364" s="2">
        <v>1</v>
      </c>
      <c r="M364" s="2">
        <v>1</v>
      </c>
    </row>
    <row r="365" spans="1:13">
      <c r="A365" s="7">
        <v>43804</v>
      </c>
      <c r="B365" s="8">
        <v>0.53263888888888888</v>
      </c>
      <c r="C365" s="2" t="str">
        <f>"FES1162726943"</f>
        <v>FES1162726943</v>
      </c>
      <c r="D365" s="2" t="s">
        <v>19</v>
      </c>
      <c r="E365" s="2" t="s">
        <v>34</v>
      </c>
      <c r="F365" s="2" t="str">
        <f>"2170720401 "</f>
        <v xml:space="preserve">2170720401 </v>
      </c>
      <c r="G365" s="2" t="str">
        <f t="shared" si="11"/>
        <v>ON1</v>
      </c>
      <c r="H365" s="2" t="s">
        <v>21</v>
      </c>
      <c r="I365" s="2" t="s">
        <v>35</v>
      </c>
      <c r="J365" s="2" t="str">
        <f>""</f>
        <v/>
      </c>
      <c r="K365" s="2" t="str">
        <f>"PFES1162726943_0001"</f>
        <v>PFES1162726943_0001</v>
      </c>
      <c r="L365" s="2">
        <v>1</v>
      </c>
      <c r="M365" s="2">
        <v>1</v>
      </c>
    </row>
    <row r="366" spans="1:13">
      <c r="A366" s="7">
        <v>43804</v>
      </c>
      <c r="B366" s="8">
        <v>0.48472222222222222</v>
      </c>
      <c r="C366" s="2" t="str">
        <f>"FES1162726732"</f>
        <v>FES1162726732</v>
      </c>
      <c r="D366" s="2" t="s">
        <v>19</v>
      </c>
      <c r="E366" s="2" t="s">
        <v>364</v>
      </c>
      <c r="F366" s="2" t="str">
        <f>"2170710163 "</f>
        <v xml:space="preserve">2170710163 </v>
      </c>
      <c r="G366" s="2" t="str">
        <f t="shared" si="11"/>
        <v>ON1</v>
      </c>
      <c r="H366" s="2" t="s">
        <v>21</v>
      </c>
      <c r="I366" s="2" t="s">
        <v>365</v>
      </c>
      <c r="J366" s="2" t="str">
        <f>""</f>
        <v/>
      </c>
      <c r="K366" s="2" t="str">
        <f>"PFES1162726732_0001"</f>
        <v>PFES1162726732_0001</v>
      </c>
      <c r="L366" s="2">
        <v>1</v>
      </c>
      <c r="M366" s="2">
        <v>2</v>
      </c>
    </row>
    <row r="367" spans="1:13">
      <c r="A367" s="7">
        <v>43804</v>
      </c>
      <c r="B367" s="8">
        <v>0.48472222222222222</v>
      </c>
      <c r="C367" s="2" t="str">
        <f>"FES1162726796"</f>
        <v>FES1162726796</v>
      </c>
      <c r="D367" s="2" t="s">
        <v>19</v>
      </c>
      <c r="E367" s="2" t="s">
        <v>208</v>
      </c>
      <c r="F367" s="2" t="str">
        <f>"2170719758 "</f>
        <v xml:space="preserve">2170719758 </v>
      </c>
      <c r="G367" s="2" t="str">
        <f t="shared" si="11"/>
        <v>ON1</v>
      </c>
      <c r="H367" s="2" t="s">
        <v>21</v>
      </c>
      <c r="I367" s="2" t="s">
        <v>155</v>
      </c>
      <c r="J367" s="2" t="str">
        <f>""</f>
        <v/>
      </c>
      <c r="K367" s="2" t="str">
        <f>"PFES1162726796_0001"</f>
        <v>PFES1162726796_0001</v>
      </c>
      <c r="L367" s="2">
        <v>1</v>
      </c>
      <c r="M367" s="2">
        <v>1</v>
      </c>
    </row>
    <row r="368" spans="1:13">
      <c r="A368" s="7">
        <v>43804</v>
      </c>
      <c r="B368" s="8">
        <v>0.48472222222222222</v>
      </c>
      <c r="C368" s="2" t="str">
        <f>"FES1162726321"</f>
        <v>FES1162726321</v>
      </c>
      <c r="D368" s="2" t="s">
        <v>19</v>
      </c>
      <c r="E368" s="2" t="s">
        <v>156</v>
      </c>
      <c r="F368" s="2" t="str">
        <f>"217071605 "</f>
        <v xml:space="preserve">217071605 </v>
      </c>
      <c r="G368" s="2" t="str">
        <f t="shared" si="11"/>
        <v>ON1</v>
      </c>
      <c r="H368" s="2" t="s">
        <v>21</v>
      </c>
      <c r="I368" s="2" t="s">
        <v>157</v>
      </c>
      <c r="J368" s="2" t="str">
        <f>""</f>
        <v/>
      </c>
      <c r="K368" s="2" t="str">
        <f>"PFES1162726321_0001"</f>
        <v>PFES1162726321_0001</v>
      </c>
      <c r="L368" s="2">
        <v>1</v>
      </c>
      <c r="M368" s="2">
        <v>4</v>
      </c>
    </row>
    <row r="369" spans="1:13">
      <c r="A369" s="7">
        <v>43804</v>
      </c>
      <c r="B369" s="8">
        <v>0.48402777777777778</v>
      </c>
      <c r="C369" s="2" t="str">
        <f>"FES1162726903"</f>
        <v>FES1162726903</v>
      </c>
      <c r="D369" s="2" t="s">
        <v>19</v>
      </c>
      <c r="E369" s="2" t="s">
        <v>366</v>
      </c>
      <c r="F369" s="2" t="str">
        <f>"217071342 "</f>
        <v xml:space="preserve">217071342 </v>
      </c>
      <c r="G369" s="2" t="str">
        <f t="shared" si="11"/>
        <v>ON1</v>
      </c>
      <c r="H369" s="2" t="s">
        <v>21</v>
      </c>
      <c r="I369" s="2" t="s">
        <v>41</v>
      </c>
      <c r="J369" s="2" t="str">
        <f>""</f>
        <v/>
      </c>
      <c r="K369" s="2" t="str">
        <f>"PFES1162726903_0001"</f>
        <v>PFES1162726903_0001</v>
      </c>
      <c r="L369" s="2">
        <v>1</v>
      </c>
      <c r="M369" s="2">
        <v>4</v>
      </c>
    </row>
    <row r="370" spans="1:13">
      <c r="A370" s="7">
        <v>43804</v>
      </c>
      <c r="B370" s="8">
        <v>0.48402777777777778</v>
      </c>
      <c r="C370" s="2" t="str">
        <f>"FES1162726585"</f>
        <v>FES1162726585</v>
      </c>
      <c r="D370" s="2" t="s">
        <v>19</v>
      </c>
      <c r="E370" s="2" t="s">
        <v>215</v>
      </c>
      <c r="F370" s="2" t="str">
        <f>"2170719583 "</f>
        <v xml:space="preserve">2170719583 </v>
      </c>
      <c r="G370" s="2" t="str">
        <f t="shared" si="11"/>
        <v>ON1</v>
      </c>
      <c r="H370" s="2" t="s">
        <v>21</v>
      </c>
      <c r="I370" s="2" t="s">
        <v>216</v>
      </c>
      <c r="J370" s="2" t="str">
        <f>""</f>
        <v/>
      </c>
      <c r="K370" s="2" t="str">
        <f>"PFES1162726585_0001"</f>
        <v>PFES1162726585_0001</v>
      </c>
      <c r="L370" s="2">
        <v>1</v>
      </c>
      <c r="M370" s="2">
        <v>1</v>
      </c>
    </row>
    <row r="371" spans="1:13">
      <c r="A371" s="7">
        <v>43804</v>
      </c>
      <c r="B371" s="8">
        <v>0.48402777777777778</v>
      </c>
      <c r="C371" s="2" t="str">
        <f>"FES1162726836"</f>
        <v>FES1162726836</v>
      </c>
      <c r="D371" s="2" t="s">
        <v>19</v>
      </c>
      <c r="E371" s="2" t="s">
        <v>263</v>
      </c>
      <c r="F371" s="2" t="str">
        <f>"21707120280 "</f>
        <v xml:space="preserve">21707120280 </v>
      </c>
      <c r="G371" s="2" t="str">
        <f t="shared" si="11"/>
        <v>ON1</v>
      </c>
      <c r="H371" s="2" t="s">
        <v>21</v>
      </c>
      <c r="I371" s="2" t="s">
        <v>161</v>
      </c>
      <c r="J371" s="2" t="str">
        <f>""</f>
        <v/>
      </c>
      <c r="K371" s="2" t="str">
        <f>"PFES1162726836_0001"</f>
        <v>PFES1162726836_0001</v>
      </c>
      <c r="L371" s="2">
        <v>1</v>
      </c>
      <c r="M371" s="2">
        <v>4</v>
      </c>
    </row>
    <row r="372" spans="1:13">
      <c r="A372" s="7">
        <v>43804</v>
      </c>
      <c r="B372" s="8">
        <v>0.48333333333333334</v>
      </c>
      <c r="C372" s="2" t="str">
        <f>"FES1162726820"</f>
        <v>FES1162726820</v>
      </c>
      <c r="D372" s="2" t="s">
        <v>19</v>
      </c>
      <c r="E372" s="2" t="s">
        <v>34</v>
      </c>
      <c r="F372" s="2" t="str">
        <f>"2170710267 "</f>
        <v xml:space="preserve">2170710267 </v>
      </c>
      <c r="G372" s="2" t="str">
        <f t="shared" si="11"/>
        <v>ON1</v>
      </c>
      <c r="H372" s="2" t="s">
        <v>21</v>
      </c>
      <c r="I372" s="2" t="s">
        <v>35</v>
      </c>
      <c r="J372" s="2" t="str">
        <f>""</f>
        <v/>
      </c>
      <c r="K372" s="2" t="str">
        <f>"PFES1162726820_0001"</f>
        <v>PFES1162726820_0001</v>
      </c>
      <c r="L372" s="2">
        <v>1</v>
      </c>
      <c r="M372" s="2">
        <v>3</v>
      </c>
    </row>
    <row r="373" spans="1:13">
      <c r="A373" s="7">
        <v>43804</v>
      </c>
      <c r="B373" s="8">
        <v>0.48333333333333334</v>
      </c>
      <c r="C373" s="2" t="str">
        <f>"FES1162726923"</f>
        <v>FES1162726923</v>
      </c>
      <c r="D373" s="2" t="s">
        <v>19</v>
      </c>
      <c r="E373" s="2" t="s">
        <v>184</v>
      </c>
      <c r="F373" s="2" t="str">
        <f>"2170719844 "</f>
        <v xml:space="preserve">2170719844 </v>
      </c>
      <c r="G373" s="2" t="str">
        <f t="shared" si="11"/>
        <v>ON1</v>
      </c>
      <c r="H373" s="2" t="s">
        <v>21</v>
      </c>
      <c r="I373" s="2" t="s">
        <v>43</v>
      </c>
      <c r="J373" s="2" t="str">
        <f>""</f>
        <v/>
      </c>
      <c r="K373" s="2" t="str">
        <f>"PFES1162726923_0001"</f>
        <v>PFES1162726923_0001</v>
      </c>
      <c r="L373" s="2">
        <v>1</v>
      </c>
      <c r="M373" s="2">
        <v>1</v>
      </c>
    </row>
    <row r="374" spans="1:13">
      <c r="A374" s="7">
        <v>43804</v>
      </c>
      <c r="B374" s="8">
        <v>0.48333333333333334</v>
      </c>
      <c r="C374" s="2" t="str">
        <f>"FES1162726744"</f>
        <v>FES1162726744</v>
      </c>
      <c r="D374" s="2" t="s">
        <v>19</v>
      </c>
      <c r="E374" s="2" t="s">
        <v>151</v>
      </c>
      <c r="F374" s="2" t="str">
        <f>"2170720171 "</f>
        <v xml:space="preserve">2170720171 </v>
      </c>
      <c r="G374" s="2" t="str">
        <f t="shared" si="11"/>
        <v>ON1</v>
      </c>
      <c r="H374" s="2" t="s">
        <v>21</v>
      </c>
      <c r="I374" s="2" t="s">
        <v>152</v>
      </c>
      <c r="J374" s="2" t="str">
        <f>""</f>
        <v/>
      </c>
      <c r="K374" s="2" t="str">
        <f>"PFES1162726744_0001"</f>
        <v>PFES1162726744_0001</v>
      </c>
      <c r="L374" s="2">
        <v>1</v>
      </c>
      <c r="M374" s="2">
        <v>12</v>
      </c>
    </row>
    <row r="375" spans="1:13">
      <c r="A375" s="7">
        <v>43804</v>
      </c>
      <c r="B375" s="8">
        <v>0.4826388888888889</v>
      </c>
      <c r="C375" s="2" t="str">
        <f>"FES1162726861"</f>
        <v>FES1162726861</v>
      </c>
      <c r="D375" s="2" t="s">
        <v>19</v>
      </c>
      <c r="E375" s="2" t="s">
        <v>328</v>
      </c>
      <c r="F375" s="2" t="str">
        <f>"21707120303 "</f>
        <v xml:space="preserve">21707120303 </v>
      </c>
      <c r="G375" s="2" t="str">
        <f t="shared" si="11"/>
        <v>ON1</v>
      </c>
      <c r="H375" s="2" t="s">
        <v>21</v>
      </c>
      <c r="I375" s="2" t="s">
        <v>43</v>
      </c>
      <c r="J375" s="2" t="str">
        <f>""</f>
        <v/>
      </c>
      <c r="K375" s="2" t="str">
        <f>"PFES1162726861_0001"</f>
        <v>PFES1162726861_0001</v>
      </c>
      <c r="L375" s="2">
        <v>1</v>
      </c>
      <c r="M375" s="2">
        <v>2</v>
      </c>
    </row>
    <row r="376" spans="1:13">
      <c r="A376" s="7">
        <v>43804</v>
      </c>
      <c r="B376" s="8">
        <v>0.4826388888888889</v>
      </c>
      <c r="C376" s="2" t="str">
        <f>"FES1162726888"</f>
        <v>FES1162726888</v>
      </c>
      <c r="D376" s="2" t="s">
        <v>19</v>
      </c>
      <c r="E376" s="2" t="s">
        <v>184</v>
      </c>
      <c r="F376" s="2" t="str">
        <f>"2170720329 "</f>
        <v xml:space="preserve">2170720329 </v>
      </c>
      <c r="G376" s="2" t="str">
        <f t="shared" si="11"/>
        <v>ON1</v>
      </c>
      <c r="H376" s="2" t="s">
        <v>21</v>
      </c>
      <c r="I376" s="2" t="s">
        <v>43</v>
      </c>
      <c r="J376" s="2" t="str">
        <f>""</f>
        <v/>
      </c>
      <c r="K376" s="2" t="str">
        <f>"PFES1162726888_0001"</f>
        <v>PFES1162726888_0001</v>
      </c>
      <c r="L376" s="2">
        <v>1</v>
      </c>
      <c r="M376" s="2">
        <v>1</v>
      </c>
    </row>
    <row r="377" spans="1:13">
      <c r="A377" s="7">
        <v>43804</v>
      </c>
      <c r="B377" s="8">
        <v>0.4826388888888889</v>
      </c>
      <c r="C377" s="2" t="str">
        <f>"FES1162726571"</f>
        <v>FES1162726571</v>
      </c>
      <c r="D377" s="2" t="s">
        <v>19</v>
      </c>
      <c r="E377" s="2" t="s">
        <v>367</v>
      </c>
      <c r="F377" s="2" t="str">
        <f>"2170719520 "</f>
        <v xml:space="preserve">2170719520 </v>
      </c>
      <c r="G377" s="2" t="str">
        <f t="shared" si="11"/>
        <v>ON1</v>
      </c>
      <c r="H377" s="2" t="s">
        <v>21</v>
      </c>
      <c r="I377" s="2" t="s">
        <v>368</v>
      </c>
      <c r="J377" s="2" t="str">
        <f>""</f>
        <v/>
      </c>
      <c r="K377" s="2" t="str">
        <f>"PFES1162726571_0001"</f>
        <v>PFES1162726571_0001</v>
      </c>
      <c r="L377" s="2">
        <v>1</v>
      </c>
      <c r="M377" s="2">
        <v>8</v>
      </c>
    </row>
    <row r="378" spans="1:13">
      <c r="A378" s="7">
        <v>43804</v>
      </c>
      <c r="B378" s="8">
        <v>0.48194444444444445</v>
      </c>
      <c r="C378" s="2" t="str">
        <f>"FES1162726622"</f>
        <v>FES1162726622</v>
      </c>
      <c r="D378" s="2" t="s">
        <v>19</v>
      </c>
      <c r="E378" s="2" t="s">
        <v>109</v>
      </c>
      <c r="F378" s="2" t="str">
        <f>"2170710091 "</f>
        <v xml:space="preserve">2170710091 </v>
      </c>
      <c r="G378" s="2" t="str">
        <f t="shared" si="11"/>
        <v>ON1</v>
      </c>
      <c r="H378" s="2" t="s">
        <v>21</v>
      </c>
      <c r="I378" s="2" t="s">
        <v>100</v>
      </c>
      <c r="J378" s="2" t="str">
        <f>""</f>
        <v/>
      </c>
      <c r="K378" s="2" t="str">
        <f>"PFES1162726622_0001"</f>
        <v>PFES1162726622_0001</v>
      </c>
      <c r="L378" s="2">
        <v>1</v>
      </c>
      <c r="M378" s="2">
        <v>4</v>
      </c>
    </row>
    <row r="379" spans="1:13">
      <c r="A379" s="7">
        <v>43804</v>
      </c>
      <c r="B379" s="8">
        <v>0.48194444444444445</v>
      </c>
      <c r="C379" s="2" t="str">
        <f>"FES1162726879"</f>
        <v>FES1162726879</v>
      </c>
      <c r="D379" s="2" t="s">
        <v>19</v>
      </c>
      <c r="E379" s="2" t="s">
        <v>208</v>
      </c>
      <c r="F379" s="2" t="str">
        <f>"2170720322 "</f>
        <v xml:space="preserve">2170720322 </v>
      </c>
      <c r="G379" s="2" t="str">
        <f t="shared" si="11"/>
        <v>ON1</v>
      </c>
      <c r="H379" s="2" t="s">
        <v>21</v>
      </c>
      <c r="I379" s="2" t="s">
        <v>155</v>
      </c>
      <c r="J379" s="2" t="str">
        <f>""</f>
        <v/>
      </c>
      <c r="K379" s="2" t="str">
        <f>"PFES1162726879_0001"</f>
        <v>PFES1162726879_0001</v>
      </c>
      <c r="L379" s="2">
        <v>1</v>
      </c>
      <c r="M379" s="2">
        <v>1</v>
      </c>
    </row>
    <row r="380" spans="1:13">
      <c r="A380" s="7">
        <v>43804</v>
      </c>
      <c r="B380" s="8">
        <v>0.48125000000000001</v>
      </c>
      <c r="C380" s="2" t="str">
        <f>"FES1162726574"</f>
        <v>FES1162726574</v>
      </c>
      <c r="D380" s="2" t="s">
        <v>19</v>
      </c>
      <c r="E380" s="2" t="s">
        <v>234</v>
      </c>
      <c r="F380" s="2" t="str">
        <f>"2170719653 "</f>
        <v xml:space="preserve">2170719653 </v>
      </c>
      <c r="G380" s="2" t="str">
        <f t="shared" si="11"/>
        <v>ON1</v>
      </c>
      <c r="H380" s="2" t="s">
        <v>21</v>
      </c>
      <c r="I380" s="2" t="s">
        <v>235</v>
      </c>
      <c r="J380" s="2" t="str">
        <f>""</f>
        <v/>
      </c>
      <c r="K380" s="2" t="str">
        <f>"PFES1162726574_0001"</f>
        <v>PFES1162726574_0001</v>
      </c>
      <c r="L380" s="2">
        <v>1</v>
      </c>
      <c r="M380" s="2">
        <v>1</v>
      </c>
    </row>
    <row r="381" spans="1:13">
      <c r="A381" s="7">
        <v>43804</v>
      </c>
      <c r="B381" s="8">
        <v>0.48125000000000001</v>
      </c>
      <c r="C381" s="2" t="str">
        <f>"FES1162726604"</f>
        <v>FES1162726604</v>
      </c>
      <c r="D381" s="2" t="s">
        <v>19</v>
      </c>
      <c r="E381" s="2" t="s">
        <v>107</v>
      </c>
      <c r="F381" s="2" t="str">
        <f>"2170719047 "</f>
        <v xml:space="preserve">2170719047 </v>
      </c>
      <c r="G381" s="2" t="str">
        <f t="shared" si="11"/>
        <v>ON1</v>
      </c>
      <c r="H381" s="2" t="s">
        <v>21</v>
      </c>
      <c r="I381" s="2" t="s">
        <v>56</v>
      </c>
      <c r="J381" s="2" t="str">
        <f>""</f>
        <v/>
      </c>
      <c r="K381" s="2" t="str">
        <f>"PFES1162726604_0001"</f>
        <v>PFES1162726604_0001</v>
      </c>
      <c r="L381" s="2">
        <v>1</v>
      </c>
      <c r="M381" s="2">
        <v>4</v>
      </c>
    </row>
    <row r="382" spans="1:13">
      <c r="A382" s="7">
        <v>43804</v>
      </c>
      <c r="B382" s="8">
        <v>0.48125000000000001</v>
      </c>
      <c r="C382" s="2" t="str">
        <f>"FES1162726901"</f>
        <v>FES1162726901</v>
      </c>
      <c r="D382" s="2" t="s">
        <v>19</v>
      </c>
      <c r="E382" s="2" t="s">
        <v>369</v>
      </c>
      <c r="F382" s="2" t="str">
        <f>"2170720339 "</f>
        <v xml:space="preserve">2170720339 </v>
      </c>
      <c r="G382" s="2" t="str">
        <f t="shared" si="11"/>
        <v>ON1</v>
      </c>
      <c r="H382" s="2" t="s">
        <v>21</v>
      </c>
      <c r="I382" s="2" t="s">
        <v>370</v>
      </c>
      <c r="J382" s="2" t="str">
        <f>""</f>
        <v/>
      </c>
      <c r="K382" s="2" t="str">
        <f>"PFES1162726901_0001"</f>
        <v>PFES1162726901_0001</v>
      </c>
      <c r="L382" s="2">
        <v>1</v>
      </c>
      <c r="M382" s="2">
        <v>1</v>
      </c>
    </row>
    <row r="383" spans="1:13">
      <c r="A383" s="7">
        <v>43804</v>
      </c>
      <c r="B383" s="8">
        <v>0.48055555555555557</v>
      </c>
      <c r="C383" s="2" t="str">
        <f>"FES1162726584"</f>
        <v>FES1162726584</v>
      </c>
      <c r="D383" s="2" t="s">
        <v>19</v>
      </c>
      <c r="E383" s="2" t="s">
        <v>371</v>
      </c>
      <c r="F383" s="2" t="str">
        <f>"21707184984 "</f>
        <v xml:space="preserve">21707184984 </v>
      </c>
      <c r="G383" s="2" t="str">
        <f t="shared" ref="G383:G398" si="12">"ON1"</f>
        <v>ON1</v>
      </c>
      <c r="H383" s="2" t="s">
        <v>21</v>
      </c>
      <c r="I383" s="2" t="s">
        <v>372</v>
      </c>
      <c r="J383" s="2" t="str">
        <f>""</f>
        <v/>
      </c>
      <c r="K383" s="2" t="str">
        <f>"PFES1162726584_0001"</f>
        <v>PFES1162726584_0001</v>
      </c>
      <c r="L383" s="2">
        <v>1</v>
      </c>
      <c r="M383" s="2">
        <v>5</v>
      </c>
    </row>
    <row r="384" spans="1:13">
      <c r="A384" s="7">
        <v>43804</v>
      </c>
      <c r="B384" s="8">
        <v>0.48055555555555557</v>
      </c>
      <c r="C384" s="2" t="str">
        <f>"FES1162726641"</f>
        <v>FES1162726641</v>
      </c>
      <c r="D384" s="2" t="s">
        <v>19</v>
      </c>
      <c r="E384" s="2" t="s">
        <v>373</v>
      </c>
      <c r="F384" s="2" t="str">
        <f>"2170719417 "</f>
        <v xml:space="preserve">2170719417 </v>
      </c>
      <c r="G384" s="2" t="str">
        <f t="shared" si="12"/>
        <v>ON1</v>
      </c>
      <c r="H384" s="2" t="s">
        <v>21</v>
      </c>
      <c r="I384" s="2" t="s">
        <v>374</v>
      </c>
      <c r="J384" s="2" t="str">
        <f>""</f>
        <v/>
      </c>
      <c r="K384" s="2" t="str">
        <f>"PFES1162726641_0001"</f>
        <v>PFES1162726641_0001</v>
      </c>
      <c r="L384" s="2">
        <v>1</v>
      </c>
      <c r="M384" s="2">
        <v>3</v>
      </c>
    </row>
    <row r="385" spans="1:13">
      <c r="A385" s="7">
        <v>43804</v>
      </c>
      <c r="B385" s="8">
        <v>0.48055555555555557</v>
      </c>
      <c r="C385" s="2" t="str">
        <f>"FES1162726578"</f>
        <v>FES1162726578</v>
      </c>
      <c r="D385" s="2" t="s">
        <v>19</v>
      </c>
      <c r="E385" s="2" t="s">
        <v>173</v>
      </c>
      <c r="F385" s="2" t="str">
        <f>"2170719878 "</f>
        <v xml:space="preserve">2170719878 </v>
      </c>
      <c r="G385" s="2" t="str">
        <f t="shared" si="12"/>
        <v>ON1</v>
      </c>
      <c r="H385" s="2" t="s">
        <v>21</v>
      </c>
      <c r="I385" s="2" t="s">
        <v>130</v>
      </c>
      <c r="J385" s="2" t="str">
        <f>""</f>
        <v/>
      </c>
      <c r="K385" s="2" t="str">
        <f>"PFES1162726578_0001"</f>
        <v>PFES1162726578_0001</v>
      </c>
      <c r="L385" s="2">
        <v>1</v>
      </c>
      <c r="M385" s="2">
        <v>2</v>
      </c>
    </row>
    <row r="386" spans="1:13">
      <c r="A386" s="7">
        <v>43804</v>
      </c>
      <c r="B386" s="8">
        <v>0.48055555555555557</v>
      </c>
      <c r="C386" s="2" t="str">
        <f>"FES1162726814"</f>
        <v>FES1162726814</v>
      </c>
      <c r="D386" s="2" t="s">
        <v>19</v>
      </c>
      <c r="E386" s="2" t="s">
        <v>375</v>
      </c>
      <c r="F386" s="2" t="str">
        <f>"2170720260 "</f>
        <v xml:space="preserve">2170720260 </v>
      </c>
      <c r="G386" s="2" t="str">
        <f t="shared" si="12"/>
        <v>ON1</v>
      </c>
      <c r="H386" s="2" t="s">
        <v>21</v>
      </c>
      <c r="I386" s="2" t="s">
        <v>376</v>
      </c>
      <c r="J386" s="2" t="str">
        <f>""</f>
        <v/>
      </c>
      <c r="K386" s="2" t="str">
        <f>"PFES1162726814_0001"</f>
        <v>PFES1162726814_0001</v>
      </c>
      <c r="L386" s="2">
        <v>1</v>
      </c>
      <c r="M386" s="2">
        <v>1</v>
      </c>
    </row>
    <row r="387" spans="1:13">
      <c r="A387" s="7">
        <v>43804</v>
      </c>
      <c r="B387" s="8">
        <v>0.47986111111111113</v>
      </c>
      <c r="C387" s="2" t="str">
        <f>"FES1162726573"</f>
        <v>FES1162726573</v>
      </c>
      <c r="D387" s="2" t="s">
        <v>19</v>
      </c>
      <c r="E387" s="2" t="s">
        <v>377</v>
      </c>
      <c r="F387" s="2" t="str">
        <f>"2170719624 "</f>
        <v xml:space="preserve">2170719624 </v>
      </c>
      <c r="G387" s="2" t="str">
        <f t="shared" si="12"/>
        <v>ON1</v>
      </c>
      <c r="H387" s="2" t="s">
        <v>21</v>
      </c>
      <c r="I387" s="2" t="s">
        <v>136</v>
      </c>
      <c r="J387" s="2" t="str">
        <f>""</f>
        <v/>
      </c>
      <c r="K387" s="2" t="str">
        <f>"PFES1162726573_0001"</f>
        <v>PFES1162726573_0001</v>
      </c>
      <c r="L387" s="2">
        <v>1</v>
      </c>
      <c r="M387" s="2">
        <v>5</v>
      </c>
    </row>
    <row r="388" spans="1:13">
      <c r="A388" s="7">
        <v>43804</v>
      </c>
      <c r="B388" s="8">
        <v>0.47986111111111113</v>
      </c>
      <c r="C388" s="2" t="str">
        <f>"FES1162726816"</f>
        <v>FES1162726816</v>
      </c>
      <c r="D388" s="2" t="s">
        <v>19</v>
      </c>
      <c r="E388" s="2" t="s">
        <v>34</v>
      </c>
      <c r="F388" s="2" t="str">
        <f>"2170712062 "</f>
        <v xml:space="preserve">2170712062 </v>
      </c>
      <c r="G388" s="2" t="str">
        <f t="shared" si="12"/>
        <v>ON1</v>
      </c>
      <c r="H388" s="2" t="s">
        <v>21</v>
      </c>
      <c r="I388" s="2" t="s">
        <v>35</v>
      </c>
      <c r="J388" s="2" t="str">
        <f>""</f>
        <v/>
      </c>
      <c r="K388" s="2" t="str">
        <f>"PFES1162726816_0001"</f>
        <v>PFES1162726816_0001</v>
      </c>
      <c r="L388" s="2">
        <v>1</v>
      </c>
      <c r="M388" s="2">
        <v>3</v>
      </c>
    </row>
    <row r="389" spans="1:13">
      <c r="A389" s="7">
        <v>43804</v>
      </c>
      <c r="B389" s="8">
        <v>0.47916666666666669</v>
      </c>
      <c r="C389" s="2" t="str">
        <f>"FES1162726581"</f>
        <v>FES1162726581</v>
      </c>
      <c r="D389" s="2" t="s">
        <v>19</v>
      </c>
      <c r="E389" s="2" t="s">
        <v>298</v>
      </c>
      <c r="F389" s="2" t="str">
        <f>"21707120052 "</f>
        <v xml:space="preserve">21707120052 </v>
      </c>
      <c r="G389" s="2" t="str">
        <f t="shared" si="12"/>
        <v>ON1</v>
      </c>
      <c r="H389" s="2" t="s">
        <v>21</v>
      </c>
      <c r="I389" s="2" t="s">
        <v>136</v>
      </c>
      <c r="J389" s="2" t="str">
        <f>""</f>
        <v/>
      </c>
      <c r="K389" s="2" t="str">
        <f>"PFES1162726581_0001"</f>
        <v>PFES1162726581_0001</v>
      </c>
      <c r="L389" s="2">
        <v>1</v>
      </c>
      <c r="M389" s="2">
        <v>11</v>
      </c>
    </row>
    <row r="390" spans="1:13">
      <c r="A390" s="7">
        <v>43804</v>
      </c>
      <c r="B390" s="8">
        <v>0.47916666666666669</v>
      </c>
      <c r="C390" s="2" t="str">
        <f>"FES1162726857"</f>
        <v>FES1162726857</v>
      </c>
      <c r="D390" s="2" t="s">
        <v>19</v>
      </c>
      <c r="E390" s="2" t="s">
        <v>335</v>
      </c>
      <c r="F390" s="2" t="str">
        <f>"2170719666 "</f>
        <v xml:space="preserve">2170719666 </v>
      </c>
      <c r="G390" s="2" t="str">
        <f t="shared" si="12"/>
        <v>ON1</v>
      </c>
      <c r="H390" s="2" t="s">
        <v>21</v>
      </c>
      <c r="I390" s="2" t="s">
        <v>336</v>
      </c>
      <c r="J390" s="2" t="str">
        <f>""</f>
        <v/>
      </c>
      <c r="K390" s="2" t="str">
        <f>"PFES1162726857_0001"</f>
        <v>PFES1162726857_0001</v>
      </c>
      <c r="L390" s="2">
        <v>1</v>
      </c>
      <c r="M390" s="2">
        <v>2</v>
      </c>
    </row>
    <row r="391" spans="1:13">
      <c r="A391" s="7">
        <v>43804</v>
      </c>
      <c r="B391" s="8">
        <v>0.47916666666666669</v>
      </c>
      <c r="C391" s="2" t="str">
        <f>"FES1162726805"</f>
        <v>FES1162726805</v>
      </c>
      <c r="D391" s="2" t="s">
        <v>19</v>
      </c>
      <c r="E391" s="2" t="s">
        <v>34</v>
      </c>
      <c r="F391" s="2" t="str">
        <f>"2170712053 "</f>
        <v xml:space="preserve">2170712053 </v>
      </c>
      <c r="G391" s="2" t="str">
        <f t="shared" si="12"/>
        <v>ON1</v>
      </c>
      <c r="H391" s="2" t="s">
        <v>21</v>
      </c>
      <c r="I391" s="2" t="s">
        <v>35</v>
      </c>
      <c r="J391" s="2" t="str">
        <f>""</f>
        <v/>
      </c>
      <c r="K391" s="2" t="str">
        <f>"PFES1162726805_0001"</f>
        <v>PFES1162726805_0001</v>
      </c>
      <c r="L391" s="2">
        <v>1</v>
      </c>
      <c r="M391" s="2">
        <v>17</v>
      </c>
    </row>
    <row r="392" spans="1:13">
      <c r="A392" s="7">
        <v>43804</v>
      </c>
      <c r="B392" s="8">
        <v>0.47847222222222219</v>
      </c>
      <c r="C392" s="2" t="str">
        <f>"FES1162726866"</f>
        <v>FES1162726866</v>
      </c>
      <c r="D392" s="2" t="s">
        <v>19</v>
      </c>
      <c r="E392" s="2" t="s">
        <v>55</v>
      </c>
      <c r="F392" s="2" t="str">
        <f>"2170712031 "</f>
        <v xml:space="preserve">2170712031 </v>
      </c>
      <c r="G392" s="2" t="str">
        <f t="shared" si="12"/>
        <v>ON1</v>
      </c>
      <c r="H392" s="2" t="s">
        <v>21</v>
      </c>
      <c r="I392" s="2" t="s">
        <v>56</v>
      </c>
      <c r="J392" s="2" t="str">
        <f>""</f>
        <v/>
      </c>
      <c r="K392" s="2" t="str">
        <f>"PFES1162726866_0001"</f>
        <v>PFES1162726866_0001</v>
      </c>
      <c r="L392" s="2">
        <v>1</v>
      </c>
      <c r="M392" s="2">
        <v>2</v>
      </c>
    </row>
    <row r="393" spans="1:13">
      <c r="A393" s="7">
        <v>43804</v>
      </c>
      <c r="B393" s="8">
        <v>0.47847222222222219</v>
      </c>
      <c r="C393" s="2" t="str">
        <f>"FES1162726851"</f>
        <v>FES1162726851</v>
      </c>
      <c r="D393" s="2" t="s">
        <v>19</v>
      </c>
      <c r="E393" s="2" t="s">
        <v>171</v>
      </c>
      <c r="F393" s="2" t="str">
        <f>"21707120300 "</f>
        <v xml:space="preserve">21707120300 </v>
      </c>
      <c r="G393" s="2" t="str">
        <f t="shared" si="12"/>
        <v>ON1</v>
      </c>
      <c r="H393" s="2" t="s">
        <v>21</v>
      </c>
      <c r="I393" s="2" t="s">
        <v>145</v>
      </c>
      <c r="J393" s="2" t="str">
        <f>""</f>
        <v/>
      </c>
      <c r="K393" s="2" t="str">
        <f>"PFES1162726851_0001"</f>
        <v>PFES1162726851_0001</v>
      </c>
      <c r="L393" s="2">
        <v>1</v>
      </c>
      <c r="M393" s="2">
        <v>1</v>
      </c>
    </row>
    <row r="394" spans="1:13">
      <c r="A394" s="7">
        <v>43804</v>
      </c>
      <c r="B394" s="8">
        <v>0.4777777777777778</v>
      </c>
      <c r="C394" s="2" t="str">
        <f>"FES1162726822"</f>
        <v>FES1162726822</v>
      </c>
      <c r="D394" s="2" t="s">
        <v>19</v>
      </c>
      <c r="E394" s="2" t="s">
        <v>232</v>
      </c>
      <c r="F394" s="2" t="str">
        <f>"2170719984 "</f>
        <v xml:space="preserve">2170719984 </v>
      </c>
      <c r="G394" s="2" t="str">
        <f t="shared" si="12"/>
        <v>ON1</v>
      </c>
      <c r="H394" s="2" t="s">
        <v>21</v>
      </c>
      <c r="I394" s="2" t="s">
        <v>39</v>
      </c>
      <c r="J394" s="2" t="str">
        <f>""</f>
        <v/>
      </c>
      <c r="K394" s="2" t="str">
        <f>"PFES1162726822_0001"</f>
        <v>PFES1162726822_0001</v>
      </c>
      <c r="L394" s="2">
        <v>1</v>
      </c>
      <c r="M394" s="2">
        <v>1</v>
      </c>
    </row>
    <row r="395" spans="1:13">
      <c r="A395" s="7">
        <v>43804</v>
      </c>
      <c r="B395" s="8">
        <v>0.4770833333333333</v>
      </c>
      <c r="C395" s="2" t="str">
        <f>"FES1162726817"</f>
        <v>FES1162726817</v>
      </c>
      <c r="D395" s="2" t="s">
        <v>19</v>
      </c>
      <c r="E395" s="2" t="s">
        <v>208</v>
      </c>
      <c r="F395" s="2" t="str">
        <f>"2170720264 "</f>
        <v xml:space="preserve">2170720264 </v>
      </c>
      <c r="G395" s="2" t="str">
        <f t="shared" si="12"/>
        <v>ON1</v>
      </c>
      <c r="H395" s="2" t="s">
        <v>21</v>
      </c>
      <c r="I395" s="2" t="s">
        <v>155</v>
      </c>
      <c r="J395" s="2" t="str">
        <f>""</f>
        <v/>
      </c>
      <c r="K395" s="2" t="str">
        <f>"PFES1162726817_0001"</f>
        <v>PFES1162726817_0001</v>
      </c>
      <c r="L395" s="2">
        <v>1</v>
      </c>
      <c r="M395" s="2">
        <v>6</v>
      </c>
    </row>
    <row r="396" spans="1:13">
      <c r="A396" s="7">
        <v>43804</v>
      </c>
      <c r="B396" s="8">
        <v>0.4770833333333333</v>
      </c>
      <c r="C396" s="2" t="str">
        <f>"FES1162726758"</f>
        <v>FES1162726758</v>
      </c>
      <c r="D396" s="2" t="s">
        <v>19</v>
      </c>
      <c r="E396" s="2" t="s">
        <v>59</v>
      </c>
      <c r="F396" s="2" t="str">
        <f>"2170720185 "</f>
        <v xml:space="preserve">2170720185 </v>
      </c>
      <c r="G396" s="2" t="str">
        <f t="shared" si="12"/>
        <v>ON1</v>
      </c>
      <c r="H396" s="2" t="s">
        <v>21</v>
      </c>
      <c r="I396" s="2" t="s">
        <v>60</v>
      </c>
      <c r="J396" s="2" t="str">
        <f>""</f>
        <v/>
      </c>
      <c r="K396" s="2" t="str">
        <f>"PFES1162726758_0001"</f>
        <v>PFES1162726758_0001</v>
      </c>
      <c r="L396" s="2">
        <v>1</v>
      </c>
      <c r="M396" s="2">
        <v>3</v>
      </c>
    </row>
    <row r="397" spans="1:13">
      <c r="A397" s="7">
        <v>43804</v>
      </c>
      <c r="B397" s="8">
        <v>0.47638888888888892</v>
      </c>
      <c r="C397" s="2" t="str">
        <f>"FES1162726774"</f>
        <v>FES1162726774</v>
      </c>
      <c r="D397" s="2" t="s">
        <v>19</v>
      </c>
      <c r="E397" s="2" t="s">
        <v>232</v>
      </c>
      <c r="F397" s="2" t="str">
        <f>"2170712015 "</f>
        <v xml:space="preserve">2170712015 </v>
      </c>
      <c r="G397" s="2" t="str">
        <f t="shared" si="12"/>
        <v>ON1</v>
      </c>
      <c r="H397" s="2" t="s">
        <v>21</v>
      </c>
      <c r="I397" s="2" t="s">
        <v>39</v>
      </c>
      <c r="J397" s="2" t="str">
        <f>""</f>
        <v/>
      </c>
      <c r="K397" s="2" t="str">
        <f>"PFES1162726774_0001"</f>
        <v>PFES1162726774_0001</v>
      </c>
      <c r="L397" s="2">
        <v>1</v>
      </c>
      <c r="M397" s="2">
        <v>5</v>
      </c>
    </row>
    <row r="398" spans="1:13">
      <c r="A398" s="7">
        <v>43804</v>
      </c>
      <c r="B398" s="8">
        <v>0.47569444444444442</v>
      </c>
      <c r="C398" s="2" t="str">
        <f>"FES1162726873"</f>
        <v>FES1162726873</v>
      </c>
      <c r="D398" s="2" t="s">
        <v>19</v>
      </c>
      <c r="E398" s="2" t="s">
        <v>378</v>
      </c>
      <c r="F398" s="2" t="str">
        <f>"2170720316 "</f>
        <v xml:space="preserve">2170720316 </v>
      </c>
      <c r="G398" s="2" t="str">
        <f t="shared" si="12"/>
        <v>ON1</v>
      </c>
      <c r="H398" s="2" t="s">
        <v>21</v>
      </c>
      <c r="I398" s="2" t="s">
        <v>56</v>
      </c>
      <c r="J398" s="2" t="str">
        <f>""</f>
        <v/>
      </c>
      <c r="K398" s="2" t="str">
        <f>"PFES1162726873_0001"</f>
        <v>PFES1162726873_0001</v>
      </c>
      <c r="L398" s="2">
        <v>1</v>
      </c>
      <c r="M398" s="2">
        <v>1</v>
      </c>
    </row>
    <row r="399" spans="1:13">
      <c r="A399" s="7">
        <v>43804</v>
      </c>
      <c r="B399" s="8">
        <v>0.47569444444444442</v>
      </c>
      <c r="C399" s="2" t="str">
        <f>"FES1162726892"</f>
        <v>FES1162726892</v>
      </c>
      <c r="D399" s="2" t="s">
        <v>19</v>
      </c>
      <c r="E399" s="2" t="s">
        <v>55</v>
      </c>
      <c r="F399" s="2" t="str">
        <f>"2170719938 "</f>
        <v xml:space="preserve">2170719938 </v>
      </c>
      <c r="G399" s="2" t="str">
        <f>"DBC"</f>
        <v>DBC</v>
      </c>
      <c r="H399" s="2" t="s">
        <v>21</v>
      </c>
      <c r="I399" s="2" t="s">
        <v>56</v>
      </c>
      <c r="J399" s="2" t="str">
        <f>""</f>
        <v/>
      </c>
      <c r="K399" s="2" t="str">
        <f>"PFES1162726892_0001"</f>
        <v>PFES1162726892_0001</v>
      </c>
      <c r="L399" s="2">
        <v>2</v>
      </c>
      <c r="M399" s="2">
        <v>20</v>
      </c>
    </row>
    <row r="400" spans="1:13">
      <c r="A400" s="7">
        <v>43804</v>
      </c>
      <c r="B400" s="8">
        <v>0.47569444444444442</v>
      </c>
      <c r="C400" s="2" t="str">
        <f>"FES1162726892"</f>
        <v>FES1162726892</v>
      </c>
      <c r="D400" s="2" t="s">
        <v>19</v>
      </c>
      <c r="E400" s="2" t="s">
        <v>55</v>
      </c>
      <c r="F400" s="2" t="str">
        <f>"2170719938 "</f>
        <v xml:space="preserve">2170719938 </v>
      </c>
      <c r="G400" s="2" t="str">
        <f>"DBC"</f>
        <v>DBC</v>
      </c>
      <c r="H400" s="2" t="s">
        <v>21</v>
      </c>
      <c r="I400" s="2" t="s">
        <v>56</v>
      </c>
      <c r="J400" s="2"/>
      <c r="K400" s="2" t="str">
        <f>"PFES1162726892_0002"</f>
        <v>PFES1162726892_0002</v>
      </c>
      <c r="L400" s="2">
        <v>2</v>
      </c>
      <c r="M400" s="2">
        <v>20</v>
      </c>
    </row>
    <row r="401" spans="1:13">
      <c r="A401" s="7">
        <v>43804</v>
      </c>
      <c r="B401" s="8">
        <v>0.47500000000000003</v>
      </c>
      <c r="C401" s="2" t="str">
        <f>"FES1162726815"</f>
        <v>FES1162726815</v>
      </c>
      <c r="D401" s="2" t="s">
        <v>19</v>
      </c>
      <c r="E401" s="2" t="s">
        <v>59</v>
      </c>
      <c r="F401" s="2" t="str">
        <f>"2170720261 "</f>
        <v xml:space="preserve">2170720261 </v>
      </c>
      <c r="G401" s="2" t="str">
        <f t="shared" ref="G401:G462" si="13">"ON1"</f>
        <v>ON1</v>
      </c>
      <c r="H401" s="2" t="s">
        <v>21</v>
      </c>
      <c r="I401" s="2" t="s">
        <v>60</v>
      </c>
      <c r="J401" s="2" t="str">
        <f>""</f>
        <v/>
      </c>
      <c r="K401" s="2" t="str">
        <f>"PFES1162726815_0001"</f>
        <v>PFES1162726815_0001</v>
      </c>
      <c r="L401" s="2">
        <v>1</v>
      </c>
      <c r="M401" s="2">
        <v>1</v>
      </c>
    </row>
    <row r="402" spans="1:13">
      <c r="A402" s="7">
        <v>43804</v>
      </c>
      <c r="B402" s="8">
        <v>0.47500000000000003</v>
      </c>
      <c r="C402" s="2" t="str">
        <f>"FES1162726849"</f>
        <v>FES1162726849</v>
      </c>
      <c r="D402" s="2" t="s">
        <v>19</v>
      </c>
      <c r="E402" s="2" t="s">
        <v>151</v>
      </c>
      <c r="F402" s="2" t="str">
        <f>"217071298 "</f>
        <v xml:space="preserve">217071298 </v>
      </c>
      <c r="G402" s="2" t="str">
        <f t="shared" si="13"/>
        <v>ON1</v>
      </c>
      <c r="H402" s="2" t="s">
        <v>21</v>
      </c>
      <c r="I402" s="2" t="s">
        <v>152</v>
      </c>
      <c r="J402" s="2" t="str">
        <f>""</f>
        <v/>
      </c>
      <c r="K402" s="2" t="str">
        <f>"PFES1162726849_0001"</f>
        <v>PFES1162726849_0001</v>
      </c>
      <c r="L402" s="2">
        <v>1</v>
      </c>
      <c r="M402" s="2">
        <v>10</v>
      </c>
    </row>
    <row r="403" spans="1:13">
      <c r="A403" s="7">
        <v>43804</v>
      </c>
      <c r="B403" s="8">
        <v>0.47430555555555554</v>
      </c>
      <c r="C403" s="2" t="str">
        <f>"FES1162726803"</f>
        <v>FES1162726803</v>
      </c>
      <c r="D403" s="2" t="s">
        <v>19</v>
      </c>
      <c r="E403" s="2" t="s">
        <v>324</v>
      </c>
      <c r="F403" s="2" t="str">
        <f>"21707120250 "</f>
        <v xml:space="preserve">21707120250 </v>
      </c>
      <c r="G403" s="2" t="str">
        <f t="shared" si="13"/>
        <v>ON1</v>
      </c>
      <c r="H403" s="2" t="s">
        <v>21</v>
      </c>
      <c r="I403" s="2" t="s">
        <v>325</v>
      </c>
      <c r="J403" s="2" t="str">
        <f>""</f>
        <v/>
      </c>
      <c r="K403" s="2" t="str">
        <f>"PFES1162726803_0001"</f>
        <v>PFES1162726803_0001</v>
      </c>
      <c r="L403" s="2">
        <v>1</v>
      </c>
      <c r="M403" s="2">
        <v>4</v>
      </c>
    </row>
    <row r="404" spans="1:13">
      <c r="A404" s="7">
        <v>43804</v>
      </c>
      <c r="B404" s="8">
        <v>0.47430555555555554</v>
      </c>
      <c r="C404" s="2" t="str">
        <f>"FES1162726496"</f>
        <v>FES1162726496</v>
      </c>
      <c r="D404" s="2" t="s">
        <v>19</v>
      </c>
      <c r="E404" s="2" t="s">
        <v>379</v>
      </c>
      <c r="F404" s="2" t="str">
        <f>"2170719934 "</f>
        <v xml:space="preserve">2170719934 </v>
      </c>
      <c r="G404" s="2" t="str">
        <f t="shared" si="13"/>
        <v>ON1</v>
      </c>
      <c r="H404" s="2" t="s">
        <v>21</v>
      </c>
      <c r="I404" s="2" t="s">
        <v>370</v>
      </c>
      <c r="J404" s="2" t="str">
        <f>""</f>
        <v/>
      </c>
      <c r="K404" s="2" t="str">
        <f>"PFES1162726496_0001"</f>
        <v>PFES1162726496_0001</v>
      </c>
      <c r="L404" s="2">
        <v>1</v>
      </c>
      <c r="M404" s="2">
        <v>3</v>
      </c>
    </row>
    <row r="405" spans="1:13">
      <c r="A405" s="7">
        <v>43804</v>
      </c>
      <c r="B405" s="8">
        <v>0.47361111111111115</v>
      </c>
      <c r="C405" s="2" t="str">
        <f>"FES1162726935"</f>
        <v>FES1162726935</v>
      </c>
      <c r="D405" s="2" t="s">
        <v>19</v>
      </c>
      <c r="E405" s="2" t="s">
        <v>326</v>
      </c>
      <c r="F405" s="2" t="str">
        <f>"2170720389 "</f>
        <v xml:space="preserve">2170720389 </v>
      </c>
      <c r="G405" s="2" t="str">
        <f t="shared" si="13"/>
        <v>ON1</v>
      </c>
      <c r="H405" s="2" t="s">
        <v>21</v>
      </c>
      <c r="I405" s="2" t="s">
        <v>327</v>
      </c>
      <c r="J405" s="2" t="str">
        <f>""</f>
        <v/>
      </c>
      <c r="K405" s="2" t="str">
        <f>"PFES1162726935_0001"</f>
        <v>PFES1162726935_0001</v>
      </c>
      <c r="L405" s="2">
        <v>1</v>
      </c>
      <c r="M405" s="2">
        <v>2</v>
      </c>
    </row>
    <row r="406" spans="1:13">
      <c r="A406" s="7">
        <v>43804</v>
      </c>
      <c r="B406" s="8">
        <v>0.44375000000000003</v>
      </c>
      <c r="C406" s="2" t="str">
        <f>"009935712080"</f>
        <v>009935712080</v>
      </c>
      <c r="D406" s="2" t="s">
        <v>19</v>
      </c>
      <c r="E406" s="2" t="s">
        <v>67</v>
      </c>
      <c r="F406" s="2" t="str">
        <f>"1162726627 "</f>
        <v xml:space="preserve">1162726627 </v>
      </c>
      <c r="G406" s="2" t="str">
        <f t="shared" si="13"/>
        <v>ON1</v>
      </c>
      <c r="H406" s="2" t="s">
        <v>21</v>
      </c>
      <c r="I406" s="2" t="s">
        <v>68</v>
      </c>
      <c r="J406" s="2" t="str">
        <f>""</f>
        <v/>
      </c>
      <c r="K406" s="2" t="str">
        <f>"P009935712080_0001"</f>
        <v>P009935712080_0001</v>
      </c>
      <c r="L406" s="2">
        <v>1</v>
      </c>
      <c r="M406" s="2">
        <v>1</v>
      </c>
    </row>
    <row r="407" spans="1:13">
      <c r="A407" s="7">
        <v>43805</v>
      </c>
      <c r="B407" s="8">
        <v>0.57013888888888886</v>
      </c>
      <c r="C407" s="9" t="str">
        <f>"FES1162727240"</f>
        <v>FES1162727240</v>
      </c>
      <c r="D407" s="9" t="s">
        <v>19</v>
      </c>
      <c r="E407" s="9" t="s">
        <v>293</v>
      </c>
      <c r="F407" s="9" t="str">
        <f>"2170720728 "</f>
        <v xml:space="preserve">2170720728 </v>
      </c>
      <c r="G407" s="9" t="str">
        <f t="shared" si="13"/>
        <v>ON1</v>
      </c>
      <c r="H407" s="9" t="s">
        <v>21</v>
      </c>
      <c r="I407" s="9" t="s">
        <v>294</v>
      </c>
      <c r="J407" s="9" t="str">
        <f>""</f>
        <v/>
      </c>
      <c r="K407" s="9" t="str">
        <f>"PFES1162727240_0001"</f>
        <v>PFES1162727240_0001</v>
      </c>
      <c r="L407" s="9">
        <v>1</v>
      </c>
      <c r="M407" s="9">
        <v>9</v>
      </c>
    </row>
    <row r="408" spans="1:13">
      <c r="A408" s="7">
        <v>43805</v>
      </c>
      <c r="B408" s="8">
        <v>0.56874999999999998</v>
      </c>
      <c r="C408" s="9" t="str">
        <f>"FES1162727257"</f>
        <v>FES1162727257</v>
      </c>
      <c r="D408" s="9" t="s">
        <v>19</v>
      </c>
      <c r="E408" s="9" t="s">
        <v>380</v>
      </c>
      <c r="F408" s="9" t="str">
        <f>"2170720746 "</f>
        <v xml:space="preserve">2170720746 </v>
      </c>
      <c r="G408" s="9" t="str">
        <f t="shared" si="13"/>
        <v>ON1</v>
      </c>
      <c r="H408" s="9" t="s">
        <v>21</v>
      </c>
      <c r="I408" s="9" t="s">
        <v>43</v>
      </c>
      <c r="J408" s="9" t="str">
        <f>""</f>
        <v/>
      </c>
      <c r="K408" s="9" t="str">
        <f>"PFES1162727257_0001"</f>
        <v>PFES1162727257_0001</v>
      </c>
      <c r="L408" s="9">
        <v>1</v>
      </c>
      <c r="M408" s="9">
        <v>1</v>
      </c>
    </row>
    <row r="409" spans="1:13">
      <c r="A409" s="7">
        <v>43805</v>
      </c>
      <c r="B409" s="8">
        <v>0.56874999999999998</v>
      </c>
      <c r="C409" s="9" t="str">
        <f>"FES1162727258"</f>
        <v>FES1162727258</v>
      </c>
      <c r="D409" s="9" t="s">
        <v>19</v>
      </c>
      <c r="E409" s="9" t="s">
        <v>381</v>
      </c>
      <c r="F409" s="9" t="str">
        <f>"2170720747 "</f>
        <v xml:space="preserve">2170720747 </v>
      </c>
      <c r="G409" s="9" t="str">
        <f t="shared" si="13"/>
        <v>ON1</v>
      </c>
      <c r="H409" s="9" t="s">
        <v>21</v>
      </c>
      <c r="I409" s="9" t="s">
        <v>39</v>
      </c>
      <c r="J409" s="9" t="str">
        <f>""</f>
        <v/>
      </c>
      <c r="K409" s="9" t="str">
        <f>"PFES1162727258_0001"</f>
        <v>PFES1162727258_0001</v>
      </c>
      <c r="L409" s="9">
        <v>1</v>
      </c>
      <c r="M409" s="9">
        <v>1</v>
      </c>
    </row>
    <row r="410" spans="1:13">
      <c r="A410" s="7">
        <v>43805</v>
      </c>
      <c r="B410" s="8">
        <v>0.56805555555555554</v>
      </c>
      <c r="C410" s="9" t="str">
        <f>"FES1162727222"</f>
        <v>FES1162727222</v>
      </c>
      <c r="D410" s="9" t="s">
        <v>19</v>
      </c>
      <c r="E410" s="9" t="s">
        <v>382</v>
      </c>
      <c r="F410" s="9" t="str">
        <f>"2170710706 "</f>
        <v xml:space="preserve">2170710706 </v>
      </c>
      <c r="G410" s="9" t="str">
        <f t="shared" si="13"/>
        <v>ON1</v>
      </c>
      <c r="H410" s="9" t="s">
        <v>21</v>
      </c>
      <c r="I410" s="9" t="s">
        <v>383</v>
      </c>
      <c r="J410" s="9" t="str">
        <f>""</f>
        <v/>
      </c>
      <c r="K410" s="9" t="str">
        <f>"PFES1162727222_0001"</f>
        <v>PFES1162727222_0001</v>
      </c>
      <c r="L410" s="9">
        <v>1</v>
      </c>
      <c r="M410" s="9">
        <v>1</v>
      </c>
    </row>
    <row r="411" spans="1:13">
      <c r="A411" s="7">
        <v>43805</v>
      </c>
      <c r="B411" s="8">
        <v>0.56736111111111109</v>
      </c>
      <c r="C411" s="9" t="str">
        <f>"FES1162727266"</f>
        <v>FES1162727266</v>
      </c>
      <c r="D411" s="9" t="s">
        <v>19</v>
      </c>
      <c r="E411" s="9" t="s">
        <v>34</v>
      </c>
      <c r="F411" s="9" t="str">
        <f>"21707120755 "</f>
        <v xml:space="preserve">21707120755 </v>
      </c>
      <c r="G411" s="9" t="str">
        <f t="shared" si="13"/>
        <v>ON1</v>
      </c>
      <c r="H411" s="9" t="s">
        <v>21</v>
      </c>
      <c r="I411" s="9" t="s">
        <v>35</v>
      </c>
      <c r="J411" s="9" t="str">
        <f>""</f>
        <v/>
      </c>
      <c r="K411" s="9" t="str">
        <f>"PFES1162727266_0001"</f>
        <v>PFES1162727266_0001</v>
      </c>
      <c r="L411" s="9">
        <v>1</v>
      </c>
      <c r="M411" s="9">
        <v>1</v>
      </c>
    </row>
    <row r="412" spans="1:13">
      <c r="A412" s="7">
        <v>43805</v>
      </c>
      <c r="B412" s="8">
        <v>0.56736111111111109</v>
      </c>
      <c r="C412" s="9" t="str">
        <f>"FES1162727255"</f>
        <v>FES1162727255</v>
      </c>
      <c r="D412" s="9" t="s">
        <v>19</v>
      </c>
      <c r="E412" s="9" t="s">
        <v>59</v>
      </c>
      <c r="F412" s="9" t="str">
        <f>"2170720744 "</f>
        <v xml:space="preserve">2170720744 </v>
      </c>
      <c r="G412" s="9" t="str">
        <f t="shared" si="13"/>
        <v>ON1</v>
      </c>
      <c r="H412" s="9" t="s">
        <v>21</v>
      </c>
      <c r="I412" s="9" t="s">
        <v>60</v>
      </c>
      <c r="J412" s="9" t="str">
        <f>""</f>
        <v/>
      </c>
      <c r="K412" s="9" t="str">
        <f>"PFES1162727255_0001"</f>
        <v>PFES1162727255_0001</v>
      </c>
      <c r="L412" s="9">
        <v>1</v>
      </c>
      <c r="M412" s="9">
        <v>1</v>
      </c>
    </row>
    <row r="413" spans="1:13">
      <c r="A413" s="7">
        <v>43805</v>
      </c>
      <c r="B413" s="8">
        <v>0.56736111111111109</v>
      </c>
      <c r="C413" s="9" t="str">
        <f>"FES1162727245"</f>
        <v>FES1162727245</v>
      </c>
      <c r="D413" s="9" t="s">
        <v>19</v>
      </c>
      <c r="E413" s="9" t="s">
        <v>260</v>
      </c>
      <c r="F413" s="9" t="str">
        <f>"21707120736 "</f>
        <v xml:space="preserve">21707120736 </v>
      </c>
      <c r="G413" s="9" t="str">
        <f t="shared" si="13"/>
        <v>ON1</v>
      </c>
      <c r="H413" s="9" t="s">
        <v>21</v>
      </c>
      <c r="I413" s="9" t="s">
        <v>216</v>
      </c>
      <c r="J413" s="9" t="str">
        <f>""</f>
        <v/>
      </c>
      <c r="K413" s="9" t="str">
        <f>"PFES1162727245_0001"</f>
        <v>PFES1162727245_0001</v>
      </c>
      <c r="L413" s="9">
        <v>1</v>
      </c>
      <c r="M413" s="9">
        <v>1</v>
      </c>
    </row>
    <row r="414" spans="1:13">
      <c r="A414" s="7">
        <v>43805</v>
      </c>
      <c r="B414" s="8">
        <v>0.56666666666666665</v>
      </c>
      <c r="C414" s="9" t="str">
        <f>"FES1162727239"</f>
        <v>FES1162727239</v>
      </c>
      <c r="D414" s="9" t="s">
        <v>19</v>
      </c>
      <c r="E414" s="9" t="s">
        <v>42</v>
      </c>
      <c r="F414" s="9" t="str">
        <f>"2170712072 "</f>
        <v xml:space="preserve">2170712072 </v>
      </c>
      <c r="G414" s="9" t="str">
        <f t="shared" si="13"/>
        <v>ON1</v>
      </c>
      <c r="H414" s="9" t="s">
        <v>21</v>
      </c>
      <c r="I414" s="9" t="s">
        <v>43</v>
      </c>
      <c r="J414" s="9" t="str">
        <f>""</f>
        <v/>
      </c>
      <c r="K414" s="9" t="str">
        <f>"PFES1162727239_0001"</f>
        <v>PFES1162727239_0001</v>
      </c>
      <c r="L414" s="9">
        <v>1</v>
      </c>
      <c r="M414" s="9">
        <v>1</v>
      </c>
    </row>
    <row r="415" spans="1:13">
      <c r="A415" s="7">
        <v>43805</v>
      </c>
      <c r="B415" s="8">
        <v>0.56666666666666665</v>
      </c>
      <c r="C415" s="9" t="str">
        <f>"FES1162727211"</f>
        <v>FES1162727211</v>
      </c>
      <c r="D415" s="9" t="s">
        <v>19</v>
      </c>
      <c r="E415" s="9" t="s">
        <v>384</v>
      </c>
      <c r="F415" s="9" t="str">
        <f>"2170720689 "</f>
        <v xml:space="preserve">2170720689 </v>
      </c>
      <c r="G415" s="9" t="str">
        <f t="shared" si="13"/>
        <v>ON1</v>
      </c>
      <c r="H415" s="9" t="s">
        <v>21</v>
      </c>
      <c r="I415" s="9" t="s">
        <v>385</v>
      </c>
      <c r="J415" s="9" t="str">
        <f>""</f>
        <v/>
      </c>
      <c r="K415" s="9" t="str">
        <f>"PFES1162727211_0001"</f>
        <v>PFES1162727211_0001</v>
      </c>
      <c r="L415" s="9">
        <v>1</v>
      </c>
      <c r="M415" s="9">
        <v>1</v>
      </c>
    </row>
    <row r="416" spans="1:13">
      <c r="A416" s="7">
        <v>43805</v>
      </c>
      <c r="B416" s="8">
        <v>0.56666666666666665</v>
      </c>
      <c r="C416" s="9" t="str">
        <f>"FES1162727261"</f>
        <v>FES1162727261</v>
      </c>
      <c r="D416" s="9" t="s">
        <v>19</v>
      </c>
      <c r="E416" s="9" t="s">
        <v>386</v>
      </c>
      <c r="F416" s="9" t="str">
        <f>"2170720750 "</f>
        <v xml:space="preserve">2170720750 </v>
      </c>
      <c r="G416" s="9" t="str">
        <f t="shared" si="13"/>
        <v>ON1</v>
      </c>
      <c r="H416" s="9" t="s">
        <v>21</v>
      </c>
      <c r="I416" s="9" t="s">
        <v>387</v>
      </c>
      <c r="J416" s="9" t="str">
        <f>""</f>
        <v/>
      </c>
      <c r="K416" s="9" t="str">
        <f>"PFES1162727261_0001"</f>
        <v>PFES1162727261_0001</v>
      </c>
      <c r="L416" s="9">
        <v>1</v>
      </c>
      <c r="M416" s="9">
        <v>1</v>
      </c>
    </row>
    <row r="417" spans="1:13">
      <c r="A417" s="7">
        <v>43805</v>
      </c>
      <c r="B417" s="8">
        <v>0.56180555555555556</v>
      </c>
      <c r="C417" s="9" t="str">
        <f>"FES1162727210"</f>
        <v>FES1162727210</v>
      </c>
      <c r="D417" s="9" t="s">
        <v>19</v>
      </c>
      <c r="E417" s="9" t="s">
        <v>384</v>
      </c>
      <c r="F417" s="9" t="str">
        <f>"2170720688 "</f>
        <v xml:space="preserve">2170720688 </v>
      </c>
      <c r="G417" s="9" t="str">
        <f t="shared" si="13"/>
        <v>ON1</v>
      </c>
      <c r="H417" s="9" t="s">
        <v>21</v>
      </c>
      <c r="I417" s="9" t="s">
        <v>385</v>
      </c>
      <c r="J417" s="9" t="str">
        <f>""</f>
        <v/>
      </c>
      <c r="K417" s="9" t="str">
        <f>"PFES1162727210_0001"</f>
        <v>PFES1162727210_0001</v>
      </c>
      <c r="L417" s="9">
        <v>1</v>
      </c>
      <c r="M417" s="9">
        <v>1</v>
      </c>
    </row>
    <row r="418" spans="1:13">
      <c r="A418" s="7">
        <v>43805</v>
      </c>
      <c r="B418" s="8">
        <v>0.56111111111111112</v>
      </c>
      <c r="C418" s="9" t="str">
        <f>"FES1162727146"</f>
        <v>FES1162727146</v>
      </c>
      <c r="D418" s="9" t="s">
        <v>19</v>
      </c>
      <c r="E418" s="9" t="s">
        <v>55</v>
      </c>
      <c r="F418" s="9" t="str">
        <f>"2170720029 "</f>
        <v xml:space="preserve">2170720029 </v>
      </c>
      <c r="G418" s="9" t="str">
        <f t="shared" si="13"/>
        <v>ON1</v>
      </c>
      <c r="H418" s="9" t="s">
        <v>21</v>
      </c>
      <c r="I418" s="9" t="s">
        <v>56</v>
      </c>
      <c r="J418" s="9" t="str">
        <f>""</f>
        <v/>
      </c>
      <c r="K418" s="9" t="str">
        <f>"PFES1162727146_0001"</f>
        <v>PFES1162727146_0001</v>
      </c>
      <c r="L418" s="9">
        <v>1</v>
      </c>
      <c r="M418" s="9">
        <v>1</v>
      </c>
    </row>
    <row r="419" spans="1:13">
      <c r="A419" s="7">
        <v>43805</v>
      </c>
      <c r="B419" s="8">
        <v>0.56041666666666667</v>
      </c>
      <c r="C419" s="9" t="str">
        <f>"FES1162727203"</f>
        <v>FES1162727203</v>
      </c>
      <c r="D419" s="9" t="s">
        <v>19</v>
      </c>
      <c r="E419" s="9" t="s">
        <v>290</v>
      </c>
      <c r="F419" s="9" t="str">
        <f>"2170720678 "</f>
        <v xml:space="preserve">2170720678 </v>
      </c>
      <c r="G419" s="9" t="str">
        <f t="shared" si="13"/>
        <v>ON1</v>
      </c>
      <c r="H419" s="9" t="s">
        <v>21</v>
      </c>
      <c r="I419" s="9" t="s">
        <v>123</v>
      </c>
      <c r="J419" s="9" t="str">
        <f>""</f>
        <v/>
      </c>
      <c r="K419" s="9" t="str">
        <f>"PFES1162727203_0001"</f>
        <v>PFES1162727203_0001</v>
      </c>
      <c r="L419" s="9">
        <v>1</v>
      </c>
      <c r="M419" s="9">
        <v>1</v>
      </c>
    </row>
    <row r="420" spans="1:13">
      <c r="A420" s="7">
        <v>43805</v>
      </c>
      <c r="B420" s="8">
        <v>0.55972222222222223</v>
      </c>
      <c r="C420" s="9" t="str">
        <f>"FES1162727151"</f>
        <v>FES1162727151</v>
      </c>
      <c r="D420" s="9" t="s">
        <v>19</v>
      </c>
      <c r="E420" s="9" t="s">
        <v>260</v>
      </c>
      <c r="F420" s="9" t="str">
        <f>"2170720617 "</f>
        <v xml:space="preserve">2170720617 </v>
      </c>
      <c r="G420" s="9" t="str">
        <f t="shared" si="13"/>
        <v>ON1</v>
      </c>
      <c r="H420" s="9" t="s">
        <v>21</v>
      </c>
      <c r="I420" s="9" t="s">
        <v>216</v>
      </c>
      <c r="J420" s="9" t="str">
        <f>""</f>
        <v/>
      </c>
      <c r="K420" s="9" t="str">
        <f>"PFES1162727151_0001"</f>
        <v>PFES1162727151_0001</v>
      </c>
      <c r="L420" s="9">
        <v>1</v>
      </c>
      <c r="M420" s="9">
        <v>1</v>
      </c>
    </row>
    <row r="421" spans="1:13">
      <c r="A421" s="7">
        <v>43805</v>
      </c>
      <c r="B421" s="8">
        <v>0.55902777777777779</v>
      </c>
      <c r="C421" s="9" t="str">
        <f>"FES1162727225"</f>
        <v>FES1162727225</v>
      </c>
      <c r="D421" s="9" t="s">
        <v>19</v>
      </c>
      <c r="E421" s="9" t="s">
        <v>388</v>
      </c>
      <c r="F421" s="9" t="str">
        <f>"2170720712 "</f>
        <v xml:space="preserve">2170720712 </v>
      </c>
      <c r="G421" s="9" t="str">
        <f t="shared" si="13"/>
        <v>ON1</v>
      </c>
      <c r="H421" s="9" t="s">
        <v>21</v>
      </c>
      <c r="I421" s="9" t="s">
        <v>389</v>
      </c>
      <c r="J421" s="9" t="str">
        <f>""</f>
        <v/>
      </c>
      <c r="K421" s="9" t="str">
        <f>"PFES1162727225_0001"</f>
        <v>PFES1162727225_0001</v>
      </c>
      <c r="L421" s="9">
        <v>1</v>
      </c>
      <c r="M421" s="9">
        <v>1</v>
      </c>
    </row>
    <row r="422" spans="1:13">
      <c r="A422" s="7">
        <v>43805</v>
      </c>
      <c r="B422" s="8">
        <v>0.55833333333333335</v>
      </c>
      <c r="C422" s="9" t="str">
        <f>"FES1162727060"</f>
        <v>FES1162727060</v>
      </c>
      <c r="D422" s="9" t="s">
        <v>19</v>
      </c>
      <c r="E422" s="9" t="s">
        <v>199</v>
      </c>
      <c r="F422" s="9" t="str">
        <f>"2170720535 "</f>
        <v xml:space="preserve">2170720535 </v>
      </c>
      <c r="G422" s="9" t="str">
        <f t="shared" si="13"/>
        <v>ON1</v>
      </c>
      <c r="H422" s="9" t="s">
        <v>21</v>
      </c>
      <c r="I422" s="9" t="s">
        <v>161</v>
      </c>
      <c r="J422" s="9" t="str">
        <f>""</f>
        <v/>
      </c>
      <c r="K422" s="9" t="str">
        <f>"PFES1162727060_0001"</f>
        <v>PFES1162727060_0001</v>
      </c>
      <c r="L422" s="9">
        <v>1</v>
      </c>
      <c r="M422" s="9">
        <v>1</v>
      </c>
    </row>
    <row r="423" spans="1:13">
      <c r="A423" s="7">
        <v>43805</v>
      </c>
      <c r="B423" s="8">
        <v>0.55694444444444446</v>
      </c>
      <c r="C423" s="9" t="str">
        <f>"FES1162727137"</f>
        <v>FES1162727137</v>
      </c>
      <c r="D423" s="9" t="s">
        <v>19</v>
      </c>
      <c r="E423" s="9" t="s">
        <v>390</v>
      </c>
      <c r="F423" s="9" t="str">
        <f>"2170720606 "</f>
        <v xml:space="preserve">2170720606 </v>
      </c>
      <c r="G423" s="9" t="str">
        <f t="shared" si="13"/>
        <v>ON1</v>
      </c>
      <c r="H423" s="9" t="s">
        <v>21</v>
      </c>
      <c r="I423" s="9" t="s">
        <v>175</v>
      </c>
      <c r="J423" s="9" t="str">
        <f>""</f>
        <v/>
      </c>
      <c r="K423" s="9" t="str">
        <f>"PFES1162727137_0001"</f>
        <v>PFES1162727137_0001</v>
      </c>
      <c r="L423" s="9">
        <v>1</v>
      </c>
      <c r="M423" s="9">
        <v>1</v>
      </c>
    </row>
    <row r="424" spans="1:13">
      <c r="A424" s="7">
        <v>43805</v>
      </c>
      <c r="B424" s="8">
        <v>0.55625000000000002</v>
      </c>
      <c r="C424" s="9" t="str">
        <f>"FES1162727061"</f>
        <v>FES1162727061</v>
      </c>
      <c r="D424" s="9" t="s">
        <v>19</v>
      </c>
      <c r="E424" s="9" t="s">
        <v>199</v>
      </c>
      <c r="F424" s="9" t="str">
        <f>"2170720536 "</f>
        <v xml:space="preserve">2170720536 </v>
      </c>
      <c r="G424" s="9" t="str">
        <f t="shared" si="13"/>
        <v>ON1</v>
      </c>
      <c r="H424" s="9" t="s">
        <v>21</v>
      </c>
      <c r="I424" s="9" t="s">
        <v>161</v>
      </c>
      <c r="J424" s="9" t="str">
        <f>""</f>
        <v/>
      </c>
      <c r="K424" s="9" t="str">
        <f>"PFES1162727061_0001"</f>
        <v>PFES1162727061_0001</v>
      </c>
      <c r="L424" s="9">
        <v>1</v>
      </c>
      <c r="M424" s="9">
        <v>1</v>
      </c>
    </row>
    <row r="425" spans="1:13">
      <c r="A425" s="7">
        <v>43805</v>
      </c>
      <c r="B425" s="8">
        <v>0.55555555555555558</v>
      </c>
      <c r="C425" s="9" t="str">
        <f>"FES1162727241"</f>
        <v>FES1162727241</v>
      </c>
      <c r="D425" s="9" t="s">
        <v>19</v>
      </c>
      <c r="E425" s="9" t="s">
        <v>24</v>
      </c>
      <c r="F425" s="9" t="str">
        <f>"2170720730 "</f>
        <v xml:space="preserve">2170720730 </v>
      </c>
      <c r="G425" s="9" t="str">
        <f t="shared" si="13"/>
        <v>ON1</v>
      </c>
      <c r="H425" s="9" t="s">
        <v>21</v>
      </c>
      <c r="I425" s="9" t="s">
        <v>25</v>
      </c>
      <c r="J425" s="9" t="str">
        <f>""</f>
        <v/>
      </c>
      <c r="K425" s="9" t="str">
        <f>"PFES1162727241_0001"</f>
        <v>PFES1162727241_0001</v>
      </c>
      <c r="L425" s="9">
        <v>1</v>
      </c>
      <c r="M425" s="9">
        <v>1</v>
      </c>
    </row>
    <row r="426" spans="1:13">
      <c r="A426" s="7">
        <v>43805</v>
      </c>
      <c r="B426" s="8">
        <v>0.55486111111111114</v>
      </c>
      <c r="C426" s="9" t="str">
        <f>"FES1162727156"</f>
        <v>FES1162727156</v>
      </c>
      <c r="D426" s="9" t="s">
        <v>19</v>
      </c>
      <c r="E426" s="9" t="s">
        <v>391</v>
      </c>
      <c r="F426" s="9" t="str">
        <f>"2170717091 "</f>
        <v xml:space="preserve">2170717091 </v>
      </c>
      <c r="G426" s="9" t="str">
        <f t="shared" si="13"/>
        <v>ON1</v>
      </c>
      <c r="H426" s="9" t="s">
        <v>21</v>
      </c>
      <c r="I426" s="9" t="s">
        <v>117</v>
      </c>
      <c r="J426" s="9" t="str">
        <f>""</f>
        <v/>
      </c>
      <c r="K426" s="9" t="str">
        <f>"PFES1162727156_0001"</f>
        <v>PFES1162727156_0001</v>
      </c>
      <c r="L426" s="9">
        <v>1</v>
      </c>
      <c r="M426" s="9">
        <v>1</v>
      </c>
    </row>
    <row r="427" spans="1:13">
      <c r="A427" s="7">
        <v>43805</v>
      </c>
      <c r="B427" s="8">
        <v>0.55347222222222225</v>
      </c>
      <c r="C427" s="9" t="str">
        <f>"FES1162727243"</f>
        <v>FES1162727243</v>
      </c>
      <c r="D427" s="9" t="s">
        <v>19</v>
      </c>
      <c r="E427" s="9" t="s">
        <v>293</v>
      </c>
      <c r="F427" s="9" t="str">
        <f>"2170720734 "</f>
        <v xml:space="preserve">2170720734 </v>
      </c>
      <c r="G427" s="9" t="str">
        <f t="shared" si="13"/>
        <v>ON1</v>
      </c>
      <c r="H427" s="9" t="s">
        <v>21</v>
      </c>
      <c r="I427" s="9" t="s">
        <v>294</v>
      </c>
      <c r="J427" s="9" t="str">
        <f>""</f>
        <v/>
      </c>
      <c r="K427" s="9" t="str">
        <f>"PFES1162727243_0001"</f>
        <v>PFES1162727243_0001</v>
      </c>
      <c r="L427" s="9">
        <v>1</v>
      </c>
      <c r="M427" s="9">
        <v>1</v>
      </c>
    </row>
    <row r="428" spans="1:13">
      <c r="A428" s="7">
        <v>43805</v>
      </c>
      <c r="B428" s="8">
        <v>0.55069444444444449</v>
      </c>
      <c r="C428" s="9" t="str">
        <f>"FES1162727244"</f>
        <v>FES1162727244</v>
      </c>
      <c r="D428" s="9" t="s">
        <v>19</v>
      </c>
      <c r="E428" s="9" t="s">
        <v>149</v>
      </c>
      <c r="F428" s="9" t="str">
        <f>"2170710735 "</f>
        <v xml:space="preserve">2170710735 </v>
      </c>
      <c r="G428" s="9" t="str">
        <f t="shared" si="13"/>
        <v>ON1</v>
      </c>
      <c r="H428" s="9" t="s">
        <v>21</v>
      </c>
      <c r="I428" s="9" t="s">
        <v>119</v>
      </c>
      <c r="J428" s="9" t="str">
        <f>""</f>
        <v/>
      </c>
      <c r="K428" s="9" t="str">
        <f>"PFES1162727244_0001"</f>
        <v>PFES1162727244_0001</v>
      </c>
      <c r="L428" s="9">
        <v>1</v>
      </c>
      <c r="M428" s="9">
        <v>2</v>
      </c>
    </row>
    <row r="429" spans="1:13">
      <c r="A429" s="7">
        <v>43805</v>
      </c>
      <c r="B429" s="8">
        <v>0.54999999999999993</v>
      </c>
      <c r="C429" s="9" t="str">
        <f>"FES1162727254"</f>
        <v>FES1162727254</v>
      </c>
      <c r="D429" s="9" t="s">
        <v>19</v>
      </c>
      <c r="E429" s="9" t="s">
        <v>24</v>
      </c>
      <c r="F429" s="9" t="str">
        <f>"2170720741 "</f>
        <v xml:space="preserve">2170720741 </v>
      </c>
      <c r="G429" s="9" t="str">
        <f t="shared" si="13"/>
        <v>ON1</v>
      </c>
      <c r="H429" s="9" t="s">
        <v>21</v>
      </c>
      <c r="I429" s="9" t="s">
        <v>25</v>
      </c>
      <c r="J429" s="9" t="str">
        <f>""</f>
        <v/>
      </c>
      <c r="K429" s="9" t="str">
        <f>"PFES1162727254_0001"</f>
        <v>PFES1162727254_0001</v>
      </c>
      <c r="L429" s="9">
        <v>2</v>
      </c>
      <c r="M429" s="9">
        <v>18</v>
      </c>
    </row>
    <row r="430" spans="1:13">
      <c r="A430" s="7">
        <v>43805</v>
      </c>
      <c r="B430" s="8">
        <v>0.5493055555555556</v>
      </c>
      <c r="C430" s="9" t="str">
        <f>"FES1162727119"</f>
        <v>FES1162727119</v>
      </c>
      <c r="D430" s="9" t="s">
        <v>19</v>
      </c>
      <c r="E430" s="9" t="s">
        <v>392</v>
      </c>
      <c r="F430" s="9" t="str">
        <f>"2170719920 "</f>
        <v xml:space="preserve">2170719920 </v>
      </c>
      <c r="G430" s="9" t="str">
        <f t="shared" si="13"/>
        <v>ON1</v>
      </c>
      <c r="H430" s="9" t="s">
        <v>21</v>
      </c>
      <c r="I430" s="9" t="s">
        <v>100</v>
      </c>
      <c r="J430" s="9" t="str">
        <f>""</f>
        <v/>
      </c>
      <c r="K430" s="9" t="str">
        <f>"PFES1162727119_0001"</f>
        <v>PFES1162727119_0001</v>
      </c>
      <c r="L430" s="9">
        <v>1</v>
      </c>
      <c r="M430" s="9">
        <v>2</v>
      </c>
    </row>
    <row r="431" spans="1:13">
      <c r="A431" s="7">
        <v>43805</v>
      </c>
      <c r="B431" s="8">
        <v>0.5493055555555556</v>
      </c>
      <c r="C431" s="9" t="str">
        <f>"FES1162727171"</f>
        <v>FES1162727171</v>
      </c>
      <c r="D431" s="9" t="s">
        <v>19</v>
      </c>
      <c r="E431" s="9" t="s">
        <v>120</v>
      </c>
      <c r="F431" s="9" t="str">
        <f>"21707106041 "</f>
        <v xml:space="preserve">21707106041 </v>
      </c>
      <c r="G431" s="9" t="str">
        <f t="shared" si="13"/>
        <v>ON1</v>
      </c>
      <c r="H431" s="9" t="s">
        <v>21</v>
      </c>
      <c r="I431" s="9" t="s">
        <v>121</v>
      </c>
      <c r="J431" s="9" t="str">
        <f>""</f>
        <v/>
      </c>
      <c r="K431" s="9" t="str">
        <f>"PFES1162727171_0001"</f>
        <v>PFES1162727171_0001</v>
      </c>
      <c r="L431" s="9">
        <v>1</v>
      </c>
      <c r="M431" s="9">
        <v>3</v>
      </c>
    </row>
    <row r="432" spans="1:13">
      <c r="A432" s="7">
        <v>43805</v>
      </c>
      <c r="B432" s="8">
        <v>0.54861111111111105</v>
      </c>
      <c r="C432" s="9" t="str">
        <f>"FES1162727063"</f>
        <v>FES1162727063</v>
      </c>
      <c r="D432" s="9" t="s">
        <v>19</v>
      </c>
      <c r="E432" s="9" t="s">
        <v>292</v>
      </c>
      <c r="F432" s="9" t="str">
        <f>"217071539 "</f>
        <v xml:space="preserve">217071539 </v>
      </c>
      <c r="G432" s="9" t="str">
        <f t="shared" si="13"/>
        <v>ON1</v>
      </c>
      <c r="H432" s="9" t="s">
        <v>21</v>
      </c>
      <c r="I432" s="9" t="s">
        <v>78</v>
      </c>
      <c r="J432" s="9" t="str">
        <f>""</f>
        <v/>
      </c>
      <c r="K432" s="9" t="str">
        <f>"PFES1162727063_0001"</f>
        <v>PFES1162727063_0001</v>
      </c>
      <c r="L432" s="9">
        <v>1</v>
      </c>
      <c r="M432" s="9">
        <v>5</v>
      </c>
    </row>
    <row r="433" spans="1:13">
      <c r="A433" s="7">
        <v>43805</v>
      </c>
      <c r="B433" s="8">
        <v>0.54861111111111105</v>
      </c>
      <c r="C433" s="9" t="str">
        <f>"FES1162727143"</f>
        <v>FES1162727143</v>
      </c>
      <c r="D433" s="9" t="s">
        <v>19</v>
      </c>
      <c r="E433" s="9" t="s">
        <v>99</v>
      </c>
      <c r="F433" s="9" t="str">
        <f>"217071613 "</f>
        <v xml:space="preserve">217071613 </v>
      </c>
      <c r="G433" s="9" t="str">
        <f t="shared" si="13"/>
        <v>ON1</v>
      </c>
      <c r="H433" s="9" t="s">
        <v>21</v>
      </c>
      <c r="I433" s="9" t="s">
        <v>100</v>
      </c>
      <c r="J433" s="9" t="str">
        <f>""</f>
        <v/>
      </c>
      <c r="K433" s="9" t="str">
        <f>"PFES1162727143_0001"</f>
        <v>PFES1162727143_0001</v>
      </c>
      <c r="L433" s="9">
        <v>1</v>
      </c>
      <c r="M433" s="9">
        <v>6</v>
      </c>
    </row>
    <row r="434" spans="1:13">
      <c r="A434" s="7">
        <v>43805</v>
      </c>
      <c r="B434" s="8">
        <v>0.54791666666666672</v>
      </c>
      <c r="C434" s="9" t="str">
        <f>"FES1162726966"</f>
        <v>FES1162726966</v>
      </c>
      <c r="D434" s="9" t="s">
        <v>19</v>
      </c>
      <c r="E434" s="9" t="s">
        <v>271</v>
      </c>
      <c r="F434" s="9" t="str">
        <f>"2170710092 "</f>
        <v xml:space="preserve">2170710092 </v>
      </c>
      <c r="G434" s="9" t="str">
        <f t="shared" si="13"/>
        <v>ON1</v>
      </c>
      <c r="H434" s="9" t="s">
        <v>21</v>
      </c>
      <c r="I434" s="9" t="s">
        <v>272</v>
      </c>
      <c r="J434" s="9" t="str">
        <f>""</f>
        <v/>
      </c>
      <c r="K434" s="9" t="str">
        <f>"PFES1162726966_0001"</f>
        <v>PFES1162726966_0001</v>
      </c>
      <c r="L434" s="9">
        <v>2</v>
      </c>
      <c r="M434" s="9">
        <v>12</v>
      </c>
    </row>
    <row r="435" spans="1:13">
      <c r="A435" s="7">
        <v>43805</v>
      </c>
      <c r="B435" s="8">
        <v>0.54791666666666672</v>
      </c>
      <c r="C435" s="9" t="str">
        <f>"FES1162726893"</f>
        <v>FES1162726893</v>
      </c>
      <c r="D435" s="9" t="s">
        <v>19</v>
      </c>
      <c r="E435" s="9" t="s">
        <v>393</v>
      </c>
      <c r="F435" s="9" t="str">
        <f>"21707201013 "</f>
        <v xml:space="preserve">21707201013 </v>
      </c>
      <c r="G435" s="9" t="str">
        <f t="shared" si="13"/>
        <v>ON1</v>
      </c>
      <c r="H435" s="9" t="s">
        <v>21</v>
      </c>
      <c r="I435" s="9" t="s">
        <v>78</v>
      </c>
      <c r="J435" s="9" t="str">
        <f>""</f>
        <v/>
      </c>
      <c r="K435" s="9" t="str">
        <f>"PFES1162726893_0001"</f>
        <v>PFES1162726893_0001</v>
      </c>
      <c r="L435" s="9">
        <v>1</v>
      </c>
      <c r="M435" s="9">
        <v>13</v>
      </c>
    </row>
    <row r="436" spans="1:13">
      <c r="A436" s="7">
        <v>43805</v>
      </c>
      <c r="B436" s="8">
        <v>0.54097222222222219</v>
      </c>
      <c r="C436" s="9" t="str">
        <f>"FES1162727252"</f>
        <v>FES1162727252</v>
      </c>
      <c r="D436" s="9" t="s">
        <v>19</v>
      </c>
      <c r="E436" s="9" t="s">
        <v>53</v>
      </c>
      <c r="F436" s="9" t="str">
        <f>"2170720740 "</f>
        <v xml:space="preserve">2170720740 </v>
      </c>
      <c r="G436" s="9" t="str">
        <f t="shared" si="13"/>
        <v>ON1</v>
      </c>
      <c r="H436" s="9" t="s">
        <v>21</v>
      </c>
      <c r="I436" s="9" t="s">
        <v>54</v>
      </c>
      <c r="J436" s="9" t="str">
        <f>""</f>
        <v/>
      </c>
      <c r="K436" s="9" t="str">
        <f>"PFES1162727252_0001"</f>
        <v>PFES1162727252_0001</v>
      </c>
      <c r="L436" s="9">
        <v>1</v>
      </c>
      <c r="M436" s="9">
        <v>1</v>
      </c>
    </row>
    <row r="437" spans="1:13">
      <c r="A437" s="7">
        <v>43805</v>
      </c>
      <c r="B437" s="8">
        <v>0.54027777777777775</v>
      </c>
      <c r="C437" s="9" t="str">
        <f>"FES1162727231"</f>
        <v>FES1162727231</v>
      </c>
      <c r="D437" s="9" t="s">
        <v>19</v>
      </c>
      <c r="E437" s="9" t="s">
        <v>394</v>
      </c>
      <c r="F437" s="9" t="str">
        <f>"2170720719 "</f>
        <v xml:space="preserve">2170720719 </v>
      </c>
      <c r="G437" s="9" t="str">
        <f t="shared" si="13"/>
        <v>ON1</v>
      </c>
      <c r="H437" s="9" t="s">
        <v>21</v>
      </c>
      <c r="I437" s="9" t="s">
        <v>168</v>
      </c>
      <c r="J437" s="9" t="str">
        <f>""</f>
        <v/>
      </c>
      <c r="K437" s="9" t="str">
        <f>"PFES1162727231_0001"</f>
        <v>PFES1162727231_0001</v>
      </c>
      <c r="L437" s="9">
        <v>1</v>
      </c>
      <c r="M437" s="9">
        <v>1</v>
      </c>
    </row>
    <row r="438" spans="1:13">
      <c r="A438" s="7">
        <v>43805</v>
      </c>
      <c r="B438" s="8">
        <v>0.5395833333333333</v>
      </c>
      <c r="C438" s="9" t="str">
        <f>"FES1162727260"</f>
        <v>FES1162727260</v>
      </c>
      <c r="D438" s="9" t="s">
        <v>19</v>
      </c>
      <c r="E438" s="9" t="s">
        <v>395</v>
      </c>
      <c r="F438" s="9" t="str">
        <f>"2170720749 "</f>
        <v xml:space="preserve">2170720749 </v>
      </c>
      <c r="G438" s="9" t="str">
        <f t="shared" si="13"/>
        <v>ON1</v>
      </c>
      <c r="H438" s="9" t="s">
        <v>21</v>
      </c>
      <c r="I438" s="9" t="s">
        <v>396</v>
      </c>
      <c r="J438" s="9" t="str">
        <f>""</f>
        <v/>
      </c>
      <c r="K438" s="9" t="str">
        <f>"PFES1162727260_0001"</f>
        <v>PFES1162727260_0001</v>
      </c>
      <c r="L438" s="9">
        <v>1</v>
      </c>
      <c r="M438" s="9">
        <v>1</v>
      </c>
    </row>
    <row r="439" spans="1:13">
      <c r="A439" s="7">
        <v>43805</v>
      </c>
      <c r="B439" s="8">
        <v>0.53888888888888886</v>
      </c>
      <c r="C439" s="9" t="str">
        <f>"FES1162727216"</f>
        <v>FES1162727216</v>
      </c>
      <c r="D439" s="9" t="s">
        <v>19</v>
      </c>
      <c r="E439" s="9" t="s">
        <v>324</v>
      </c>
      <c r="F439" s="9" t="str">
        <f>"2170720694 "</f>
        <v xml:space="preserve">2170720694 </v>
      </c>
      <c r="G439" s="9" t="str">
        <f t="shared" si="13"/>
        <v>ON1</v>
      </c>
      <c r="H439" s="9" t="s">
        <v>21</v>
      </c>
      <c r="I439" s="9" t="s">
        <v>325</v>
      </c>
      <c r="J439" s="9" t="str">
        <f>""</f>
        <v/>
      </c>
      <c r="K439" s="9" t="str">
        <f>"PFES1162727216_0001"</f>
        <v>PFES1162727216_0001</v>
      </c>
      <c r="L439" s="9">
        <v>1</v>
      </c>
      <c r="M439" s="9">
        <v>1</v>
      </c>
    </row>
    <row r="440" spans="1:13">
      <c r="A440" s="7">
        <v>43805</v>
      </c>
      <c r="B440" s="8">
        <v>0.53749999999999998</v>
      </c>
      <c r="C440" s="9" t="str">
        <f>"FES1162727218"</f>
        <v>FES1162727218</v>
      </c>
      <c r="D440" s="9" t="s">
        <v>19</v>
      </c>
      <c r="E440" s="9" t="s">
        <v>184</v>
      </c>
      <c r="F440" s="9" t="str">
        <f>"2170720696 "</f>
        <v xml:space="preserve">2170720696 </v>
      </c>
      <c r="G440" s="9" t="str">
        <f t="shared" si="13"/>
        <v>ON1</v>
      </c>
      <c r="H440" s="9" t="s">
        <v>21</v>
      </c>
      <c r="I440" s="9" t="s">
        <v>43</v>
      </c>
      <c r="J440" s="9" t="str">
        <f>""</f>
        <v/>
      </c>
      <c r="K440" s="9" t="str">
        <f>"PFES1162727218_0001"</f>
        <v>PFES1162727218_0001</v>
      </c>
      <c r="L440" s="9">
        <v>1</v>
      </c>
      <c r="M440" s="9">
        <v>1</v>
      </c>
    </row>
    <row r="441" spans="1:13">
      <c r="A441" s="7">
        <v>43805</v>
      </c>
      <c r="B441" s="8">
        <v>0.53125</v>
      </c>
      <c r="C441" s="9" t="str">
        <f>"FES1162727219"</f>
        <v>FES1162727219</v>
      </c>
      <c r="D441" s="9" t="s">
        <v>19</v>
      </c>
      <c r="E441" s="9" t="s">
        <v>241</v>
      </c>
      <c r="F441" s="9" t="str">
        <f>"2170710269 "</f>
        <v xml:space="preserve">2170710269 </v>
      </c>
      <c r="G441" s="9" t="str">
        <f t="shared" si="13"/>
        <v>ON1</v>
      </c>
      <c r="H441" s="9" t="s">
        <v>21</v>
      </c>
      <c r="I441" s="9" t="s">
        <v>72</v>
      </c>
      <c r="J441" s="9" t="str">
        <f>""</f>
        <v/>
      </c>
      <c r="K441" s="9" t="str">
        <f>"PFES1162727219_0001"</f>
        <v>PFES1162727219_0001</v>
      </c>
      <c r="L441" s="9">
        <v>1</v>
      </c>
      <c r="M441" s="9">
        <v>2</v>
      </c>
    </row>
    <row r="442" spans="1:13">
      <c r="A442" s="7">
        <v>43805</v>
      </c>
      <c r="B442" s="8">
        <v>0.53125</v>
      </c>
      <c r="C442" s="9" t="str">
        <f>"FES1162727086"</f>
        <v>FES1162727086</v>
      </c>
      <c r="D442" s="9" t="s">
        <v>19</v>
      </c>
      <c r="E442" s="9" t="s">
        <v>397</v>
      </c>
      <c r="F442" s="9" t="str">
        <f>"2170710549 "</f>
        <v xml:space="preserve">2170710549 </v>
      </c>
      <c r="G442" s="9" t="str">
        <f t="shared" si="13"/>
        <v>ON1</v>
      </c>
      <c r="H442" s="9" t="s">
        <v>21</v>
      </c>
      <c r="I442" s="9" t="s">
        <v>398</v>
      </c>
      <c r="J442" s="9" t="str">
        <f>""</f>
        <v/>
      </c>
      <c r="K442" s="9" t="str">
        <f>"PFES1162727086_0001"</f>
        <v>PFES1162727086_0001</v>
      </c>
      <c r="L442" s="9">
        <v>1</v>
      </c>
      <c r="M442" s="9">
        <v>2</v>
      </c>
    </row>
    <row r="443" spans="1:13">
      <c r="A443" s="7">
        <v>43805</v>
      </c>
      <c r="B443" s="8">
        <v>0.53055555555555556</v>
      </c>
      <c r="C443" s="9" t="str">
        <f>"FES1162727078"</f>
        <v>FES1162727078</v>
      </c>
      <c r="D443" s="9" t="s">
        <v>19</v>
      </c>
      <c r="E443" s="9" t="s">
        <v>399</v>
      </c>
      <c r="F443" s="9" t="str">
        <f>"2170717983 "</f>
        <v xml:space="preserve">2170717983 </v>
      </c>
      <c r="G443" s="9" t="str">
        <f t="shared" si="13"/>
        <v>ON1</v>
      </c>
      <c r="H443" s="9" t="s">
        <v>21</v>
      </c>
      <c r="I443" s="9" t="s">
        <v>400</v>
      </c>
      <c r="J443" s="9" t="str">
        <f>""</f>
        <v/>
      </c>
      <c r="K443" s="9" t="str">
        <f>"PFES1162727078_0001"</f>
        <v>PFES1162727078_0001</v>
      </c>
      <c r="L443" s="9">
        <v>1</v>
      </c>
      <c r="M443" s="9">
        <v>2</v>
      </c>
    </row>
    <row r="444" spans="1:13">
      <c r="A444" s="7">
        <v>43805</v>
      </c>
      <c r="B444" s="8">
        <v>0.53055555555555556</v>
      </c>
      <c r="C444" s="9" t="str">
        <f>"FES1162727201"</f>
        <v>FES1162727201</v>
      </c>
      <c r="D444" s="9" t="s">
        <v>19</v>
      </c>
      <c r="E444" s="9" t="s">
        <v>24</v>
      </c>
      <c r="F444" s="9" t="str">
        <f>"2170720679 "</f>
        <v xml:space="preserve">2170720679 </v>
      </c>
      <c r="G444" s="9" t="str">
        <f t="shared" si="13"/>
        <v>ON1</v>
      </c>
      <c r="H444" s="9" t="s">
        <v>21</v>
      </c>
      <c r="I444" s="9" t="s">
        <v>25</v>
      </c>
      <c r="J444" s="9" t="str">
        <f>""</f>
        <v/>
      </c>
      <c r="K444" s="9" t="str">
        <f>"PFES1162727201_0001"</f>
        <v>PFES1162727201_0001</v>
      </c>
      <c r="L444" s="9">
        <v>1</v>
      </c>
      <c r="M444" s="9">
        <v>1</v>
      </c>
    </row>
    <row r="445" spans="1:13">
      <c r="A445" s="7">
        <v>43805</v>
      </c>
      <c r="B445" s="8">
        <v>0.52986111111111112</v>
      </c>
      <c r="C445" s="9" t="str">
        <f>"FES1162727109"</f>
        <v>FES1162727109</v>
      </c>
      <c r="D445" s="9" t="s">
        <v>19</v>
      </c>
      <c r="E445" s="9" t="s">
        <v>401</v>
      </c>
      <c r="F445" s="9" t="str">
        <f>"2170720576 "</f>
        <v xml:space="preserve">2170720576 </v>
      </c>
      <c r="G445" s="9" t="str">
        <f t="shared" si="13"/>
        <v>ON1</v>
      </c>
      <c r="H445" s="9" t="s">
        <v>21</v>
      </c>
      <c r="I445" s="9" t="s">
        <v>402</v>
      </c>
      <c r="J445" s="9" t="str">
        <f>""</f>
        <v/>
      </c>
      <c r="K445" s="9" t="str">
        <f>"PFES1162727109_0001"</f>
        <v>PFES1162727109_0001</v>
      </c>
      <c r="L445" s="9">
        <v>1</v>
      </c>
      <c r="M445" s="9">
        <v>1</v>
      </c>
    </row>
    <row r="446" spans="1:13">
      <c r="A446" s="7">
        <v>43805</v>
      </c>
      <c r="B446" s="8">
        <v>0.52916666666666667</v>
      </c>
      <c r="C446" s="9" t="str">
        <f>"FES1162727159"</f>
        <v>FES1162727159</v>
      </c>
      <c r="D446" s="9" t="s">
        <v>19</v>
      </c>
      <c r="E446" s="9" t="s">
        <v>198</v>
      </c>
      <c r="F446" s="9" t="str">
        <f>"2170720553 "</f>
        <v xml:space="preserve">2170720553 </v>
      </c>
      <c r="G446" s="9" t="str">
        <f t="shared" si="13"/>
        <v>ON1</v>
      </c>
      <c r="H446" s="9" t="s">
        <v>21</v>
      </c>
      <c r="I446" s="9" t="s">
        <v>288</v>
      </c>
      <c r="J446" s="9" t="str">
        <f>""</f>
        <v/>
      </c>
      <c r="K446" s="9" t="str">
        <f>"PFES1162727159_0001"</f>
        <v>PFES1162727159_0001</v>
      </c>
      <c r="L446" s="9">
        <v>1</v>
      </c>
      <c r="M446" s="9">
        <v>1</v>
      </c>
    </row>
    <row r="447" spans="1:13">
      <c r="A447" s="7">
        <v>43805</v>
      </c>
      <c r="B447" s="8">
        <v>0.52847222222222223</v>
      </c>
      <c r="C447" s="9" t="str">
        <f>"FES1162727213"</f>
        <v>FES1162727213</v>
      </c>
      <c r="D447" s="9" t="s">
        <v>19</v>
      </c>
      <c r="E447" s="9" t="s">
        <v>299</v>
      </c>
      <c r="F447" s="9" t="str">
        <f>"2170720692 "</f>
        <v xml:space="preserve">2170720692 </v>
      </c>
      <c r="G447" s="9" t="str">
        <f t="shared" si="13"/>
        <v>ON1</v>
      </c>
      <c r="H447" s="9" t="s">
        <v>21</v>
      </c>
      <c r="I447" s="9" t="s">
        <v>119</v>
      </c>
      <c r="J447" s="9" t="str">
        <f>""</f>
        <v/>
      </c>
      <c r="K447" s="9" t="str">
        <f>"PFES1162727213_0001"</f>
        <v>PFES1162727213_0001</v>
      </c>
      <c r="L447" s="9">
        <v>1</v>
      </c>
      <c r="M447" s="9">
        <v>1</v>
      </c>
    </row>
    <row r="448" spans="1:13">
      <c r="A448" s="7">
        <v>43805</v>
      </c>
      <c r="B448" s="8">
        <v>0.52638888888888891</v>
      </c>
      <c r="C448" s="9" t="str">
        <f>"FES1162727157"</f>
        <v>FES1162727157</v>
      </c>
      <c r="D448" s="9" t="s">
        <v>19</v>
      </c>
      <c r="E448" s="9" t="s">
        <v>198</v>
      </c>
      <c r="F448" s="9" t="str">
        <f>"2170720247 "</f>
        <v xml:space="preserve">2170720247 </v>
      </c>
      <c r="G448" s="9" t="str">
        <f t="shared" si="13"/>
        <v>ON1</v>
      </c>
      <c r="H448" s="9" t="s">
        <v>21</v>
      </c>
      <c r="I448" s="9" t="s">
        <v>288</v>
      </c>
      <c r="J448" s="9" t="str">
        <f>""</f>
        <v/>
      </c>
      <c r="K448" s="9" t="str">
        <f>"PFES1162727157_0001"</f>
        <v>PFES1162727157_0001</v>
      </c>
      <c r="L448" s="9">
        <v>1</v>
      </c>
      <c r="M448" s="9">
        <v>1</v>
      </c>
    </row>
    <row r="449" spans="1:13">
      <c r="A449" s="7">
        <v>43805</v>
      </c>
      <c r="B449" s="8">
        <v>0.52500000000000002</v>
      </c>
      <c r="C449" s="9" t="str">
        <f>"FES1162726933"</f>
        <v>FES1162726933</v>
      </c>
      <c r="D449" s="9" t="s">
        <v>19</v>
      </c>
      <c r="E449" s="9" t="s">
        <v>311</v>
      </c>
      <c r="F449" s="9" t="str">
        <f>"2170720391 "</f>
        <v xml:space="preserve">2170720391 </v>
      </c>
      <c r="G449" s="9" t="str">
        <f t="shared" si="13"/>
        <v>ON1</v>
      </c>
      <c r="H449" s="9" t="s">
        <v>21</v>
      </c>
      <c r="I449" s="9" t="s">
        <v>100</v>
      </c>
      <c r="J449" s="9" t="str">
        <f>""</f>
        <v/>
      </c>
      <c r="K449" s="9" t="str">
        <f>"PFES1162726933_0001"</f>
        <v>PFES1162726933_0001</v>
      </c>
      <c r="L449" s="9">
        <v>1</v>
      </c>
      <c r="M449" s="9">
        <v>1</v>
      </c>
    </row>
    <row r="450" spans="1:13">
      <c r="A450" s="7">
        <v>43805</v>
      </c>
      <c r="B450" s="8">
        <v>0.52361111111111114</v>
      </c>
      <c r="C450" s="9" t="str">
        <f>"FES1162727193"</f>
        <v>FES1162727193</v>
      </c>
      <c r="D450" s="9" t="s">
        <v>19</v>
      </c>
      <c r="E450" s="9" t="s">
        <v>319</v>
      </c>
      <c r="F450" s="9" t="str">
        <f>"2170720670 "</f>
        <v xml:space="preserve">2170720670 </v>
      </c>
      <c r="G450" s="9" t="str">
        <f t="shared" si="13"/>
        <v>ON1</v>
      </c>
      <c r="H450" s="9" t="s">
        <v>21</v>
      </c>
      <c r="I450" s="9" t="s">
        <v>320</v>
      </c>
      <c r="J450" s="9" t="str">
        <f>""</f>
        <v/>
      </c>
      <c r="K450" s="9" t="str">
        <f>"PFES1162727193_0001"</f>
        <v>PFES1162727193_0001</v>
      </c>
      <c r="L450" s="9">
        <v>1</v>
      </c>
      <c r="M450" s="9">
        <v>1</v>
      </c>
    </row>
    <row r="451" spans="1:13">
      <c r="A451" s="7">
        <v>43805</v>
      </c>
      <c r="B451" s="8">
        <v>0.5229166666666667</v>
      </c>
      <c r="C451" s="9" t="str">
        <f>"FES1162727224"</f>
        <v>FES1162727224</v>
      </c>
      <c r="D451" s="9" t="s">
        <v>19</v>
      </c>
      <c r="E451" s="9" t="s">
        <v>403</v>
      </c>
      <c r="F451" s="9" t="str">
        <f>"2170720711 "</f>
        <v xml:space="preserve">2170720711 </v>
      </c>
      <c r="G451" s="9" t="str">
        <f t="shared" si="13"/>
        <v>ON1</v>
      </c>
      <c r="H451" s="9" t="s">
        <v>21</v>
      </c>
      <c r="I451" s="9" t="s">
        <v>404</v>
      </c>
      <c r="J451" s="9" t="str">
        <f>""</f>
        <v/>
      </c>
      <c r="K451" s="9" t="str">
        <f>"PFES1162727224_0001"</f>
        <v>PFES1162727224_0001</v>
      </c>
      <c r="L451" s="9">
        <v>1</v>
      </c>
      <c r="M451" s="9">
        <v>1</v>
      </c>
    </row>
    <row r="452" spans="1:13">
      <c r="A452" s="7">
        <v>43805</v>
      </c>
      <c r="B452" s="8">
        <v>0.52083333333333337</v>
      </c>
      <c r="C452" s="9" t="str">
        <f>"FES1162727234"</f>
        <v>FES1162727234</v>
      </c>
      <c r="D452" s="9" t="s">
        <v>19</v>
      </c>
      <c r="E452" s="9" t="s">
        <v>82</v>
      </c>
      <c r="F452" s="9" t="str">
        <f>"2170720720 "</f>
        <v xml:space="preserve">2170720720 </v>
      </c>
      <c r="G452" s="9" t="str">
        <f t="shared" si="13"/>
        <v>ON1</v>
      </c>
      <c r="H452" s="9" t="s">
        <v>21</v>
      </c>
      <c r="I452" s="9" t="s">
        <v>72</v>
      </c>
      <c r="J452" s="9" t="str">
        <f>""</f>
        <v/>
      </c>
      <c r="K452" s="9" t="str">
        <f>"PFES1162727234_0001"</f>
        <v>PFES1162727234_0001</v>
      </c>
      <c r="L452" s="9">
        <v>1</v>
      </c>
      <c r="M452" s="9">
        <v>1</v>
      </c>
    </row>
    <row r="453" spans="1:13">
      <c r="A453" s="7">
        <v>43805</v>
      </c>
      <c r="B453" s="8">
        <v>0.51736111111111105</v>
      </c>
      <c r="C453" s="9" t="str">
        <f>"FES1162726719"</f>
        <v>FES1162726719</v>
      </c>
      <c r="D453" s="9" t="s">
        <v>19</v>
      </c>
      <c r="E453" s="9" t="s">
        <v>215</v>
      </c>
      <c r="F453" s="9" t="str">
        <f>"2170712019 "</f>
        <v xml:space="preserve">2170712019 </v>
      </c>
      <c r="G453" s="9" t="str">
        <f t="shared" si="13"/>
        <v>ON1</v>
      </c>
      <c r="H453" s="9" t="s">
        <v>21</v>
      </c>
      <c r="I453" s="9" t="s">
        <v>216</v>
      </c>
      <c r="J453" s="9" t="str">
        <f>""</f>
        <v/>
      </c>
      <c r="K453" s="9" t="str">
        <f>"PFES1162726719_0001"</f>
        <v>PFES1162726719_0001</v>
      </c>
      <c r="L453" s="9">
        <v>1</v>
      </c>
      <c r="M453" s="9">
        <v>6</v>
      </c>
    </row>
    <row r="454" spans="1:13">
      <c r="A454" s="7">
        <v>43805</v>
      </c>
      <c r="B454" s="8">
        <v>0.51736111111111105</v>
      </c>
      <c r="C454" s="9" t="str">
        <f>"FES1162726642"</f>
        <v>FES1162726642</v>
      </c>
      <c r="D454" s="9" t="s">
        <v>19</v>
      </c>
      <c r="E454" s="9" t="s">
        <v>292</v>
      </c>
      <c r="F454" s="9" t="str">
        <f>"2170719591 "</f>
        <v xml:space="preserve">2170719591 </v>
      </c>
      <c r="G454" s="9" t="str">
        <f t="shared" si="13"/>
        <v>ON1</v>
      </c>
      <c r="H454" s="9" t="s">
        <v>21</v>
      </c>
      <c r="I454" s="9" t="s">
        <v>78</v>
      </c>
      <c r="J454" s="9" t="str">
        <f>""</f>
        <v/>
      </c>
      <c r="K454" s="9" t="str">
        <f>"PFES1162726642_0001"</f>
        <v>PFES1162726642_0001</v>
      </c>
      <c r="L454" s="9">
        <v>1</v>
      </c>
      <c r="M454" s="9">
        <v>5</v>
      </c>
    </row>
    <row r="455" spans="1:13">
      <c r="A455" s="7">
        <v>43805</v>
      </c>
      <c r="B455" s="8">
        <v>0.51736111111111105</v>
      </c>
      <c r="C455" s="9" t="str">
        <f>"FES1162727097"</f>
        <v>FES1162727097</v>
      </c>
      <c r="D455" s="9" t="s">
        <v>19</v>
      </c>
      <c r="E455" s="9" t="s">
        <v>44</v>
      </c>
      <c r="F455" s="9" t="str">
        <f>"2170710566 "</f>
        <v xml:space="preserve">2170710566 </v>
      </c>
      <c r="G455" s="9" t="str">
        <f t="shared" si="13"/>
        <v>ON1</v>
      </c>
      <c r="H455" s="9" t="s">
        <v>21</v>
      </c>
      <c r="I455" s="9" t="s">
        <v>45</v>
      </c>
      <c r="J455" s="9" t="str">
        <f>""</f>
        <v/>
      </c>
      <c r="K455" s="9" t="str">
        <f>"PFES1162727097_0001"</f>
        <v>PFES1162727097_0001</v>
      </c>
      <c r="L455" s="9">
        <v>1</v>
      </c>
      <c r="M455" s="9">
        <v>3</v>
      </c>
    </row>
    <row r="456" spans="1:13">
      <c r="A456" s="7">
        <v>43805</v>
      </c>
      <c r="B456" s="8">
        <v>0.51666666666666672</v>
      </c>
      <c r="C456" s="9" t="str">
        <f>"FES1162727223"</f>
        <v>FES1162727223</v>
      </c>
      <c r="D456" s="9" t="s">
        <v>19</v>
      </c>
      <c r="E456" s="9" t="s">
        <v>405</v>
      </c>
      <c r="F456" s="9" t="str">
        <f>"21707120710 "</f>
        <v xml:space="preserve">21707120710 </v>
      </c>
      <c r="G456" s="9" t="str">
        <f t="shared" si="13"/>
        <v>ON1</v>
      </c>
      <c r="H456" s="9" t="s">
        <v>21</v>
      </c>
      <c r="I456" s="9" t="s">
        <v>404</v>
      </c>
      <c r="J456" s="9" t="str">
        <f>""</f>
        <v/>
      </c>
      <c r="K456" s="9" t="str">
        <f>"PFES1162727223_0001"</f>
        <v>PFES1162727223_0001</v>
      </c>
      <c r="L456" s="9">
        <v>1</v>
      </c>
      <c r="M456" s="9">
        <v>1</v>
      </c>
    </row>
    <row r="457" spans="1:13">
      <c r="A457" s="7">
        <v>43805</v>
      </c>
      <c r="B457" s="8">
        <v>0.51666666666666672</v>
      </c>
      <c r="C457" s="9" t="str">
        <f>"FES1162727101"</f>
        <v>FES1162727101</v>
      </c>
      <c r="D457" s="9" t="s">
        <v>19</v>
      </c>
      <c r="E457" s="9" t="s">
        <v>406</v>
      </c>
      <c r="F457" s="9" t="str">
        <f>"2170719143 "</f>
        <v xml:space="preserve">2170719143 </v>
      </c>
      <c r="G457" s="9" t="str">
        <f t="shared" si="13"/>
        <v>ON1</v>
      </c>
      <c r="H457" s="9" t="s">
        <v>21</v>
      </c>
      <c r="I457" s="9" t="s">
        <v>115</v>
      </c>
      <c r="J457" s="9" t="str">
        <f>""</f>
        <v/>
      </c>
      <c r="K457" s="9" t="str">
        <f>"PFES1162727101_0001"</f>
        <v>PFES1162727101_0001</v>
      </c>
      <c r="L457" s="9">
        <v>1</v>
      </c>
      <c r="M457" s="9">
        <v>3</v>
      </c>
    </row>
    <row r="458" spans="1:13">
      <c r="A458" s="7">
        <v>43805</v>
      </c>
      <c r="B458" s="8">
        <v>0.51597222222222217</v>
      </c>
      <c r="C458" s="9" t="str">
        <f>"FES1162727145"</f>
        <v>FES1162727145</v>
      </c>
      <c r="D458" s="9" t="s">
        <v>19</v>
      </c>
      <c r="E458" s="9" t="s">
        <v>99</v>
      </c>
      <c r="F458" s="9" t="str">
        <f>"2170716015 "</f>
        <v xml:space="preserve">2170716015 </v>
      </c>
      <c r="G458" s="9" t="str">
        <f t="shared" si="13"/>
        <v>ON1</v>
      </c>
      <c r="H458" s="9" t="s">
        <v>21</v>
      </c>
      <c r="I458" s="9" t="s">
        <v>100</v>
      </c>
      <c r="J458" s="9" t="str">
        <f>""</f>
        <v/>
      </c>
      <c r="K458" s="9" t="str">
        <f>"PFES1162727145_0001"</f>
        <v>PFES1162727145_0001</v>
      </c>
      <c r="L458" s="9">
        <v>1</v>
      </c>
      <c r="M458" s="9">
        <v>2</v>
      </c>
    </row>
    <row r="459" spans="1:13">
      <c r="A459" s="7">
        <v>43805</v>
      </c>
      <c r="B459" s="8">
        <v>0.51597222222222217</v>
      </c>
      <c r="C459" s="9" t="str">
        <f>"FES1162727185"</f>
        <v>FES1162727185</v>
      </c>
      <c r="D459" s="9" t="s">
        <v>19</v>
      </c>
      <c r="E459" s="9" t="s">
        <v>24</v>
      </c>
      <c r="F459" s="9" t="str">
        <f>"2170710062 "</f>
        <v xml:space="preserve">2170710062 </v>
      </c>
      <c r="G459" s="9" t="str">
        <f t="shared" si="13"/>
        <v>ON1</v>
      </c>
      <c r="H459" s="9" t="s">
        <v>21</v>
      </c>
      <c r="I459" s="9" t="s">
        <v>25</v>
      </c>
      <c r="J459" s="9" t="str">
        <f>""</f>
        <v/>
      </c>
      <c r="K459" s="9" t="str">
        <f>"PFES1162727185_0001"</f>
        <v>PFES1162727185_0001</v>
      </c>
      <c r="L459" s="9">
        <v>1</v>
      </c>
      <c r="M459" s="9">
        <v>1</v>
      </c>
    </row>
    <row r="460" spans="1:13">
      <c r="A460" s="7">
        <v>43805</v>
      </c>
      <c r="B460" s="8">
        <v>0.51527777777777783</v>
      </c>
      <c r="C460" s="9" t="str">
        <f>"FES1162727207"</f>
        <v>FES1162727207</v>
      </c>
      <c r="D460" s="9" t="s">
        <v>19</v>
      </c>
      <c r="E460" s="9" t="s">
        <v>82</v>
      </c>
      <c r="F460" s="9" t="str">
        <f>"2170720080 "</f>
        <v xml:space="preserve">2170720080 </v>
      </c>
      <c r="G460" s="9" t="str">
        <f t="shared" si="13"/>
        <v>ON1</v>
      </c>
      <c r="H460" s="9" t="s">
        <v>21</v>
      </c>
      <c r="I460" s="9" t="s">
        <v>72</v>
      </c>
      <c r="J460" s="9" t="str">
        <f>""</f>
        <v/>
      </c>
      <c r="K460" s="9" t="str">
        <f>"PFES1162727207_0001"</f>
        <v>PFES1162727207_0001</v>
      </c>
      <c r="L460" s="9">
        <v>1</v>
      </c>
      <c r="M460" s="9">
        <v>1</v>
      </c>
    </row>
    <row r="461" spans="1:13">
      <c r="A461" s="7">
        <v>43805</v>
      </c>
      <c r="B461" s="8">
        <v>0.51527777777777783</v>
      </c>
      <c r="C461" s="9" t="str">
        <f>"FES1162726799"</f>
        <v>FES1162726799</v>
      </c>
      <c r="D461" s="9" t="s">
        <v>19</v>
      </c>
      <c r="E461" s="9" t="s">
        <v>407</v>
      </c>
      <c r="F461" s="9" t="str">
        <f>"2170720245 "</f>
        <v xml:space="preserve">2170720245 </v>
      </c>
      <c r="G461" s="9" t="str">
        <f t="shared" si="13"/>
        <v>ON1</v>
      </c>
      <c r="H461" s="9" t="s">
        <v>21</v>
      </c>
      <c r="I461" s="9" t="s">
        <v>408</v>
      </c>
      <c r="J461" s="9" t="str">
        <f>""</f>
        <v/>
      </c>
      <c r="K461" s="9" t="str">
        <f>"PFES1162726799_0001"</f>
        <v>PFES1162726799_0001</v>
      </c>
      <c r="L461" s="9">
        <v>1</v>
      </c>
      <c r="M461" s="9">
        <v>1</v>
      </c>
    </row>
    <row r="462" spans="1:13">
      <c r="A462" s="7">
        <v>43805</v>
      </c>
      <c r="B462" s="8">
        <v>0.51458333333333328</v>
      </c>
      <c r="C462" s="9" t="str">
        <f>"FES1162727209"</f>
        <v>FES1162727209</v>
      </c>
      <c r="D462" s="9" t="s">
        <v>19</v>
      </c>
      <c r="E462" s="9" t="s">
        <v>24</v>
      </c>
      <c r="F462" s="9" t="str">
        <f>"2170710685 "</f>
        <v xml:space="preserve">2170710685 </v>
      </c>
      <c r="G462" s="9" t="str">
        <f t="shared" si="13"/>
        <v>ON1</v>
      </c>
      <c r="H462" s="9" t="s">
        <v>21</v>
      </c>
      <c r="I462" s="9" t="s">
        <v>25</v>
      </c>
      <c r="J462" s="9" t="str">
        <f>""</f>
        <v/>
      </c>
      <c r="K462" s="9" t="str">
        <f>"PFES1162727209_0001"</f>
        <v>PFES1162727209_0001</v>
      </c>
      <c r="L462" s="9">
        <v>1</v>
      </c>
      <c r="M462" s="9">
        <v>2</v>
      </c>
    </row>
    <row r="463" spans="1:13">
      <c r="A463" s="7">
        <v>43805</v>
      </c>
      <c r="B463" s="8">
        <v>0.51458333333333328</v>
      </c>
      <c r="C463" s="9" t="str">
        <f>"FES116277073"</f>
        <v>FES116277073</v>
      </c>
      <c r="D463" s="9" t="s">
        <v>19</v>
      </c>
      <c r="E463" s="9" t="s">
        <v>337</v>
      </c>
      <c r="F463" s="9" t="str">
        <f>"21707120042 "</f>
        <v xml:space="preserve">21707120042 </v>
      </c>
      <c r="G463" s="9" t="str">
        <f t="shared" ref="G463:G474" si="14">"ON1"</f>
        <v>ON1</v>
      </c>
      <c r="H463" s="9" t="s">
        <v>21</v>
      </c>
      <c r="I463" s="9" t="s">
        <v>161</v>
      </c>
      <c r="J463" s="9" t="str">
        <f>""</f>
        <v/>
      </c>
      <c r="K463" s="9" t="str">
        <f>"PFES116277073_0001"</f>
        <v>PFES116277073_0001</v>
      </c>
      <c r="L463" s="9">
        <v>1</v>
      </c>
      <c r="M463" s="9">
        <v>9</v>
      </c>
    </row>
    <row r="464" spans="1:13">
      <c r="A464" s="7">
        <v>43805</v>
      </c>
      <c r="B464" s="8">
        <v>0.51388888888888895</v>
      </c>
      <c r="C464" s="9" t="str">
        <f>"FES1162727197"</f>
        <v>FES1162727197</v>
      </c>
      <c r="D464" s="9" t="s">
        <v>19</v>
      </c>
      <c r="E464" s="9" t="s">
        <v>409</v>
      </c>
      <c r="F464" s="9" t="str">
        <f>"2170719345 "</f>
        <v xml:space="preserve">2170719345 </v>
      </c>
      <c r="G464" s="9" t="str">
        <f t="shared" si="14"/>
        <v>ON1</v>
      </c>
      <c r="H464" s="9" t="s">
        <v>21</v>
      </c>
      <c r="I464" s="9" t="s">
        <v>189</v>
      </c>
      <c r="J464" s="9" t="str">
        <f>""</f>
        <v/>
      </c>
      <c r="K464" s="9" t="str">
        <f>"PFES1162727197_0001"</f>
        <v>PFES1162727197_0001</v>
      </c>
      <c r="L464" s="9">
        <v>1</v>
      </c>
      <c r="M464" s="9">
        <v>13</v>
      </c>
    </row>
    <row r="465" spans="1:13">
      <c r="A465" s="7">
        <v>43805</v>
      </c>
      <c r="B465" s="8">
        <v>0.50694444444444442</v>
      </c>
      <c r="C465" s="9" t="str">
        <f>"FES1162727208"</f>
        <v>FES1162727208</v>
      </c>
      <c r="D465" s="9" t="s">
        <v>19</v>
      </c>
      <c r="E465" s="9" t="s">
        <v>83</v>
      </c>
      <c r="F465" s="9" t="str">
        <f>"2170719669 "</f>
        <v xml:space="preserve">2170719669 </v>
      </c>
      <c r="G465" s="9" t="str">
        <f t="shared" si="14"/>
        <v>ON1</v>
      </c>
      <c r="H465" s="9" t="s">
        <v>21</v>
      </c>
      <c r="I465" s="9" t="s">
        <v>70</v>
      </c>
      <c r="J465" s="9" t="str">
        <f>""</f>
        <v/>
      </c>
      <c r="K465" s="9" t="str">
        <f>"PFES1162727208_0001"</f>
        <v>PFES1162727208_0001</v>
      </c>
      <c r="L465" s="9">
        <v>1</v>
      </c>
      <c r="M465" s="9">
        <v>3</v>
      </c>
    </row>
    <row r="466" spans="1:13">
      <c r="A466" s="7">
        <v>43805</v>
      </c>
      <c r="B466" s="8">
        <v>0.50624999999999998</v>
      </c>
      <c r="C466" s="9" t="str">
        <f>"FES1162727075"</f>
        <v>FES1162727075</v>
      </c>
      <c r="D466" s="9" t="s">
        <v>19</v>
      </c>
      <c r="E466" s="9" t="s">
        <v>260</v>
      </c>
      <c r="F466" s="9" t="str">
        <f>"2170715261 "</f>
        <v xml:space="preserve">2170715261 </v>
      </c>
      <c r="G466" s="9" t="str">
        <f t="shared" si="14"/>
        <v>ON1</v>
      </c>
      <c r="H466" s="9" t="s">
        <v>21</v>
      </c>
      <c r="I466" s="9" t="s">
        <v>216</v>
      </c>
      <c r="J466" s="9" t="str">
        <f>""</f>
        <v/>
      </c>
      <c r="K466" s="9" t="str">
        <f>"PFES1162727075_0001"</f>
        <v>PFES1162727075_0001</v>
      </c>
      <c r="L466" s="9">
        <v>2</v>
      </c>
      <c r="M466" s="9">
        <v>11</v>
      </c>
    </row>
    <row r="467" spans="1:13">
      <c r="A467" s="7">
        <v>43805</v>
      </c>
      <c r="B467" s="8">
        <v>0.50555555555555554</v>
      </c>
      <c r="C467" s="9" t="str">
        <f>"FES1162727200"</f>
        <v>FES1162727200</v>
      </c>
      <c r="D467" s="9" t="s">
        <v>19</v>
      </c>
      <c r="E467" s="9" t="s">
        <v>124</v>
      </c>
      <c r="F467" s="9" t="str">
        <f>"2170719087 "</f>
        <v xml:space="preserve">2170719087 </v>
      </c>
      <c r="G467" s="9" t="str">
        <f t="shared" si="14"/>
        <v>ON1</v>
      </c>
      <c r="H467" s="9" t="s">
        <v>21</v>
      </c>
      <c r="I467" s="9" t="s">
        <v>125</v>
      </c>
      <c r="J467" s="9" t="str">
        <f>""</f>
        <v/>
      </c>
      <c r="K467" s="9" t="str">
        <f>"PFES1162727200_0001"</f>
        <v>PFES1162727200_0001</v>
      </c>
      <c r="L467" s="9">
        <v>1</v>
      </c>
      <c r="M467" s="9">
        <v>2</v>
      </c>
    </row>
    <row r="468" spans="1:13">
      <c r="A468" s="7">
        <v>43805</v>
      </c>
      <c r="B468" s="8">
        <v>0.50555555555555554</v>
      </c>
      <c r="C468" s="9" t="str">
        <f>"FES1162727079"</f>
        <v>FES1162727079</v>
      </c>
      <c r="D468" s="9" t="s">
        <v>19</v>
      </c>
      <c r="E468" s="9" t="s">
        <v>260</v>
      </c>
      <c r="F468" s="9" t="str">
        <f>"2170718153 "</f>
        <v xml:space="preserve">2170718153 </v>
      </c>
      <c r="G468" s="9" t="str">
        <f t="shared" si="14"/>
        <v>ON1</v>
      </c>
      <c r="H468" s="9" t="s">
        <v>21</v>
      </c>
      <c r="I468" s="9" t="s">
        <v>216</v>
      </c>
      <c r="J468" s="9" t="str">
        <f>""</f>
        <v/>
      </c>
      <c r="K468" s="9" t="str">
        <f>"PFES1162727079_0001"</f>
        <v>PFES1162727079_0001</v>
      </c>
      <c r="L468" s="9">
        <v>1</v>
      </c>
      <c r="M468" s="9">
        <v>2</v>
      </c>
    </row>
    <row r="469" spans="1:13">
      <c r="A469" s="7">
        <v>43805</v>
      </c>
      <c r="B469" s="8">
        <v>0.50555555555555554</v>
      </c>
      <c r="C469" s="9" t="str">
        <f>"FES1162727199"</f>
        <v>FES1162727199</v>
      </c>
      <c r="D469" s="9" t="s">
        <v>19</v>
      </c>
      <c r="E469" s="9" t="s">
        <v>124</v>
      </c>
      <c r="F469" s="9" t="str">
        <f>"2170715012 "</f>
        <v xml:space="preserve">2170715012 </v>
      </c>
      <c r="G469" s="9" t="str">
        <f t="shared" si="14"/>
        <v>ON1</v>
      </c>
      <c r="H469" s="9" t="s">
        <v>21</v>
      </c>
      <c r="I469" s="9" t="s">
        <v>125</v>
      </c>
      <c r="J469" s="9" t="str">
        <f>""</f>
        <v/>
      </c>
      <c r="K469" s="9" t="str">
        <f>"PFES1162727199_0001"</f>
        <v>PFES1162727199_0001</v>
      </c>
      <c r="L469" s="9">
        <v>1</v>
      </c>
      <c r="M469" s="9">
        <v>7</v>
      </c>
    </row>
    <row r="470" spans="1:13">
      <c r="A470" s="7">
        <v>43805</v>
      </c>
      <c r="B470" s="8">
        <v>0.50486111111111109</v>
      </c>
      <c r="C470" s="9" t="str">
        <f>"FES1162727074"</f>
        <v>FES1162727074</v>
      </c>
      <c r="D470" s="9" t="s">
        <v>19</v>
      </c>
      <c r="E470" s="9" t="s">
        <v>410</v>
      </c>
      <c r="F470" s="9" t="str">
        <f>"2170712414 "</f>
        <v xml:space="preserve">2170712414 </v>
      </c>
      <c r="G470" s="9" t="str">
        <f t="shared" si="14"/>
        <v>ON1</v>
      </c>
      <c r="H470" s="9" t="s">
        <v>21</v>
      </c>
      <c r="I470" s="9" t="s">
        <v>411</v>
      </c>
      <c r="J470" s="9" t="str">
        <f>""</f>
        <v/>
      </c>
      <c r="K470" s="9" t="str">
        <f>"PFES1162727074_0001"</f>
        <v>PFES1162727074_0001</v>
      </c>
      <c r="L470" s="9">
        <v>1</v>
      </c>
      <c r="M470" s="9">
        <v>3</v>
      </c>
    </row>
    <row r="471" spans="1:13">
      <c r="A471" s="7">
        <v>43805</v>
      </c>
      <c r="B471" s="8">
        <v>0.50416666666666665</v>
      </c>
      <c r="C471" s="9" t="str">
        <f>"FES1162727142"</f>
        <v>FES1162727142</v>
      </c>
      <c r="D471" s="9" t="s">
        <v>19</v>
      </c>
      <c r="E471" s="9" t="s">
        <v>412</v>
      </c>
      <c r="F471" s="9" t="str">
        <f>"2170720612 "</f>
        <v xml:space="preserve">2170720612 </v>
      </c>
      <c r="G471" s="9" t="str">
        <f t="shared" si="14"/>
        <v>ON1</v>
      </c>
      <c r="H471" s="9" t="s">
        <v>21</v>
      </c>
      <c r="I471" s="9" t="s">
        <v>85</v>
      </c>
      <c r="J471" s="9" t="str">
        <f>""</f>
        <v/>
      </c>
      <c r="K471" s="9" t="str">
        <f>"PFES1162727142_0001"</f>
        <v>PFES1162727142_0001</v>
      </c>
      <c r="L471" s="9">
        <v>1</v>
      </c>
      <c r="M471" s="9">
        <v>1.28</v>
      </c>
    </row>
    <row r="472" spans="1:13">
      <c r="A472" s="7">
        <v>43805</v>
      </c>
      <c r="B472" s="8">
        <v>0.50416666666666665</v>
      </c>
      <c r="C472" s="9" t="str">
        <f>"FES1162727092"</f>
        <v>FES1162727092</v>
      </c>
      <c r="D472" s="9" t="s">
        <v>19</v>
      </c>
      <c r="E472" s="9" t="s">
        <v>413</v>
      </c>
      <c r="F472" s="9" t="str">
        <f>"21707102458 "</f>
        <v xml:space="preserve">21707102458 </v>
      </c>
      <c r="G472" s="9" t="str">
        <f t="shared" si="14"/>
        <v>ON1</v>
      </c>
      <c r="H472" s="9" t="s">
        <v>21</v>
      </c>
      <c r="I472" s="9" t="s">
        <v>346</v>
      </c>
      <c r="J472" s="9" t="str">
        <f>""</f>
        <v/>
      </c>
      <c r="K472" s="9" t="str">
        <f>"PFES1162727092_0001"</f>
        <v>PFES1162727092_0001</v>
      </c>
      <c r="L472" s="9">
        <v>1</v>
      </c>
      <c r="M472" s="9">
        <v>7</v>
      </c>
    </row>
    <row r="473" spans="1:13">
      <c r="A473" s="7">
        <v>43805</v>
      </c>
      <c r="B473" s="8">
        <v>0.50347222222222221</v>
      </c>
      <c r="C473" s="9" t="str">
        <f>"FES1162726662"</f>
        <v>FES1162726662</v>
      </c>
      <c r="D473" s="9" t="s">
        <v>19</v>
      </c>
      <c r="E473" s="9" t="s">
        <v>101</v>
      </c>
      <c r="F473" s="9" t="str">
        <f>"21707167621 "</f>
        <v xml:space="preserve">21707167621 </v>
      </c>
      <c r="G473" s="9" t="str">
        <f t="shared" si="14"/>
        <v>ON1</v>
      </c>
      <c r="H473" s="9" t="s">
        <v>21</v>
      </c>
      <c r="I473" s="9" t="s">
        <v>102</v>
      </c>
      <c r="J473" s="9" t="str">
        <f>""</f>
        <v/>
      </c>
      <c r="K473" s="9" t="str">
        <f>"PFES1162726662_0001"</f>
        <v>PFES1162726662_0001</v>
      </c>
      <c r="L473" s="9">
        <v>2</v>
      </c>
      <c r="M473" s="9">
        <v>18</v>
      </c>
    </row>
    <row r="474" spans="1:13">
      <c r="A474" s="7">
        <v>43805</v>
      </c>
      <c r="B474" s="8">
        <v>0.50347222222222221</v>
      </c>
      <c r="C474" s="9" t="str">
        <f>"FES1162726662"</f>
        <v>FES1162726662</v>
      </c>
      <c r="D474" s="9" t="s">
        <v>19</v>
      </c>
      <c r="E474" s="9" t="s">
        <v>101</v>
      </c>
      <c r="F474" s="9" t="str">
        <f>"21707167621 "</f>
        <v xml:space="preserve">21707167621 </v>
      </c>
      <c r="G474" s="9" t="str">
        <f t="shared" si="14"/>
        <v>ON1</v>
      </c>
      <c r="H474" s="9" t="s">
        <v>21</v>
      </c>
      <c r="I474" s="9" t="s">
        <v>102</v>
      </c>
      <c r="J474" s="9"/>
      <c r="K474" s="9" t="str">
        <f>"PFES1162726662_0002"</f>
        <v>PFES1162726662_0002</v>
      </c>
      <c r="L474" s="9">
        <v>2</v>
      </c>
      <c r="M474" s="9">
        <v>18</v>
      </c>
    </row>
    <row r="475" spans="1:13">
      <c r="A475" s="7">
        <v>43805</v>
      </c>
      <c r="B475" s="8">
        <v>0.50277777777777777</v>
      </c>
      <c r="C475" s="9" t="str">
        <f>"FES1162727110"</f>
        <v>FES1162727110</v>
      </c>
      <c r="D475" s="9" t="s">
        <v>19</v>
      </c>
      <c r="E475" s="9" t="s">
        <v>414</v>
      </c>
      <c r="F475" s="9" t="str">
        <f>"2170720577 "</f>
        <v xml:space="preserve">2170720577 </v>
      </c>
      <c r="G475" s="9" t="str">
        <f>"ON1"</f>
        <v>ON1</v>
      </c>
      <c r="H475" s="9" t="s">
        <v>21</v>
      </c>
      <c r="I475" s="9" t="s">
        <v>415</v>
      </c>
      <c r="J475" s="9" t="str">
        <f>""</f>
        <v/>
      </c>
      <c r="K475" s="9" t="str">
        <f>"PFES1162727110_0001"</f>
        <v>PFES1162727110_0001</v>
      </c>
      <c r="L475" s="9">
        <v>1</v>
      </c>
      <c r="M475" s="9">
        <v>1</v>
      </c>
    </row>
    <row r="476" spans="1:13">
      <c r="A476" s="7">
        <v>43805</v>
      </c>
      <c r="B476" s="8">
        <v>0.50277777777777777</v>
      </c>
      <c r="C476" s="9" t="str">
        <f>"FES1162726654"</f>
        <v>FES1162726654</v>
      </c>
      <c r="D476" s="9" t="s">
        <v>19</v>
      </c>
      <c r="E476" s="9" t="s">
        <v>260</v>
      </c>
      <c r="F476" s="9" t="str">
        <f>"2170715530 "</f>
        <v xml:space="preserve">2170715530 </v>
      </c>
      <c r="G476" s="9" t="str">
        <f>"ON1"</f>
        <v>ON1</v>
      </c>
      <c r="H476" s="9" t="s">
        <v>21</v>
      </c>
      <c r="I476" s="9" t="s">
        <v>216</v>
      </c>
      <c r="J476" s="9" t="str">
        <f>""</f>
        <v/>
      </c>
      <c r="K476" s="9" t="str">
        <f>"PFES1162726654_0001"</f>
        <v>PFES1162726654_0001</v>
      </c>
      <c r="L476" s="9">
        <v>2</v>
      </c>
      <c r="M476" s="9">
        <v>5</v>
      </c>
    </row>
    <row r="477" spans="1:13">
      <c r="A477" s="7">
        <v>43805</v>
      </c>
      <c r="B477" s="8">
        <v>0.50277777777777777</v>
      </c>
      <c r="C477" s="9" t="str">
        <f>"FES1162726654"</f>
        <v>FES1162726654</v>
      </c>
      <c r="D477" s="9" t="s">
        <v>19</v>
      </c>
      <c r="E477" s="9" t="s">
        <v>260</v>
      </c>
      <c r="F477" s="9" t="str">
        <f>"2170715530 "</f>
        <v xml:space="preserve">2170715530 </v>
      </c>
      <c r="G477" s="9" t="str">
        <f>"ON1"</f>
        <v>ON1</v>
      </c>
      <c r="H477" s="9" t="s">
        <v>21</v>
      </c>
      <c r="I477" s="9" t="s">
        <v>216</v>
      </c>
      <c r="J477" s="9"/>
      <c r="K477" s="9" t="str">
        <f>"PFES1162726654_0002"</f>
        <v>PFES1162726654_0002</v>
      </c>
      <c r="L477" s="9">
        <v>2</v>
      </c>
      <c r="M477" s="9">
        <v>5</v>
      </c>
    </row>
    <row r="478" spans="1:13">
      <c r="A478" s="7">
        <v>43805</v>
      </c>
      <c r="B478" s="8">
        <v>0.50208333333333333</v>
      </c>
      <c r="C478" s="9" t="str">
        <f>"FES1162726782"</f>
        <v>FES1162726782</v>
      </c>
      <c r="D478" s="9" t="s">
        <v>19</v>
      </c>
      <c r="E478" s="9" t="s">
        <v>416</v>
      </c>
      <c r="F478" s="9" t="str">
        <f>"2170710233 "</f>
        <v xml:space="preserve">2170710233 </v>
      </c>
      <c r="G478" s="9" t="str">
        <f t="shared" ref="G478:G493" si="15">"ON1"</f>
        <v>ON1</v>
      </c>
      <c r="H478" s="9" t="s">
        <v>21</v>
      </c>
      <c r="I478" s="9" t="s">
        <v>45</v>
      </c>
      <c r="J478" s="9" t="str">
        <f>""</f>
        <v/>
      </c>
      <c r="K478" s="9" t="str">
        <f>"PFES1162726782_0001"</f>
        <v>PFES1162726782_0001</v>
      </c>
      <c r="L478" s="9">
        <v>1</v>
      </c>
      <c r="M478" s="9">
        <v>8</v>
      </c>
    </row>
    <row r="479" spans="1:13">
      <c r="A479" s="7">
        <v>43805</v>
      </c>
      <c r="B479" s="8">
        <v>0.50138888888888888</v>
      </c>
      <c r="C479" s="9" t="str">
        <f>"009935712079"</f>
        <v>009935712079</v>
      </c>
      <c r="D479" s="9" t="s">
        <v>19</v>
      </c>
      <c r="E479" s="9" t="s">
        <v>331</v>
      </c>
      <c r="F479" s="9" t="str">
        <f>"1162723927 "</f>
        <v xml:space="preserve">1162723927 </v>
      </c>
      <c r="G479" s="9" t="str">
        <f t="shared" si="15"/>
        <v>ON1</v>
      </c>
      <c r="H479" s="9" t="s">
        <v>21</v>
      </c>
      <c r="I479" s="9" t="s">
        <v>332</v>
      </c>
      <c r="J479" s="9" t="str">
        <f>"RESEND"</f>
        <v>RESEND</v>
      </c>
      <c r="K479" s="9" t="str">
        <f>"P009935712079_0001"</f>
        <v>P009935712079_0001</v>
      </c>
      <c r="L479" s="9">
        <v>1</v>
      </c>
      <c r="M479" s="9">
        <v>1</v>
      </c>
    </row>
    <row r="480" spans="1:13">
      <c r="A480" s="7">
        <v>43805</v>
      </c>
      <c r="B480" s="8">
        <v>0.50069444444444444</v>
      </c>
      <c r="C480" s="9" t="str">
        <f>"FES1162727076"</f>
        <v>FES1162727076</v>
      </c>
      <c r="D480" s="9" t="s">
        <v>19</v>
      </c>
      <c r="E480" s="9" t="s">
        <v>417</v>
      </c>
      <c r="F480" s="9" t="str">
        <f>"21707107807 "</f>
        <v xml:space="preserve">21707107807 </v>
      </c>
      <c r="G480" s="9" t="str">
        <f t="shared" si="15"/>
        <v>ON1</v>
      </c>
      <c r="H480" s="9" t="s">
        <v>21</v>
      </c>
      <c r="I480" s="9" t="s">
        <v>418</v>
      </c>
      <c r="J480" s="9" t="str">
        <f>""</f>
        <v/>
      </c>
      <c r="K480" s="9" t="str">
        <f>"PFES1162727076_0001"</f>
        <v>PFES1162727076_0001</v>
      </c>
      <c r="L480" s="9">
        <v>1</v>
      </c>
      <c r="M480" s="9">
        <v>4</v>
      </c>
    </row>
    <row r="481" spans="1:13">
      <c r="A481" s="7">
        <v>43805</v>
      </c>
      <c r="B481" s="8">
        <v>0.50069444444444444</v>
      </c>
      <c r="C481" s="9" t="str">
        <f>"FES1162727202"</f>
        <v>FES1162727202</v>
      </c>
      <c r="D481" s="9" t="s">
        <v>19</v>
      </c>
      <c r="E481" s="9" t="s">
        <v>419</v>
      </c>
      <c r="F481" s="9" t="str">
        <f>"2170712094 "</f>
        <v xml:space="preserve">2170712094 </v>
      </c>
      <c r="G481" s="9" t="str">
        <f t="shared" si="15"/>
        <v>ON1</v>
      </c>
      <c r="H481" s="9" t="s">
        <v>21</v>
      </c>
      <c r="I481" s="9" t="s">
        <v>136</v>
      </c>
      <c r="J481" s="9" t="str">
        <f>""</f>
        <v/>
      </c>
      <c r="K481" s="9" t="str">
        <f>"PFES1162727202_0001"</f>
        <v>PFES1162727202_0001</v>
      </c>
      <c r="L481" s="9">
        <v>1</v>
      </c>
      <c r="M481" s="9">
        <v>2</v>
      </c>
    </row>
    <row r="482" spans="1:13">
      <c r="A482" s="7">
        <v>43805</v>
      </c>
      <c r="B482" s="8">
        <v>0.5</v>
      </c>
      <c r="C482" s="9" t="str">
        <f>"FES1162727054"</f>
        <v>FES1162727054</v>
      </c>
      <c r="D482" s="9" t="s">
        <v>19</v>
      </c>
      <c r="E482" s="9" t="s">
        <v>84</v>
      </c>
      <c r="F482" s="9" t="str">
        <f>"2170710529 "</f>
        <v xml:space="preserve">2170710529 </v>
      </c>
      <c r="G482" s="9" t="str">
        <f t="shared" si="15"/>
        <v>ON1</v>
      </c>
      <c r="H482" s="9" t="s">
        <v>21</v>
      </c>
      <c r="I482" s="9" t="s">
        <v>85</v>
      </c>
      <c r="J482" s="9" t="str">
        <f>""</f>
        <v/>
      </c>
      <c r="K482" s="9" t="str">
        <f>"PFES1162727054_0001"</f>
        <v>PFES1162727054_0001</v>
      </c>
      <c r="L482" s="9">
        <v>1</v>
      </c>
      <c r="M482" s="9">
        <v>2</v>
      </c>
    </row>
    <row r="483" spans="1:13">
      <c r="A483" s="7">
        <v>43805</v>
      </c>
      <c r="B483" s="8">
        <v>0.4993055555555555</v>
      </c>
      <c r="C483" s="9" t="str">
        <f>"FES1162726976"</f>
        <v>FES1162726976</v>
      </c>
      <c r="D483" s="9" t="s">
        <v>19</v>
      </c>
      <c r="E483" s="9" t="s">
        <v>293</v>
      </c>
      <c r="F483" s="9" t="str">
        <f>"2170710246 "</f>
        <v xml:space="preserve">2170710246 </v>
      </c>
      <c r="G483" s="9" t="str">
        <f t="shared" si="15"/>
        <v>ON1</v>
      </c>
      <c r="H483" s="9" t="s">
        <v>21</v>
      </c>
      <c r="I483" s="9" t="s">
        <v>294</v>
      </c>
      <c r="J483" s="9" t="str">
        <f>""</f>
        <v/>
      </c>
      <c r="K483" s="9" t="str">
        <f>"PFES1162726976_0001"</f>
        <v>PFES1162726976_0001</v>
      </c>
      <c r="L483" s="9">
        <v>1</v>
      </c>
      <c r="M483" s="9">
        <v>2</v>
      </c>
    </row>
    <row r="484" spans="1:13">
      <c r="A484" s="7">
        <v>43805</v>
      </c>
      <c r="B484" s="8">
        <v>0.49861111111111112</v>
      </c>
      <c r="C484" s="9" t="str">
        <f>"FES1162726856"</f>
        <v>FES1162726856</v>
      </c>
      <c r="D484" s="9" t="s">
        <v>19</v>
      </c>
      <c r="E484" s="9" t="s">
        <v>260</v>
      </c>
      <c r="F484" s="9" t="str">
        <f>"2170714067 "</f>
        <v xml:space="preserve">2170714067 </v>
      </c>
      <c r="G484" s="9" t="str">
        <f t="shared" si="15"/>
        <v>ON1</v>
      </c>
      <c r="H484" s="9" t="s">
        <v>21</v>
      </c>
      <c r="I484" s="9" t="s">
        <v>216</v>
      </c>
      <c r="J484" s="9" t="str">
        <f>""</f>
        <v/>
      </c>
      <c r="K484" s="9" t="str">
        <f>"PFES1162726856_0001"</f>
        <v>PFES1162726856_0001</v>
      </c>
      <c r="L484" s="9">
        <v>4</v>
      </c>
      <c r="M484" s="9">
        <v>12</v>
      </c>
    </row>
    <row r="485" spans="1:13">
      <c r="A485" s="7">
        <v>43805</v>
      </c>
      <c r="B485" s="8">
        <v>0.49861111111111112</v>
      </c>
      <c r="C485" s="9" t="str">
        <f>"FES1162726856"</f>
        <v>FES1162726856</v>
      </c>
      <c r="D485" s="9" t="s">
        <v>19</v>
      </c>
      <c r="E485" s="9" t="s">
        <v>260</v>
      </c>
      <c r="F485" s="9" t="str">
        <f t="shared" ref="F485:F487" si="16">"2170714067 "</f>
        <v xml:space="preserve">2170714067 </v>
      </c>
      <c r="G485" s="9" t="str">
        <f t="shared" si="15"/>
        <v>ON1</v>
      </c>
      <c r="H485" s="9" t="s">
        <v>21</v>
      </c>
      <c r="I485" s="9" t="s">
        <v>216</v>
      </c>
      <c r="J485" s="9"/>
      <c r="K485" s="9" t="str">
        <f>"PFES1162726856_0002"</f>
        <v>PFES1162726856_0002</v>
      </c>
      <c r="L485" s="9">
        <v>4</v>
      </c>
      <c r="M485" s="9">
        <v>12</v>
      </c>
    </row>
    <row r="486" spans="1:13">
      <c r="A486" s="7">
        <v>43805</v>
      </c>
      <c r="B486" s="8">
        <v>0.49861111111111112</v>
      </c>
      <c r="C486" s="9" t="str">
        <f>"FES1162726856"</f>
        <v>FES1162726856</v>
      </c>
      <c r="D486" s="9" t="s">
        <v>19</v>
      </c>
      <c r="E486" s="9" t="s">
        <v>260</v>
      </c>
      <c r="F486" s="9" t="str">
        <f t="shared" si="16"/>
        <v xml:space="preserve">2170714067 </v>
      </c>
      <c r="G486" s="9" t="str">
        <f t="shared" si="15"/>
        <v>ON1</v>
      </c>
      <c r="H486" s="9" t="s">
        <v>21</v>
      </c>
      <c r="I486" s="9" t="s">
        <v>216</v>
      </c>
      <c r="J486" s="9"/>
      <c r="K486" s="9" t="str">
        <f>"PFES1162726856_0003"</f>
        <v>PFES1162726856_0003</v>
      </c>
      <c r="L486" s="9">
        <v>4</v>
      </c>
      <c r="M486" s="9">
        <v>12</v>
      </c>
    </row>
    <row r="487" spans="1:13">
      <c r="A487" s="7">
        <v>43805</v>
      </c>
      <c r="B487" s="8">
        <v>0.49861111111111112</v>
      </c>
      <c r="C487" s="9" t="str">
        <f>"FES1162726856"</f>
        <v>FES1162726856</v>
      </c>
      <c r="D487" s="9" t="s">
        <v>19</v>
      </c>
      <c r="E487" s="9" t="s">
        <v>260</v>
      </c>
      <c r="F487" s="9" t="str">
        <f t="shared" si="16"/>
        <v xml:space="preserve">2170714067 </v>
      </c>
      <c r="G487" s="9" t="str">
        <f t="shared" si="15"/>
        <v>ON1</v>
      </c>
      <c r="H487" s="9" t="s">
        <v>21</v>
      </c>
      <c r="I487" s="9" t="s">
        <v>216</v>
      </c>
      <c r="J487" s="9"/>
      <c r="K487" s="9" t="str">
        <f>"PFES1162726856_0004"</f>
        <v>PFES1162726856_0004</v>
      </c>
      <c r="L487" s="9">
        <v>4</v>
      </c>
      <c r="M487" s="9">
        <v>12</v>
      </c>
    </row>
    <row r="488" spans="1:13">
      <c r="A488" s="7">
        <v>43805</v>
      </c>
      <c r="B488" s="8">
        <v>0.49513888888888885</v>
      </c>
      <c r="C488" s="9" t="str">
        <f>"FES1162727148"</f>
        <v>FES1162727148</v>
      </c>
      <c r="D488" s="9" t="s">
        <v>19</v>
      </c>
      <c r="E488" s="9" t="s">
        <v>420</v>
      </c>
      <c r="F488" s="9" t="str">
        <f>"2170720198 "</f>
        <v xml:space="preserve">2170720198 </v>
      </c>
      <c r="G488" s="9" t="str">
        <f t="shared" si="15"/>
        <v>ON1</v>
      </c>
      <c r="H488" s="9" t="s">
        <v>21</v>
      </c>
      <c r="I488" s="9" t="s">
        <v>421</v>
      </c>
      <c r="J488" s="9" t="str">
        <f>""</f>
        <v/>
      </c>
      <c r="K488" s="9" t="str">
        <f>"PFES1162727148_0001"</f>
        <v>PFES1162727148_0001</v>
      </c>
      <c r="L488" s="9">
        <v>1</v>
      </c>
      <c r="M488" s="9">
        <v>1</v>
      </c>
    </row>
    <row r="489" spans="1:13">
      <c r="A489" s="7">
        <v>43805</v>
      </c>
      <c r="B489" s="8">
        <v>0.49444444444444446</v>
      </c>
      <c r="C489" s="9" t="str">
        <f>"FES1162727189"</f>
        <v>FES1162727189</v>
      </c>
      <c r="D489" s="9" t="s">
        <v>19</v>
      </c>
      <c r="E489" s="9" t="s">
        <v>422</v>
      </c>
      <c r="F489" s="9" t="str">
        <f>"2170720666 "</f>
        <v xml:space="preserve">2170720666 </v>
      </c>
      <c r="G489" s="9" t="str">
        <f t="shared" si="15"/>
        <v>ON1</v>
      </c>
      <c r="H489" s="9" t="s">
        <v>21</v>
      </c>
      <c r="I489" s="9" t="s">
        <v>204</v>
      </c>
      <c r="J489" s="9" t="str">
        <f>""</f>
        <v/>
      </c>
      <c r="K489" s="9" t="str">
        <f>"PFES1162727189_0001"</f>
        <v>PFES1162727189_0001</v>
      </c>
      <c r="L489" s="9">
        <v>1</v>
      </c>
      <c r="M489" s="9">
        <v>1</v>
      </c>
    </row>
    <row r="490" spans="1:13">
      <c r="A490" s="7">
        <v>43805</v>
      </c>
      <c r="B490" s="8">
        <v>0.49305555555555558</v>
      </c>
      <c r="C490" s="9" t="str">
        <f>"FES1162727129"</f>
        <v>FES1162727129</v>
      </c>
      <c r="D490" s="9" t="s">
        <v>19</v>
      </c>
      <c r="E490" s="9" t="s">
        <v>196</v>
      </c>
      <c r="F490" s="9" t="str">
        <f>"2170719422 "</f>
        <v xml:space="preserve">2170719422 </v>
      </c>
      <c r="G490" s="9" t="str">
        <f t="shared" si="15"/>
        <v>ON1</v>
      </c>
      <c r="H490" s="9" t="s">
        <v>21</v>
      </c>
      <c r="I490" s="9" t="s">
        <v>197</v>
      </c>
      <c r="J490" s="9" t="str">
        <f>""</f>
        <v/>
      </c>
      <c r="K490" s="9" t="str">
        <f>"PFES1162727129_0001"</f>
        <v>PFES1162727129_0001</v>
      </c>
      <c r="L490" s="9">
        <v>1</v>
      </c>
      <c r="M490" s="9">
        <v>1</v>
      </c>
    </row>
    <row r="491" spans="1:13">
      <c r="A491" s="7">
        <v>43805</v>
      </c>
      <c r="B491" s="8">
        <v>0.4916666666666667</v>
      </c>
      <c r="C491" s="9" t="str">
        <f>"FES1162727188"</f>
        <v>FES1162727188</v>
      </c>
      <c r="D491" s="9" t="s">
        <v>19</v>
      </c>
      <c r="E491" s="9" t="s">
        <v>423</v>
      </c>
      <c r="F491" s="9" t="str">
        <f>"2170720623 "</f>
        <v xml:space="preserve">2170720623 </v>
      </c>
      <c r="G491" s="9" t="str">
        <f t="shared" si="15"/>
        <v>ON1</v>
      </c>
      <c r="H491" s="9" t="s">
        <v>21</v>
      </c>
      <c r="I491" s="9" t="s">
        <v>111</v>
      </c>
      <c r="J491" s="9" t="str">
        <f>""</f>
        <v/>
      </c>
      <c r="K491" s="9" t="str">
        <f>"PFES1162727188_0001"</f>
        <v>PFES1162727188_0001</v>
      </c>
      <c r="L491" s="9">
        <v>1</v>
      </c>
      <c r="M491" s="9">
        <v>1</v>
      </c>
    </row>
    <row r="492" spans="1:13">
      <c r="A492" s="7">
        <v>43805</v>
      </c>
      <c r="B492" s="8">
        <v>0.45624999999999999</v>
      </c>
      <c r="C492" s="9" t="str">
        <f>"FES1162727116"</f>
        <v>FES1162727116</v>
      </c>
      <c r="D492" s="9" t="s">
        <v>19</v>
      </c>
      <c r="E492" s="9" t="s">
        <v>260</v>
      </c>
      <c r="F492" s="9" t="str">
        <f>"2170720588 "</f>
        <v xml:space="preserve">2170720588 </v>
      </c>
      <c r="G492" s="9" t="str">
        <f t="shared" si="15"/>
        <v>ON1</v>
      </c>
      <c r="H492" s="9" t="s">
        <v>21</v>
      </c>
      <c r="I492" s="9" t="s">
        <v>216</v>
      </c>
      <c r="J492" s="9" t="str">
        <f>""</f>
        <v/>
      </c>
      <c r="K492" s="9" t="str">
        <f>"PFES1162727116_0001"</f>
        <v>PFES1162727116_0001</v>
      </c>
      <c r="L492" s="9">
        <v>1</v>
      </c>
      <c r="M492" s="9">
        <v>1</v>
      </c>
    </row>
    <row r="493" spans="1:13">
      <c r="A493" s="7">
        <v>43805</v>
      </c>
      <c r="B493" s="8">
        <v>0.45555555555555555</v>
      </c>
      <c r="C493" s="9" t="str">
        <f>"FES1162727107"</f>
        <v>FES1162727107</v>
      </c>
      <c r="D493" s="9" t="s">
        <v>19</v>
      </c>
      <c r="E493" s="9" t="s">
        <v>90</v>
      </c>
      <c r="F493" s="9" t="str">
        <f>"2170720573 "</f>
        <v xml:space="preserve">2170720573 </v>
      </c>
      <c r="G493" s="9" t="str">
        <f t="shared" si="15"/>
        <v>ON1</v>
      </c>
      <c r="H493" s="9" t="s">
        <v>21</v>
      </c>
      <c r="I493" s="9" t="s">
        <v>22</v>
      </c>
      <c r="J493" s="9" t="str">
        <f>""</f>
        <v/>
      </c>
      <c r="K493" s="9" t="str">
        <f>"PFES1162727107_0001"</f>
        <v>PFES1162727107_0001</v>
      </c>
      <c r="L493" s="9">
        <v>1</v>
      </c>
      <c r="M493" s="9">
        <v>1</v>
      </c>
    </row>
    <row r="494" spans="1:13">
      <c r="A494" s="7">
        <v>43805</v>
      </c>
      <c r="B494" s="8">
        <v>0.4548611111111111</v>
      </c>
      <c r="C494" s="9" t="str">
        <f>"FES1162726665"</f>
        <v>FES1162726665</v>
      </c>
      <c r="D494" s="9" t="s">
        <v>19</v>
      </c>
      <c r="E494" s="9" t="s">
        <v>367</v>
      </c>
      <c r="F494" s="9" t="str">
        <f>"2170717496 "</f>
        <v xml:space="preserve">2170717496 </v>
      </c>
      <c r="G494" s="9" t="str">
        <f>"DBC"</f>
        <v>DBC</v>
      </c>
      <c r="H494" s="9" t="s">
        <v>21</v>
      </c>
      <c r="I494" s="9" t="s">
        <v>368</v>
      </c>
      <c r="J494" s="9" t="str">
        <f>""</f>
        <v/>
      </c>
      <c r="K494" s="9" t="str">
        <f>"PFES1162726665_0001"</f>
        <v>PFES1162726665_0001</v>
      </c>
      <c r="L494" s="9">
        <v>1</v>
      </c>
      <c r="M494" s="9">
        <v>20</v>
      </c>
    </row>
    <row r="495" spans="1:13">
      <c r="A495" s="7">
        <v>43805</v>
      </c>
      <c r="B495" s="8">
        <v>0.4548611111111111</v>
      </c>
      <c r="C495" s="9" t="str">
        <f>"FES1162727134"</f>
        <v>FES1162727134</v>
      </c>
      <c r="D495" s="9" t="s">
        <v>19</v>
      </c>
      <c r="E495" s="9" t="s">
        <v>291</v>
      </c>
      <c r="F495" s="9" t="str">
        <f>"2170720603 "</f>
        <v xml:space="preserve">2170720603 </v>
      </c>
      <c r="G495" s="9" t="str">
        <f t="shared" ref="G495:G508" si="17">"ON1"</f>
        <v>ON1</v>
      </c>
      <c r="H495" s="9" t="s">
        <v>21</v>
      </c>
      <c r="I495" s="9" t="s">
        <v>41</v>
      </c>
      <c r="J495" s="9" t="str">
        <f>""</f>
        <v/>
      </c>
      <c r="K495" s="9" t="str">
        <f>"PFES1162727134_0001"</f>
        <v>PFES1162727134_0001</v>
      </c>
      <c r="L495" s="9">
        <v>1</v>
      </c>
      <c r="M495" s="9">
        <v>1</v>
      </c>
    </row>
    <row r="496" spans="1:13">
      <c r="A496" s="7">
        <v>43805</v>
      </c>
      <c r="B496" s="8">
        <v>0.4548611111111111</v>
      </c>
      <c r="C496" s="9" t="str">
        <f>"FES1162726862"</f>
        <v>FES1162726862</v>
      </c>
      <c r="D496" s="9" t="s">
        <v>19</v>
      </c>
      <c r="E496" s="9" t="s">
        <v>105</v>
      </c>
      <c r="F496" s="9" t="str">
        <f>"2170713040 "</f>
        <v xml:space="preserve">2170713040 </v>
      </c>
      <c r="G496" s="9" t="str">
        <f t="shared" si="17"/>
        <v>ON1</v>
      </c>
      <c r="H496" s="9" t="s">
        <v>21</v>
      </c>
      <c r="I496" s="9" t="s">
        <v>106</v>
      </c>
      <c r="J496" s="9" t="str">
        <f>""</f>
        <v/>
      </c>
      <c r="K496" s="9" t="str">
        <f>"PFES1162726862_0001"</f>
        <v>PFES1162726862_0001</v>
      </c>
      <c r="L496" s="9">
        <v>1</v>
      </c>
      <c r="M496" s="9">
        <v>11</v>
      </c>
    </row>
    <row r="497" spans="1:13">
      <c r="A497" s="7">
        <v>43805</v>
      </c>
      <c r="B497" s="8">
        <v>0.45416666666666666</v>
      </c>
      <c r="C497" s="9" t="str">
        <f>"FES1162726786"</f>
        <v>FES1162726786</v>
      </c>
      <c r="D497" s="9" t="s">
        <v>19</v>
      </c>
      <c r="E497" s="9" t="s">
        <v>367</v>
      </c>
      <c r="F497" s="9" t="str">
        <f>"21707101485 "</f>
        <v xml:space="preserve">21707101485 </v>
      </c>
      <c r="G497" s="9" t="str">
        <f t="shared" si="17"/>
        <v>ON1</v>
      </c>
      <c r="H497" s="9" t="s">
        <v>21</v>
      </c>
      <c r="I497" s="9" t="s">
        <v>368</v>
      </c>
      <c r="J497" s="9" t="str">
        <f>""</f>
        <v/>
      </c>
      <c r="K497" s="9" t="str">
        <f>"PFES1162726786_0001"</f>
        <v>PFES1162726786_0001</v>
      </c>
      <c r="L497" s="9">
        <v>1</v>
      </c>
      <c r="M497" s="9">
        <v>6</v>
      </c>
    </row>
    <row r="498" spans="1:13">
      <c r="A498" s="7">
        <v>43805</v>
      </c>
      <c r="B498" s="8">
        <v>0.45416666666666666</v>
      </c>
      <c r="C498" s="9" t="str">
        <f>"FES1162727163"</f>
        <v>FES1162727163</v>
      </c>
      <c r="D498" s="9" t="s">
        <v>19</v>
      </c>
      <c r="E498" s="9" t="s">
        <v>59</v>
      </c>
      <c r="F498" s="9" t="str">
        <f>"2170720626 "</f>
        <v xml:space="preserve">2170720626 </v>
      </c>
      <c r="G498" s="9" t="str">
        <f t="shared" si="17"/>
        <v>ON1</v>
      </c>
      <c r="H498" s="9" t="s">
        <v>21</v>
      </c>
      <c r="I498" s="9" t="s">
        <v>60</v>
      </c>
      <c r="J498" s="9" t="str">
        <f>""</f>
        <v/>
      </c>
      <c r="K498" s="9" t="str">
        <f>"PFES1162727163_0001"</f>
        <v>PFES1162727163_0001</v>
      </c>
      <c r="L498" s="9">
        <v>1</v>
      </c>
      <c r="M498" s="9">
        <v>1</v>
      </c>
    </row>
    <row r="499" spans="1:13">
      <c r="A499" s="7">
        <v>43805</v>
      </c>
      <c r="B499" s="8">
        <v>0.45416666666666666</v>
      </c>
      <c r="C499" s="9" t="str">
        <f>"FES1162727164"</f>
        <v>FES1162727164</v>
      </c>
      <c r="D499" s="9" t="s">
        <v>19</v>
      </c>
      <c r="E499" s="9" t="s">
        <v>82</v>
      </c>
      <c r="F499" s="9" t="str">
        <f>"2170720631 "</f>
        <v xml:space="preserve">2170720631 </v>
      </c>
      <c r="G499" s="9" t="str">
        <f t="shared" si="17"/>
        <v>ON1</v>
      </c>
      <c r="H499" s="9" t="s">
        <v>21</v>
      </c>
      <c r="I499" s="9" t="s">
        <v>72</v>
      </c>
      <c r="J499" s="9" t="str">
        <f>""</f>
        <v/>
      </c>
      <c r="K499" s="9" t="str">
        <f>"PFES1162727164_0001"</f>
        <v>PFES1162727164_0001</v>
      </c>
      <c r="L499" s="9">
        <v>1</v>
      </c>
      <c r="M499" s="9">
        <v>1</v>
      </c>
    </row>
    <row r="500" spans="1:13">
      <c r="A500" s="7">
        <v>43805</v>
      </c>
      <c r="B500" s="8">
        <v>0.45347222222222222</v>
      </c>
      <c r="C500" s="9" t="str">
        <f>"FES1162727180"</f>
        <v>FES1162727180</v>
      </c>
      <c r="D500" s="9" t="s">
        <v>19</v>
      </c>
      <c r="E500" s="9" t="s">
        <v>409</v>
      </c>
      <c r="F500" s="9" t="str">
        <f>"2170719345 "</f>
        <v xml:space="preserve">2170719345 </v>
      </c>
      <c r="G500" s="9" t="str">
        <f t="shared" si="17"/>
        <v>ON1</v>
      </c>
      <c r="H500" s="9" t="s">
        <v>21</v>
      </c>
      <c r="I500" s="9" t="s">
        <v>189</v>
      </c>
      <c r="J500" s="9" t="str">
        <f>""</f>
        <v/>
      </c>
      <c r="K500" s="9" t="str">
        <f>"PFES1162727180_0001"</f>
        <v>PFES1162727180_0001</v>
      </c>
      <c r="L500" s="9">
        <v>1</v>
      </c>
      <c r="M500" s="9">
        <v>3</v>
      </c>
    </row>
    <row r="501" spans="1:13">
      <c r="A501" s="7">
        <v>43805</v>
      </c>
      <c r="B501" s="8">
        <v>0.45347222222222222</v>
      </c>
      <c r="C501" s="9" t="str">
        <f>"FES1162727167"</f>
        <v>FES1162727167</v>
      </c>
      <c r="D501" s="9" t="s">
        <v>19</v>
      </c>
      <c r="E501" s="9" t="s">
        <v>61</v>
      </c>
      <c r="F501" s="9" t="str">
        <f>"2170720636 "</f>
        <v xml:space="preserve">2170720636 </v>
      </c>
      <c r="G501" s="9" t="str">
        <f t="shared" si="17"/>
        <v>ON1</v>
      </c>
      <c r="H501" s="9" t="s">
        <v>21</v>
      </c>
      <c r="I501" s="9" t="s">
        <v>62</v>
      </c>
      <c r="J501" s="9" t="str">
        <f>""</f>
        <v/>
      </c>
      <c r="K501" s="9" t="str">
        <f>"PFES1162727167_0001"</f>
        <v>PFES1162727167_0001</v>
      </c>
      <c r="L501" s="9">
        <v>1</v>
      </c>
      <c r="M501" s="9">
        <v>1</v>
      </c>
    </row>
    <row r="502" spans="1:13">
      <c r="A502" s="7">
        <v>43805</v>
      </c>
      <c r="B502" s="8">
        <v>0.45347222222222222</v>
      </c>
      <c r="C502" s="9" t="str">
        <f>"FES1162727192"</f>
        <v>FES1162727192</v>
      </c>
      <c r="D502" s="9" t="s">
        <v>19</v>
      </c>
      <c r="E502" s="9" t="s">
        <v>424</v>
      </c>
      <c r="F502" s="9" t="str">
        <f>"21707106569 "</f>
        <v xml:space="preserve">21707106569 </v>
      </c>
      <c r="G502" s="9" t="str">
        <f t="shared" si="17"/>
        <v>ON1</v>
      </c>
      <c r="H502" s="9" t="s">
        <v>21</v>
      </c>
      <c r="I502" s="9" t="s">
        <v>119</v>
      </c>
      <c r="J502" s="9" t="str">
        <f>""</f>
        <v/>
      </c>
      <c r="K502" s="9" t="str">
        <f>"PFES1162727192_0001"</f>
        <v>PFES1162727192_0001</v>
      </c>
      <c r="L502" s="9">
        <v>1</v>
      </c>
      <c r="M502" s="9">
        <v>1</v>
      </c>
    </row>
    <row r="503" spans="1:13">
      <c r="A503" s="7">
        <v>43805</v>
      </c>
      <c r="B503" s="8">
        <v>0.45277777777777778</v>
      </c>
      <c r="C503" s="9" t="str">
        <f>"FES1162727128"</f>
        <v>FES1162727128</v>
      </c>
      <c r="D503" s="9" t="s">
        <v>19</v>
      </c>
      <c r="E503" s="9" t="s">
        <v>260</v>
      </c>
      <c r="F503" s="9" t="str">
        <f>"2170715710 "</f>
        <v xml:space="preserve">2170715710 </v>
      </c>
      <c r="G503" s="9" t="str">
        <f t="shared" si="17"/>
        <v>ON1</v>
      </c>
      <c r="H503" s="9" t="s">
        <v>21</v>
      </c>
      <c r="I503" s="9" t="s">
        <v>216</v>
      </c>
      <c r="J503" s="9" t="str">
        <f>""</f>
        <v/>
      </c>
      <c r="K503" s="9" t="str">
        <f>"PFES1162727128_0001"</f>
        <v>PFES1162727128_0001</v>
      </c>
      <c r="L503" s="9">
        <v>1</v>
      </c>
      <c r="M503" s="9">
        <v>2</v>
      </c>
    </row>
    <row r="504" spans="1:13">
      <c r="A504" s="7">
        <v>43805</v>
      </c>
      <c r="B504" s="8">
        <v>0.45277777777777778</v>
      </c>
      <c r="C504" s="9" t="str">
        <f>"FES1162727160"</f>
        <v>FES1162727160</v>
      </c>
      <c r="D504" s="9" t="s">
        <v>19</v>
      </c>
      <c r="E504" s="9" t="s">
        <v>154</v>
      </c>
      <c r="F504" s="9" t="str">
        <f>"2170720561 "</f>
        <v xml:space="preserve">2170720561 </v>
      </c>
      <c r="G504" s="9" t="str">
        <f t="shared" si="17"/>
        <v>ON1</v>
      </c>
      <c r="H504" s="9" t="s">
        <v>21</v>
      </c>
      <c r="I504" s="9" t="s">
        <v>155</v>
      </c>
      <c r="J504" s="9" t="str">
        <f>""</f>
        <v/>
      </c>
      <c r="K504" s="9" t="str">
        <f>"PFES1162727160_0001"</f>
        <v>PFES1162727160_0001</v>
      </c>
      <c r="L504" s="9">
        <v>1</v>
      </c>
      <c r="M504" s="9">
        <v>1</v>
      </c>
    </row>
    <row r="505" spans="1:13">
      <c r="A505" s="7">
        <v>43805</v>
      </c>
      <c r="B505" s="8">
        <v>0.45208333333333334</v>
      </c>
      <c r="C505" s="9" t="str">
        <f>"FES1162727066"</f>
        <v>FES1162727066</v>
      </c>
      <c r="D505" s="9" t="s">
        <v>19</v>
      </c>
      <c r="E505" s="9" t="s">
        <v>425</v>
      </c>
      <c r="F505" s="9" t="str">
        <f>"2170714985 "</f>
        <v xml:space="preserve">2170714985 </v>
      </c>
      <c r="G505" s="9" t="str">
        <f t="shared" si="17"/>
        <v>ON1</v>
      </c>
      <c r="H505" s="9" t="s">
        <v>21</v>
      </c>
      <c r="I505" s="9" t="s">
        <v>426</v>
      </c>
      <c r="J505" s="9" t="str">
        <f>""</f>
        <v/>
      </c>
      <c r="K505" s="9" t="str">
        <f>"PFES1162727066_0001"</f>
        <v>PFES1162727066_0001</v>
      </c>
      <c r="L505" s="9">
        <v>1</v>
      </c>
      <c r="M505" s="9">
        <v>5</v>
      </c>
    </row>
    <row r="506" spans="1:13">
      <c r="A506" s="7">
        <v>43805</v>
      </c>
      <c r="B506" s="8">
        <v>0.45208333333333334</v>
      </c>
      <c r="C506" s="9" t="str">
        <f>"FES1162727174"</f>
        <v>FES1162727174</v>
      </c>
      <c r="D506" s="9" t="s">
        <v>19</v>
      </c>
      <c r="E506" s="9" t="s">
        <v>427</v>
      </c>
      <c r="F506" s="9" t="str">
        <f>"2170710648 "</f>
        <v xml:space="preserve">2170710648 </v>
      </c>
      <c r="G506" s="9" t="str">
        <f t="shared" si="17"/>
        <v>ON1</v>
      </c>
      <c r="H506" s="9" t="s">
        <v>21</v>
      </c>
      <c r="I506" s="9" t="s">
        <v>158</v>
      </c>
      <c r="J506" s="9" t="str">
        <f>""</f>
        <v/>
      </c>
      <c r="K506" s="9" t="str">
        <f>"PFES1162727174_0001"</f>
        <v>PFES1162727174_0001</v>
      </c>
      <c r="L506" s="9">
        <v>1</v>
      </c>
      <c r="M506" s="9">
        <v>3</v>
      </c>
    </row>
    <row r="507" spans="1:13">
      <c r="A507" s="7">
        <v>43805</v>
      </c>
      <c r="B507" s="8">
        <v>0.4513888888888889</v>
      </c>
      <c r="C507" s="9" t="str">
        <f>"FES1162727062"</f>
        <v>FES1162727062</v>
      </c>
      <c r="D507" s="9" t="s">
        <v>19</v>
      </c>
      <c r="E507" s="9" t="s">
        <v>217</v>
      </c>
      <c r="F507" s="9" t="str">
        <f>"21707150358 "</f>
        <v xml:space="preserve">21707150358 </v>
      </c>
      <c r="G507" s="9" t="str">
        <f t="shared" si="17"/>
        <v>ON1</v>
      </c>
      <c r="H507" s="9" t="s">
        <v>21</v>
      </c>
      <c r="I507" s="9" t="s">
        <v>102</v>
      </c>
      <c r="J507" s="9" t="str">
        <f>""</f>
        <v/>
      </c>
      <c r="K507" s="9" t="str">
        <f>"PFES1162727062_0001"</f>
        <v>PFES1162727062_0001</v>
      </c>
      <c r="L507" s="9">
        <v>1</v>
      </c>
      <c r="M507" s="9">
        <v>2</v>
      </c>
    </row>
    <row r="508" spans="1:13">
      <c r="A508" s="7">
        <v>43805</v>
      </c>
      <c r="B508" s="8">
        <v>0.4513888888888889</v>
      </c>
      <c r="C508" s="9" t="str">
        <f>"FES1162726948"</f>
        <v>FES1162726948</v>
      </c>
      <c r="D508" s="9" t="s">
        <v>19</v>
      </c>
      <c r="E508" s="9" t="s">
        <v>290</v>
      </c>
      <c r="F508" s="9" t="str">
        <f>"2170720396 "</f>
        <v xml:space="preserve">2170720396 </v>
      </c>
      <c r="G508" s="9" t="str">
        <f t="shared" si="17"/>
        <v>ON1</v>
      </c>
      <c r="H508" s="9" t="s">
        <v>21</v>
      </c>
      <c r="I508" s="9" t="s">
        <v>123</v>
      </c>
      <c r="J508" s="9" t="str">
        <f>""</f>
        <v/>
      </c>
      <c r="K508" s="9" t="str">
        <f>"PFES1162726948_0001"</f>
        <v>PFES1162726948_0001</v>
      </c>
      <c r="L508" s="9">
        <v>1</v>
      </c>
      <c r="M508" s="9">
        <v>2</v>
      </c>
    </row>
    <row r="509" spans="1:13">
      <c r="A509" s="7">
        <v>43805</v>
      </c>
      <c r="B509" s="8">
        <v>0.4513888888888889</v>
      </c>
      <c r="C509" s="9" t="str">
        <f>"FES1162727058"</f>
        <v>FES1162727058</v>
      </c>
      <c r="D509" s="9" t="s">
        <v>19</v>
      </c>
      <c r="E509" s="9" t="s">
        <v>428</v>
      </c>
      <c r="F509" s="9" t="str">
        <f>"21707102532 "</f>
        <v xml:space="preserve">21707102532 </v>
      </c>
      <c r="G509" s="9" t="str">
        <f>"DBC"</f>
        <v>DBC</v>
      </c>
      <c r="H509" s="9" t="s">
        <v>21</v>
      </c>
      <c r="I509" s="9" t="s">
        <v>130</v>
      </c>
      <c r="J509" s="9" t="str">
        <f>""</f>
        <v/>
      </c>
      <c r="K509" s="9" t="str">
        <f>"PFES1162727058_0001"</f>
        <v>PFES1162727058_0001</v>
      </c>
      <c r="L509" s="9">
        <v>2</v>
      </c>
      <c r="M509" s="9">
        <v>22</v>
      </c>
    </row>
    <row r="510" spans="1:13">
      <c r="A510" s="7">
        <v>43805</v>
      </c>
      <c r="B510" s="8">
        <v>0.4513888888888889</v>
      </c>
      <c r="C510" s="9" t="str">
        <f>"FES1162727058"</f>
        <v>FES1162727058</v>
      </c>
      <c r="D510" s="9" t="s">
        <v>19</v>
      </c>
      <c r="E510" s="9" t="s">
        <v>428</v>
      </c>
      <c r="F510" s="9" t="str">
        <f>"21707102532 "</f>
        <v xml:space="preserve">21707102532 </v>
      </c>
      <c r="G510" s="9" t="str">
        <f>"DBC"</f>
        <v>DBC</v>
      </c>
      <c r="H510" s="9" t="s">
        <v>21</v>
      </c>
      <c r="I510" s="9" t="s">
        <v>130</v>
      </c>
      <c r="J510" s="9"/>
      <c r="K510" s="9" t="str">
        <f>"PFES1162727058_0002"</f>
        <v>PFES1162727058_0002</v>
      </c>
      <c r="L510" s="9">
        <v>2</v>
      </c>
      <c r="M510" s="9">
        <v>22</v>
      </c>
    </row>
    <row r="511" spans="1:13">
      <c r="A511" s="7">
        <v>43805</v>
      </c>
      <c r="B511" s="8">
        <v>0.45069444444444445</v>
      </c>
      <c r="C511" s="9" t="str">
        <f>"FES1162727114"</f>
        <v>FES1162727114</v>
      </c>
      <c r="D511" s="9" t="s">
        <v>19</v>
      </c>
      <c r="E511" s="9" t="s">
        <v>429</v>
      </c>
      <c r="F511" s="9" t="str">
        <f>"2170720586 "</f>
        <v xml:space="preserve">2170720586 </v>
      </c>
      <c r="G511" s="9" t="str">
        <f t="shared" ref="G511:G534" si="18">"ON1"</f>
        <v>ON1</v>
      </c>
      <c r="H511" s="9" t="s">
        <v>21</v>
      </c>
      <c r="I511" s="9" t="s">
        <v>430</v>
      </c>
      <c r="J511" s="9" t="str">
        <f>""</f>
        <v/>
      </c>
      <c r="K511" s="9" t="str">
        <f>"PFES1162727114_0001"</f>
        <v>PFES1162727114_0001</v>
      </c>
      <c r="L511" s="9">
        <v>1</v>
      </c>
      <c r="M511" s="9">
        <v>1</v>
      </c>
    </row>
    <row r="512" spans="1:13">
      <c r="A512" s="7">
        <v>43805</v>
      </c>
      <c r="B512" s="8">
        <v>0.45069444444444445</v>
      </c>
      <c r="C512" s="9" t="str">
        <f>"FES1162727181"</f>
        <v>FES1162727181</v>
      </c>
      <c r="D512" s="9" t="s">
        <v>19</v>
      </c>
      <c r="E512" s="9" t="s">
        <v>431</v>
      </c>
      <c r="F512" s="9" t="str">
        <f>"21707120589 "</f>
        <v xml:space="preserve">21707120589 </v>
      </c>
      <c r="G512" s="9" t="str">
        <f t="shared" si="18"/>
        <v>ON1</v>
      </c>
      <c r="H512" s="9" t="s">
        <v>21</v>
      </c>
      <c r="I512" s="9" t="s">
        <v>29</v>
      </c>
      <c r="J512" s="9" t="str">
        <f>""</f>
        <v/>
      </c>
      <c r="K512" s="9" t="str">
        <f>"PFES1162727181_0001"</f>
        <v>PFES1162727181_0001</v>
      </c>
      <c r="L512" s="9">
        <v>1</v>
      </c>
      <c r="M512" s="9">
        <v>4</v>
      </c>
    </row>
    <row r="513" spans="1:13">
      <c r="A513" s="7">
        <v>43805</v>
      </c>
      <c r="B513" s="8">
        <v>0.45069444444444445</v>
      </c>
      <c r="C513" s="9" t="str">
        <f>"FES1162727179"</f>
        <v>FES1162727179</v>
      </c>
      <c r="D513" s="9" t="s">
        <v>19</v>
      </c>
      <c r="E513" s="9" t="s">
        <v>395</v>
      </c>
      <c r="F513" s="9" t="str">
        <f>"2170718096 "</f>
        <v xml:space="preserve">2170718096 </v>
      </c>
      <c r="G513" s="9" t="str">
        <f t="shared" si="18"/>
        <v>ON1</v>
      </c>
      <c r="H513" s="9" t="s">
        <v>21</v>
      </c>
      <c r="I513" s="9" t="s">
        <v>396</v>
      </c>
      <c r="J513" s="9" t="str">
        <f>""</f>
        <v/>
      </c>
      <c r="K513" s="9" t="str">
        <f>"PFES1162727179_0001"</f>
        <v>PFES1162727179_0001</v>
      </c>
      <c r="L513" s="9">
        <v>1</v>
      </c>
      <c r="M513" s="9">
        <v>10</v>
      </c>
    </row>
    <row r="514" spans="1:13">
      <c r="A514" s="7">
        <v>43805</v>
      </c>
      <c r="B514" s="8">
        <v>0.45</v>
      </c>
      <c r="C514" s="9" t="str">
        <f>"FES1162726823"</f>
        <v>FES1162726823</v>
      </c>
      <c r="D514" s="9" t="s">
        <v>19</v>
      </c>
      <c r="E514" s="9" t="s">
        <v>124</v>
      </c>
      <c r="F514" s="9" t="str">
        <f>"2170712070 "</f>
        <v xml:space="preserve">2170712070 </v>
      </c>
      <c r="G514" s="9" t="str">
        <f t="shared" si="18"/>
        <v>ON1</v>
      </c>
      <c r="H514" s="9" t="s">
        <v>21</v>
      </c>
      <c r="I514" s="9" t="s">
        <v>125</v>
      </c>
      <c r="J514" s="9" t="str">
        <f>""</f>
        <v/>
      </c>
      <c r="K514" s="9" t="str">
        <f>"PFES1162726823_0001"</f>
        <v>PFES1162726823_0001</v>
      </c>
      <c r="L514" s="9">
        <v>1</v>
      </c>
      <c r="M514" s="9">
        <v>1</v>
      </c>
    </row>
    <row r="515" spans="1:13">
      <c r="A515" s="7">
        <v>43805</v>
      </c>
      <c r="B515" s="8">
        <v>0.45</v>
      </c>
      <c r="C515" s="9" t="str">
        <f>"FES1162726863"</f>
        <v>FES1162726863</v>
      </c>
      <c r="D515" s="9" t="s">
        <v>19</v>
      </c>
      <c r="E515" s="9" t="s">
        <v>51</v>
      </c>
      <c r="F515" s="9" t="str">
        <f>"2170720305 "</f>
        <v xml:space="preserve">2170720305 </v>
      </c>
      <c r="G515" s="9" t="str">
        <f t="shared" si="18"/>
        <v>ON1</v>
      </c>
      <c r="H515" s="9" t="s">
        <v>21</v>
      </c>
      <c r="I515" s="9" t="s">
        <v>52</v>
      </c>
      <c r="J515" s="9" t="str">
        <f>""</f>
        <v/>
      </c>
      <c r="K515" s="9" t="str">
        <f>"PFES1162726863_0001"</f>
        <v>PFES1162726863_0001</v>
      </c>
      <c r="L515" s="9">
        <v>1</v>
      </c>
      <c r="M515" s="9">
        <v>2</v>
      </c>
    </row>
    <row r="516" spans="1:13">
      <c r="A516" s="7">
        <v>43805</v>
      </c>
      <c r="B516" s="8">
        <v>0.44930555555555557</v>
      </c>
      <c r="C516" s="9" t="str">
        <f>"FES1162727020"</f>
        <v>FES1162727020</v>
      </c>
      <c r="D516" s="9" t="s">
        <v>19</v>
      </c>
      <c r="E516" s="9" t="s">
        <v>432</v>
      </c>
      <c r="F516" s="9" t="str">
        <f>"2170704777 "</f>
        <v xml:space="preserve">2170704777 </v>
      </c>
      <c r="G516" s="9" t="str">
        <f t="shared" si="18"/>
        <v>ON1</v>
      </c>
      <c r="H516" s="9" t="s">
        <v>21</v>
      </c>
      <c r="I516" s="9" t="s">
        <v>294</v>
      </c>
      <c r="J516" s="9" t="str">
        <f>""</f>
        <v/>
      </c>
      <c r="K516" s="9" t="str">
        <f>"PFES1162727020_0001"</f>
        <v>PFES1162727020_0001</v>
      </c>
      <c r="L516" s="9">
        <v>1</v>
      </c>
      <c r="M516" s="9">
        <v>2</v>
      </c>
    </row>
    <row r="517" spans="1:13">
      <c r="A517" s="7">
        <v>43805</v>
      </c>
      <c r="B517" s="8">
        <v>0.44861111111111113</v>
      </c>
      <c r="C517" s="9" t="str">
        <f>"FES1162727120"</f>
        <v>FES1162727120</v>
      </c>
      <c r="D517" s="9" t="s">
        <v>19</v>
      </c>
      <c r="E517" s="9" t="s">
        <v>124</v>
      </c>
      <c r="F517" s="9" t="str">
        <f>"217070467 "</f>
        <v xml:space="preserve">217070467 </v>
      </c>
      <c r="G517" s="9" t="str">
        <f t="shared" si="18"/>
        <v>ON1</v>
      </c>
      <c r="H517" s="9" t="s">
        <v>21</v>
      </c>
      <c r="I517" s="9" t="s">
        <v>125</v>
      </c>
      <c r="J517" s="9" t="str">
        <f>""</f>
        <v/>
      </c>
      <c r="K517" s="9" t="str">
        <f>"PFES1162727120_0001"</f>
        <v>PFES1162727120_0001</v>
      </c>
      <c r="L517" s="9">
        <v>1</v>
      </c>
      <c r="M517" s="9">
        <v>8</v>
      </c>
    </row>
    <row r="518" spans="1:13">
      <c r="A518" s="7">
        <v>43805</v>
      </c>
      <c r="B518" s="8">
        <v>0.44861111111111113</v>
      </c>
      <c r="C518" s="9" t="str">
        <f>"FES1162727183"</f>
        <v>FES1162727183</v>
      </c>
      <c r="D518" s="9" t="s">
        <v>19</v>
      </c>
      <c r="E518" s="9" t="s">
        <v>433</v>
      </c>
      <c r="F518" s="9" t="str">
        <f>"2170720658 "</f>
        <v xml:space="preserve">2170720658 </v>
      </c>
      <c r="G518" s="9" t="str">
        <f t="shared" si="18"/>
        <v>ON1</v>
      </c>
      <c r="H518" s="9" t="s">
        <v>21</v>
      </c>
      <c r="I518" s="9" t="s">
        <v>434</v>
      </c>
      <c r="J518" s="9" t="str">
        <f>""</f>
        <v/>
      </c>
      <c r="K518" s="9" t="str">
        <f>"PFES1162727183_0001"</f>
        <v>PFES1162727183_0001</v>
      </c>
      <c r="L518" s="9">
        <v>1</v>
      </c>
      <c r="M518" s="9">
        <v>1</v>
      </c>
    </row>
    <row r="519" spans="1:13">
      <c r="A519" s="7">
        <v>43805</v>
      </c>
      <c r="B519" s="8">
        <v>0.44861111111111113</v>
      </c>
      <c r="C519" s="9" t="str">
        <f>"FES1162727027"</f>
        <v>FES1162727027</v>
      </c>
      <c r="D519" s="9" t="s">
        <v>19</v>
      </c>
      <c r="E519" s="9" t="s">
        <v>215</v>
      </c>
      <c r="F519" s="9" t="str">
        <f>"2170720488 "</f>
        <v xml:space="preserve">2170720488 </v>
      </c>
      <c r="G519" s="9" t="str">
        <f t="shared" si="18"/>
        <v>ON1</v>
      </c>
      <c r="H519" s="9" t="s">
        <v>21</v>
      </c>
      <c r="I519" s="9" t="s">
        <v>216</v>
      </c>
      <c r="J519" s="9" t="str">
        <f>""</f>
        <v/>
      </c>
      <c r="K519" s="9" t="str">
        <f>"PFES1162727027_0001"</f>
        <v>PFES1162727027_0001</v>
      </c>
      <c r="L519" s="9">
        <v>1</v>
      </c>
      <c r="M519" s="9">
        <v>2</v>
      </c>
    </row>
    <row r="520" spans="1:13">
      <c r="A520" s="7">
        <v>43805</v>
      </c>
      <c r="B520" s="8">
        <v>0.44791666666666669</v>
      </c>
      <c r="C520" s="9" t="str">
        <f>"FES1162727158"</f>
        <v>FES1162727158</v>
      </c>
      <c r="D520" s="9" t="s">
        <v>19</v>
      </c>
      <c r="E520" s="9" t="s">
        <v>195</v>
      </c>
      <c r="F520" s="9" t="str">
        <f>"2170720346 "</f>
        <v xml:space="preserve">2170720346 </v>
      </c>
      <c r="G520" s="9" t="str">
        <f t="shared" si="18"/>
        <v>ON1</v>
      </c>
      <c r="H520" s="9" t="s">
        <v>21</v>
      </c>
      <c r="I520" s="9" t="s">
        <v>43</v>
      </c>
      <c r="J520" s="9" t="str">
        <f>""</f>
        <v/>
      </c>
      <c r="K520" s="9" t="str">
        <f>"PFES1162727158_0001"</f>
        <v>PFES1162727158_0001</v>
      </c>
      <c r="L520" s="9">
        <v>1</v>
      </c>
      <c r="M520" s="9">
        <v>1</v>
      </c>
    </row>
    <row r="521" spans="1:13">
      <c r="A521" s="7">
        <v>43805</v>
      </c>
      <c r="B521" s="8">
        <v>0.44722222222222219</v>
      </c>
      <c r="C521" s="9" t="str">
        <f>"FES1162726855"</f>
        <v>FES1162726855</v>
      </c>
      <c r="D521" s="9" t="s">
        <v>19</v>
      </c>
      <c r="E521" s="9" t="s">
        <v>260</v>
      </c>
      <c r="F521" s="9" t="str">
        <f>"2170715710 "</f>
        <v xml:space="preserve">2170715710 </v>
      </c>
      <c r="G521" s="9" t="str">
        <f t="shared" si="18"/>
        <v>ON1</v>
      </c>
      <c r="H521" s="9" t="s">
        <v>21</v>
      </c>
      <c r="I521" s="9" t="s">
        <v>216</v>
      </c>
      <c r="J521" s="9" t="str">
        <f>""</f>
        <v/>
      </c>
      <c r="K521" s="9" t="str">
        <f>"PFES1162726855_0001"</f>
        <v>PFES1162726855_0001</v>
      </c>
      <c r="L521" s="9">
        <v>1</v>
      </c>
      <c r="M521" s="9">
        <v>1</v>
      </c>
    </row>
    <row r="522" spans="1:13">
      <c r="A522" s="7">
        <v>43805</v>
      </c>
      <c r="B522" s="8">
        <v>0.44722222222222219</v>
      </c>
      <c r="C522" s="9" t="str">
        <f>"FES1162727139"</f>
        <v>FES1162727139</v>
      </c>
      <c r="D522" s="9" t="s">
        <v>19</v>
      </c>
      <c r="E522" s="9" t="s">
        <v>90</v>
      </c>
      <c r="F522" s="9" t="str">
        <f>"2170710608 "</f>
        <v xml:space="preserve">2170710608 </v>
      </c>
      <c r="G522" s="9" t="str">
        <f t="shared" si="18"/>
        <v>ON1</v>
      </c>
      <c r="H522" s="9" t="s">
        <v>21</v>
      </c>
      <c r="I522" s="9" t="s">
        <v>22</v>
      </c>
      <c r="J522" s="9" t="str">
        <f>""</f>
        <v/>
      </c>
      <c r="K522" s="9" t="str">
        <f>"PFES1162727139_0001"</f>
        <v>PFES1162727139_0001</v>
      </c>
      <c r="L522" s="9">
        <v>1</v>
      </c>
      <c r="M522" s="9">
        <v>2</v>
      </c>
    </row>
    <row r="523" spans="1:13">
      <c r="A523" s="7">
        <v>43805</v>
      </c>
      <c r="B523" s="8">
        <v>0.4465277777777778</v>
      </c>
      <c r="C523" s="9" t="str">
        <f>"FES1162726717"</f>
        <v>FES1162726717</v>
      </c>
      <c r="D523" s="9" t="s">
        <v>19</v>
      </c>
      <c r="E523" s="9" t="s">
        <v>291</v>
      </c>
      <c r="F523" s="9" t="str">
        <f>"2170710142 "</f>
        <v xml:space="preserve">2170710142 </v>
      </c>
      <c r="G523" s="9" t="str">
        <f t="shared" si="18"/>
        <v>ON1</v>
      </c>
      <c r="H523" s="9" t="s">
        <v>21</v>
      </c>
      <c r="I523" s="9" t="s">
        <v>41</v>
      </c>
      <c r="J523" s="9" t="str">
        <f>""</f>
        <v/>
      </c>
      <c r="K523" s="9" t="str">
        <f>"PFES1162726717_0001"</f>
        <v>PFES1162726717_0001</v>
      </c>
      <c r="L523" s="9">
        <v>1</v>
      </c>
      <c r="M523" s="9">
        <v>4</v>
      </c>
    </row>
    <row r="524" spans="1:13">
      <c r="A524" s="7">
        <v>43805</v>
      </c>
      <c r="B524" s="8">
        <v>0.4465277777777778</v>
      </c>
      <c r="C524" s="9" t="str">
        <f>"FES1162727168"</f>
        <v>FES1162727168</v>
      </c>
      <c r="D524" s="9" t="s">
        <v>19</v>
      </c>
      <c r="E524" s="9" t="s">
        <v>435</v>
      </c>
      <c r="F524" s="9" t="str">
        <f>"2107020637 "</f>
        <v xml:space="preserve">2107020637 </v>
      </c>
      <c r="G524" s="9" t="str">
        <f t="shared" si="18"/>
        <v>ON1</v>
      </c>
      <c r="H524" s="9" t="s">
        <v>21</v>
      </c>
      <c r="I524" s="9" t="s">
        <v>119</v>
      </c>
      <c r="J524" s="9" t="str">
        <f>""</f>
        <v/>
      </c>
      <c r="K524" s="9" t="str">
        <f>"PFES1162727168_0001"</f>
        <v>PFES1162727168_0001</v>
      </c>
      <c r="L524" s="9">
        <v>1</v>
      </c>
      <c r="M524" s="9">
        <v>1</v>
      </c>
    </row>
    <row r="525" spans="1:13">
      <c r="A525" s="7">
        <v>43805</v>
      </c>
      <c r="B525" s="8">
        <v>0.4465277777777778</v>
      </c>
      <c r="C525" s="9" t="str">
        <f>"FES1162727165"</f>
        <v>FES1162727165</v>
      </c>
      <c r="D525" s="9" t="s">
        <v>19</v>
      </c>
      <c r="E525" s="9" t="s">
        <v>436</v>
      </c>
      <c r="F525" s="9" t="str">
        <f>"2170710632 "</f>
        <v xml:space="preserve">2170710632 </v>
      </c>
      <c r="G525" s="9" t="str">
        <f t="shared" si="18"/>
        <v>ON1</v>
      </c>
      <c r="H525" s="9" t="s">
        <v>21</v>
      </c>
      <c r="I525" s="9" t="s">
        <v>60</v>
      </c>
      <c r="J525" s="9" t="str">
        <f>""</f>
        <v/>
      </c>
      <c r="K525" s="9" t="str">
        <f>"PFES1162727165_0001"</f>
        <v>PFES1162727165_0001</v>
      </c>
      <c r="L525" s="9">
        <v>1</v>
      </c>
      <c r="M525" s="9">
        <v>1</v>
      </c>
    </row>
    <row r="526" spans="1:13">
      <c r="A526" s="7">
        <v>43805</v>
      </c>
      <c r="B526" s="8">
        <v>0.4458333333333333</v>
      </c>
      <c r="C526" s="9" t="str">
        <f>"FES1162727103"</f>
        <v>FES1162727103</v>
      </c>
      <c r="D526" s="9" t="s">
        <v>19</v>
      </c>
      <c r="E526" s="9" t="s">
        <v>437</v>
      </c>
      <c r="F526" s="9" t="str">
        <f>"2170720434 "</f>
        <v xml:space="preserve">2170720434 </v>
      </c>
      <c r="G526" s="9" t="str">
        <f t="shared" si="18"/>
        <v>ON1</v>
      </c>
      <c r="H526" s="9" t="s">
        <v>21</v>
      </c>
      <c r="I526" s="9" t="s">
        <v>438</v>
      </c>
      <c r="J526" s="9" t="str">
        <f>""</f>
        <v/>
      </c>
      <c r="K526" s="9" t="str">
        <f>"PFES1162727103_0001"</f>
        <v>PFES1162727103_0001</v>
      </c>
      <c r="L526" s="9">
        <v>1</v>
      </c>
      <c r="M526" s="9">
        <v>5</v>
      </c>
    </row>
    <row r="527" spans="1:13">
      <c r="A527" s="7">
        <v>43805</v>
      </c>
      <c r="B527" s="8">
        <v>0.4458333333333333</v>
      </c>
      <c r="C527" s="9" t="str">
        <f>"FES1162727115"</f>
        <v>FES1162727115</v>
      </c>
      <c r="D527" s="9" t="s">
        <v>19</v>
      </c>
      <c r="E527" s="9" t="s">
        <v>291</v>
      </c>
      <c r="F527" s="9" t="str">
        <f>"2170720587 "</f>
        <v xml:space="preserve">2170720587 </v>
      </c>
      <c r="G527" s="9" t="str">
        <f t="shared" si="18"/>
        <v>ON1</v>
      </c>
      <c r="H527" s="9" t="s">
        <v>21</v>
      </c>
      <c r="I527" s="9" t="s">
        <v>41</v>
      </c>
      <c r="J527" s="9" t="str">
        <f>""</f>
        <v/>
      </c>
      <c r="K527" s="9" t="str">
        <f>"PFES1162727115_0001"</f>
        <v>PFES1162727115_0001</v>
      </c>
      <c r="L527" s="9">
        <v>1</v>
      </c>
      <c r="M527" s="9">
        <v>1</v>
      </c>
    </row>
    <row r="528" spans="1:13">
      <c r="A528" s="7">
        <v>43805</v>
      </c>
      <c r="B528" s="8">
        <v>0.44513888888888892</v>
      </c>
      <c r="C528" s="9" t="str">
        <f>"FES1162727149"</f>
        <v>FES1162727149</v>
      </c>
      <c r="D528" s="9" t="s">
        <v>19</v>
      </c>
      <c r="E528" s="9" t="s">
        <v>439</v>
      </c>
      <c r="F528" s="9" t="str">
        <f>"21707120505 "</f>
        <v xml:space="preserve">21707120505 </v>
      </c>
      <c r="G528" s="9" t="str">
        <f t="shared" si="18"/>
        <v>ON1</v>
      </c>
      <c r="H528" s="9" t="s">
        <v>21</v>
      </c>
      <c r="I528" s="9" t="s">
        <v>359</v>
      </c>
      <c r="J528" s="9" t="str">
        <f>""</f>
        <v/>
      </c>
      <c r="K528" s="9" t="str">
        <f>"PFES1162727149_0001"</f>
        <v>PFES1162727149_0001</v>
      </c>
      <c r="L528" s="9">
        <v>1</v>
      </c>
      <c r="M528" s="9">
        <v>7</v>
      </c>
    </row>
    <row r="529" spans="1:13">
      <c r="A529" s="7">
        <v>43805</v>
      </c>
      <c r="B529" s="8">
        <v>0.44513888888888892</v>
      </c>
      <c r="C529" s="9" t="str">
        <f>"FES1162727154"</f>
        <v>FES1162727154</v>
      </c>
      <c r="D529" s="9" t="s">
        <v>19</v>
      </c>
      <c r="E529" s="9" t="s">
        <v>440</v>
      </c>
      <c r="F529" s="9" t="str">
        <f>"2170710621 "</f>
        <v xml:space="preserve">2170710621 </v>
      </c>
      <c r="G529" s="9" t="str">
        <f t="shared" si="18"/>
        <v>ON1</v>
      </c>
      <c r="H529" s="9" t="s">
        <v>21</v>
      </c>
      <c r="I529" s="9" t="s">
        <v>441</v>
      </c>
      <c r="J529" s="9" t="str">
        <f>""</f>
        <v/>
      </c>
      <c r="K529" s="9" t="str">
        <f>"PFES1162727154_0001"</f>
        <v>PFES1162727154_0001</v>
      </c>
      <c r="L529" s="9">
        <v>1</v>
      </c>
      <c r="M529" s="9">
        <v>6</v>
      </c>
    </row>
    <row r="530" spans="1:13">
      <c r="A530" s="7">
        <v>43805</v>
      </c>
      <c r="B530" s="8">
        <v>0.44513888888888892</v>
      </c>
      <c r="C530" s="9" t="str">
        <f>"FES1162727127"</f>
        <v>FES1162727127</v>
      </c>
      <c r="D530" s="9" t="s">
        <v>19</v>
      </c>
      <c r="E530" s="9" t="s">
        <v>260</v>
      </c>
      <c r="F530" s="9" t="str">
        <f>"2170716281 "</f>
        <v xml:space="preserve">2170716281 </v>
      </c>
      <c r="G530" s="9" t="str">
        <f t="shared" si="18"/>
        <v>ON1</v>
      </c>
      <c r="H530" s="9" t="s">
        <v>21</v>
      </c>
      <c r="I530" s="9" t="s">
        <v>216</v>
      </c>
      <c r="J530" s="9" t="str">
        <f>""</f>
        <v/>
      </c>
      <c r="K530" s="9" t="str">
        <f>"PFES1162727127_0001"</f>
        <v>PFES1162727127_0001</v>
      </c>
      <c r="L530" s="9">
        <v>1</v>
      </c>
      <c r="M530" s="9">
        <v>1</v>
      </c>
    </row>
    <row r="531" spans="1:13">
      <c r="A531" s="7">
        <v>43805</v>
      </c>
      <c r="B531" s="8">
        <v>0.44444444444444442</v>
      </c>
      <c r="C531" s="9" t="str">
        <f>"FES1162727177"</f>
        <v>FES1162727177</v>
      </c>
      <c r="D531" s="9" t="s">
        <v>19</v>
      </c>
      <c r="E531" s="9" t="s">
        <v>69</v>
      </c>
      <c r="F531" s="9" t="str">
        <f>"2170720655 "</f>
        <v xml:space="preserve">2170720655 </v>
      </c>
      <c r="G531" s="9" t="str">
        <f t="shared" si="18"/>
        <v>ON1</v>
      </c>
      <c r="H531" s="9" t="s">
        <v>21</v>
      </c>
      <c r="I531" s="9" t="s">
        <v>70</v>
      </c>
      <c r="J531" s="9" t="str">
        <f>""</f>
        <v/>
      </c>
      <c r="K531" s="9" t="str">
        <f>"PFES1162727177_0001"</f>
        <v>PFES1162727177_0001</v>
      </c>
      <c r="L531" s="9">
        <v>1</v>
      </c>
      <c r="M531" s="9">
        <v>1</v>
      </c>
    </row>
    <row r="532" spans="1:13">
      <c r="A532" s="7">
        <v>43805</v>
      </c>
      <c r="B532" s="8">
        <v>0.44305555555555554</v>
      </c>
      <c r="C532" s="9" t="str">
        <f>"FES1162727187"</f>
        <v>FES1162727187</v>
      </c>
      <c r="D532" s="9" t="s">
        <v>19</v>
      </c>
      <c r="E532" s="9" t="s">
        <v>442</v>
      </c>
      <c r="F532" s="9" t="str">
        <f>"2170719987 "</f>
        <v xml:space="preserve">2170719987 </v>
      </c>
      <c r="G532" s="9" t="str">
        <f t="shared" si="18"/>
        <v>ON1</v>
      </c>
      <c r="H532" s="9" t="s">
        <v>21</v>
      </c>
      <c r="I532" s="9" t="s">
        <v>48</v>
      </c>
      <c r="J532" s="9" t="str">
        <f>""</f>
        <v/>
      </c>
      <c r="K532" s="9" t="str">
        <f>"PFES1162727187_0001"</f>
        <v>PFES1162727187_0001</v>
      </c>
      <c r="L532" s="9">
        <v>1</v>
      </c>
      <c r="M532" s="9">
        <v>1</v>
      </c>
    </row>
    <row r="533" spans="1:13">
      <c r="A533" s="7">
        <v>43805</v>
      </c>
      <c r="B533" s="8">
        <v>0.44236111111111115</v>
      </c>
      <c r="C533" s="9" t="str">
        <f>"FES1162726656"</f>
        <v>FES1162726656</v>
      </c>
      <c r="D533" s="9" t="s">
        <v>19</v>
      </c>
      <c r="E533" s="9" t="s">
        <v>260</v>
      </c>
      <c r="F533" s="9" t="str">
        <f>"2170715579 "</f>
        <v xml:space="preserve">2170715579 </v>
      </c>
      <c r="G533" s="9" t="str">
        <f t="shared" si="18"/>
        <v>ON1</v>
      </c>
      <c r="H533" s="9" t="s">
        <v>21</v>
      </c>
      <c r="I533" s="9" t="s">
        <v>216</v>
      </c>
      <c r="J533" s="9" t="str">
        <f>""</f>
        <v/>
      </c>
      <c r="K533" s="9" t="str">
        <f>"PFES1162726656_0001"</f>
        <v>PFES1162726656_0001</v>
      </c>
      <c r="L533" s="9">
        <v>1</v>
      </c>
      <c r="M533" s="9">
        <v>2</v>
      </c>
    </row>
    <row r="534" spans="1:13">
      <c r="A534" s="7">
        <v>43805</v>
      </c>
      <c r="B534" s="8">
        <v>0.44097222222222227</v>
      </c>
      <c r="C534" s="9" t="str">
        <f>"FES1162727169"</f>
        <v>FES1162727169</v>
      </c>
      <c r="D534" s="9" t="s">
        <v>19</v>
      </c>
      <c r="E534" s="9" t="s">
        <v>443</v>
      </c>
      <c r="F534" s="9" t="str">
        <f>"2170720638 "</f>
        <v xml:space="preserve">2170720638 </v>
      </c>
      <c r="G534" s="9" t="str">
        <f t="shared" si="18"/>
        <v>ON1</v>
      </c>
      <c r="H534" s="9" t="s">
        <v>21</v>
      </c>
      <c r="I534" s="9" t="s">
        <v>444</v>
      </c>
      <c r="J534" s="9" t="str">
        <f>""</f>
        <v/>
      </c>
      <c r="K534" s="9" t="str">
        <f>"PFES1162727169_0001"</f>
        <v>PFES1162727169_0001</v>
      </c>
      <c r="L534" s="9">
        <v>1</v>
      </c>
      <c r="M534" s="9">
        <v>1</v>
      </c>
    </row>
    <row r="535" spans="1:13">
      <c r="A535" s="7">
        <v>43805</v>
      </c>
      <c r="B535" s="8">
        <v>0.41180555555555554</v>
      </c>
      <c r="C535" s="9" t="str">
        <f>"009935712111"</f>
        <v>009935712111</v>
      </c>
      <c r="D535" s="9" t="s">
        <v>19</v>
      </c>
      <c r="E535" s="9" t="s">
        <v>445</v>
      </c>
      <c r="F535" s="9" t="str">
        <f>"1162726268 "</f>
        <v xml:space="preserve">1162726268 </v>
      </c>
      <c r="G535" s="9" t="str">
        <f>"SDX"</f>
        <v>SDX</v>
      </c>
      <c r="H535" s="9" t="s">
        <v>21</v>
      </c>
      <c r="I535" s="9" t="s">
        <v>446</v>
      </c>
      <c r="J535" s="9" t="str">
        <f>"sdx"</f>
        <v>sdx</v>
      </c>
      <c r="K535" s="9" t="str">
        <f>"P009935712111_0001"</f>
        <v>P009935712111_0001</v>
      </c>
      <c r="L535" s="9">
        <v>1</v>
      </c>
      <c r="M535" s="9">
        <v>11</v>
      </c>
    </row>
    <row r="536" spans="1:13" s="14" customFormat="1" ht="11.25">
      <c r="A536" s="11">
        <v>43808</v>
      </c>
      <c r="B536" s="12">
        <v>0.6875</v>
      </c>
      <c r="C536" s="13" t="str">
        <f>"FES1162727492"</f>
        <v>FES1162727492</v>
      </c>
      <c r="D536" s="13" t="s">
        <v>19</v>
      </c>
      <c r="E536" s="13" t="s">
        <v>114</v>
      </c>
      <c r="F536" s="13" t="str">
        <f>"2170720973"</f>
        <v>2170720973</v>
      </c>
      <c r="G536" s="13" t="str">
        <f t="shared" ref="G536:G550" si="19">"ON1"</f>
        <v>ON1</v>
      </c>
      <c r="H536" s="13" t="s">
        <v>21</v>
      </c>
      <c r="I536" s="13" t="s">
        <v>115</v>
      </c>
      <c r="K536" s="13" t="str">
        <f>"PFES1162727492_0001"</f>
        <v>PFES1162727492_0001</v>
      </c>
      <c r="L536" s="13">
        <v>1</v>
      </c>
      <c r="M536" s="13">
        <v>1</v>
      </c>
    </row>
    <row r="537" spans="1:13" s="14" customFormat="1" ht="11.25">
      <c r="A537" s="11">
        <v>43808</v>
      </c>
      <c r="B537" s="12">
        <v>0.68680555555555556</v>
      </c>
      <c r="C537" s="13" t="str">
        <f>"FES1162727428"</f>
        <v>FES1162727428</v>
      </c>
      <c r="D537" s="13" t="s">
        <v>19</v>
      </c>
      <c r="E537" s="13" t="s">
        <v>447</v>
      </c>
      <c r="F537" s="13" t="str">
        <f>"2170720917 "</f>
        <v xml:space="preserve">2170720917 </v>
      </c>
      <c r="G537" s="13" t="str">
        <f t="shared" si="19"/>
        <v>ON1</v>
      </c>
      <c r="H537" s="13" t="s">
        <v>21</v>
      </c>
      <c r="I537" s="13" t="s">
        <v>158</v>
      </c>
      <c r="J537" s="13" t="str">
        <f>""</f>
        <v/>
      </c>
      <c r="K537" s="13" t="str">
        <f>"PFES1162727428_0001"</f>
        <v>PFES1162727428_0001</v>
      </c>
      <c r="L537" s="13">
        <v>1</v>
      </c>
      <c r="M537" s="13">
        <v>1</v>
      </c>
    </row>
    <row r="538" spans="1:13" s="14" customFormat="1" ht="11.25">
      <c r="A538" s="11">
        <v>43808</v>
      </c>
      <c r="B538" s="12">
        <v>0.68611111111111101</v>
      </c>
      <c r="C538" s="13" t="str">
        <f>"FES1162727461"</f>
        <v>FES1162727461</v>
      </c>
      <c r="D538" s="13" t="s">
        <v>19</v>
      </c>
      <c r="E538" s="13" t="s">
        <v>129</v>
      </c>
      <c r="F538" s="13" t="str">
        <f>"2170710945 "</f>
        <v xml:space="preserve">2170710945 </v>
      </c>
      <c r="G538" s="13" t="str">
        <f t="shared" si="19"/>
        <v>ON1</v>
      </c>
      <c r="H538" s="13" t="s">
        <v>21</v>
      </c>
      <c r="I538" s="13" t="s">
        <v>130</v>
      </c>
      <c r="J538" s="13" t="str">
        <f>""</f>
        <v/>
      </c>
      <c r="K538" s="13" t="str">
        <f>"PFES1162727461_0001"</f>
        <v>PFES1162727461_0001</v>
      </c>
      <c r="L538" s="13">
        <v>1</v>
      </c>
      <c r="M538" s="13">
        <v>6</v>
      </c>
    </row>
    <row r="539" spans="1:13" s="14" customFormat="1" ht="11.25">
      <c r="A539" s="11">
        <v>43808</v>
      </c>
      <c r="B539" s="12">
        <v>0.68611111111111101</v>
      </c>
      <c r="C539" s="13" t="str">
        <f>"FES1162727489"</f>
        <v>FES1162727489</v>
      </c>
      <c r="D539" s="13" t="s">
        <v>19</v>
      </c>
      <c r="E539" s="13" t="s">
        <v>448</v>
      </c>
      <c r="F539" s="13" t="str">
        <f>"2170720935 "</f>
        <v xml:space="preserve">2170720935 </v>
      </c>
      <c r="G539" s="13" t="str">
        <f t="shared" si="19"/>
        <v>ON1</v>
      </c>
      <c r="H539" s="13" t="s">
        <v>21</v>
      </c>
      <c r="I539" s="13" t="s">
        <v>332</v>
      </c>
      <c r="J539" s="13" t="str">
        <f>""</f>
        <v/>
      </c>
      <c r="K539" s="13" t="str">
        <f>"PFES1162727489_0001"</f>
        <v>PFES1162727489_0001</v>
      </c>
      <c r="L539" s="13">
        <v>1</v>
      </c>
      <c r="M539" s="13">
        <v>1</v>
      </c>
    </row>
    <row r="540" spans="1:13" s="14" customFormat="1" ht="11.25">
      <c r="A540" s="11">
        <v>43808</v>
      </c>
      <c r="B540" s="12">
        <v>0.68611111111111101</v>
      </c>
      <c r="C540" s="13" t="str">
        <f>"FES1162727478"</f>
        <v>FES1162727478</v>
      </c>
      <c r="D540" s="13" t="s">
        <v>19</v>
      </c>
      <c r="E540" s="13" t="s">
        <v>449</v>
      </c>
      <c r="F540" s="13" t="str">
        <f>"2170710763 "</f>
        <v xml:space="preserve">2170710763 </v>
      </c>
      <c r="G540" s="13" t="str">
        <f t="shared" si="19"/>
        <v>ON1</v>
      </c>
      <c r="H540" s="13" t="s">
        <v>21</v>
      </c>
      <c r="I540" s="13" t="s">
        <v>231</v>
      </c>
      <c r="J540" s="13" t="str">
        <f>""</f>
        <v/>
      </c>
      <c r="K540" s="13" t="str">
        <f>"PFES1162727478_0001"</f>
        <v>PFES1162727478_0001</v>
      </c>
      <c r="L540" s="13">
        <v>1</v>
      </c>
      <c r="M540" s="13">
        <v>1</v>
      </c>
    </row>
    <row r="541" spans="1:13" s="14" customFormat="1" ht="11.25">
      <c r="A541" s="11">
        <v>43808</v>
      </c>
      <c r="B541" s="12">
        <v>0.68541666666666667</v>
      </c>
      <c r="C541" s="13" t="str">
        <f>"FES1162727487"</f>
        <v>FES1162727487</v>
      </c>
      <c r="D541" s="13" t="s">
        <v>19</v>
      </c>
      <c r="E541" s="13" t="s">
        <v>135</v>
      </c>
      <c r="F541" s="13" t="str">
        <f>"2170720970 "</f>
        <v xml:space="preserve">2170720970 </v>
      </c>
      <c r="G541" s="13" t="str">
        <f t="shared" si="19"/>
        <v>ON1</v>
      </c>
      <c r="H541" s="13" t="s">
        <v>21</v>
      </c>
      <c r="I541" s="13" t="s">
        <v>136</v>
      </c>
      <c r="J541" s="13" t="str">
        <f>""</f>
        <v/>
      </c>
      <c r="K541" s="13" t="str">
        <f>"PFES1162727487_0001"</f>
        <v>PFES1162727487_0001</v>
      </c>
      <c r="L541" s="13">
        <v>1</v>
      </c>
      <c r="M541" s="13">
        <v>1</v>
      </c>
    </row>
    <row r="542" spans="1:13" s="14" customFormat="1" ht="11.25">
      <c r="A542" s="11">
        <v>43808</v>
      </c>
      <c r="B542" s="12">
        <v>0.68541666666666667</v>
      </c>
      <c r="C542" s="13" t="str">
        <f>"FES1162727440"</f>
        <v>FES1162727440</v>
      </c>
      <c r="D542" s="13" t="s">
        <v>19</v>
      </c>
      <c r="E542" s="13" t="s">
        <v>450</v>
      </c>
      <c r="F542" s="13" t="str">
        <f>"2170710931 "</f>
        <v xml:space="preserve">2170710931 </v>
      </c>
      <c r="G542" s="13" t="str">
        <f t="shared" si="19"/>
        <v>ON1</v>
      </c>
      <c r="H542" s="13" t="s">
        <v>21</v>
      </c>
      <c r="I542" s="13" t="s">
        <v>451</v>
      </c>
      <c r="J542" s="13" t="str">
        <f>""</f>
        <v/>
      </c>
      <c r="K542" s="13" t="str">
        <f>"PFES1162727440_0001"</f>
        <v>PFES1162727440_0001</v>
      </c>
      <c r="L542" s="13">
        <v>1</v>
      </c>
      <c r="M542" s="13">
        <v>3</v>
      </c>
    </row>
    <row r="543" spans="1:13" s="14" customFormat="1" ht="11.25">
      <c r="A543" s="11">
        <v>43808</v>
      </c>
      <c r="B543" s="12">
        <v>0.68541666666666667</v>
      </c>
      <c r="C543" s="13" t="str">
        <f>"FES1162727457"</f>
        <v>FES1162727457</v>
      </c>
      <c r="D543" s="13" t="s">
        <v>19</v>
      </c>
      <c r="E543" s="13" t="s">
        <v>82</v>
      </c>
      <c r="F543" s="13" t="str">
        <f>"217071944 "</f>
        <v xml:space="preserve">217071944 </v>
      </c>
      <c r="G543" s="13" t="str">
        <f t="shared" si="19"/>
        <v>ON1</v>
      </c>
      <c r="H543" s="13" t="s">
        <v>21</v>
      </c>
      <c r="I543" s="13" t="s">
        <v>72</v>
      </c>
      <c r="J543" s="13" t="str">
        <f>""</f>
        <v/>
      </c>
      <c r="K543" s="13" t="str">
        <f>"PFES1162727457_0001"</f>
        <v>PFES1162727457_0001</v>
      </c>
      <c r="L543" s="13">
        <v>1</v>
      </c>
      <c r="M543" s="13">
        <v>5</v>
      </c>
    </row>
    <row r="544" spans="1:13" s="14" customFormat="1" ht="11.25">
      <c r="A544" s="11">
        <v>43808</v>
      </c>
      <c r="B544" s="12">
        <v>0.68472222222222223</v>
      </c>
      <c r="C544" s="13" t="str">
        <f>"FES1162727426"</f>
        <v>FES1162727426</v>
      </c>
      <c r="D544" s="13" t="s">
        <v>19</v>
      </c>
      <c r="E544" s="13" t="s">
        <v>452</v>
      </c>
      <c r="F544" s="13" t="str">
        <f>"2170720916 "</f>
        <v xml:space="preserve">2170720916 </v>
      </c>
      <c r="G544" s="13" t="str">
        <f t="shared" si="19"/>
        <v>ON1</v>
      </c>
      <c r="H544" s="13" t="s">
        <v>21</v>
      </c>
      <c r="I544" s="13" t="s">
        <v>220</v>
      </c>
      <c r="J544" s="13" t="str">
        <f>""</f>
        <v/>
      </c>
      <c r="K544" s="13" t="str">
        <f>"PFES1162727426_0001"</f>
        <v>PFES1162727426_0001</v>
      </c>
      <c r="L544" s="13">
        <v>1</v>
      </c>
      <c r="M544" s="13">
        <v>1</v>
      </c>
    </row>
    <row r="545" spans="1:13" s="14" customFormat="1" ht="11.25">
      <c r="A545" s="11">
        <v>43808</v>
      </c>
      <c r="B545" s="12">
        <v>0.68472222222222223</v>
      </c>
      <c r="C545" s="13" t="str">
        <f>"FES1162727446"</f>
        <v>FES1162727446</v>
      </c>
      <c r="D545" s="13" t="s">
        <v>19</v>
      </c>
      <c r="E545" s="13" t="s">
        <v>310</v>
      </c>
      <c r="F545" s="13" t="str">
        <f>"217071933 "</f>
        <v xml:space="preserve">217071933 </v>
      </c>
      <c r="G545" s="13" t="str">
        <f t="shared" si="19"/>
        <v>ON1</v>
      </c>
      <c r="H545" s="13" t="s">
        <v>21</v>
      </c>
      <c r="I545" s="13" t="s">
        <v>294</v>
      </c>
      <c r="J545" s="13" t="str">
        <f>""</f>
        <v/>
      </c>
      <c r="K545" s="13" t="str">
        <f>"PFES1162727446_0001"</f>
        <v>PFES1162727446_0001</v>
      </c>
      <c r="L545" s="13">
        <v>1</v>
      </c>
      <c r="M545" s="13">
        <v>18</v>
      </c>
    </row>
    <row r="546" spans="1:13" s="14" customFormat="1" ht="11.25">
      <c r="A546" s="11">
        <v>43808</v>
      </c>
      <c r="B546" s="12">
        <v>0.68402777777777779</v>
      </c>
      <c r="C546" s="13" t="str">
        <f>"FES1162727464"</f>
        <v>FES1162727464</v>
      </c>
      <c r="D546" s="13" t="s">
        <v>19</v>
      </c>
      <c r="E546" s="13" t="s">
        <v>24</v>
      </c>
      <c r="F546" s="13" t="str">
        <f>"2170720949 "</f>
        <v xml:space="preserve">2170720949 </v>
      </c>
      <c r="G546" s="13" t="str">
        <f t="shared" si="19"/>
        <v>ON1</v>
      </c>
      <c r="H546" s="13" t="s">
        <v>21</v>
      </c>
      <c r="I546" s="13" t="s">
        <v>25</v>
      </c>
      <c r="J546" s="13" t="str">
        <f>""</f>
        <v/>
      </c>
      <c r="K546" s="13" t="str">
        <f>"PFES1162727464_0001"</f>
        <v>PFES1162727464_0001</v>
      </c>
      <c r="L546" s="13">
        <v>1</v>
      </c>
      <c r="M546" s="13">
        <v>1</v>
      </c>
    </row>
    <row r="547" spans="1:13" s="14" customFormat="1" ht="11.25">
      <c r="A547" s="11">
        <v>43808</v>
      </c>
      <c r="B547" s="12">
        <v>0.68402777777777779</v>
      </c>
      <c r="C547" s="13" t="str">
        <f>"FES1162727415"</f>
        <v>FES1162727415</v>
      </c>
      <c r="D547" s="13" t="s">
        <v>19</v>
      </c>
      <c r="E547" s="13" t="s">
        <v>453</v>
      </c>
      <c r="F547" s="13" t="str">
        <f>"2170716439 "</f>
        <v xml:space="preserve">2170716439 </v>
      </c>
      <c r="G547" s="13" t="str">
        <f t="shared" si="19"/>
        <v>ON1</v>
      </c>
      <c r="H547" s="13" t="s">
        <v>21</v>
      </c>
      <c r="I547" s="13" t="s">
        <v>231</v>
      </c>
      <c r="J547" s="13" t="str">
        <f>""</f>
        <v/>
      </c>
      <c r="K547" s="13" t="str">
        <f>"PFES1162727415_0001"</f>
        <v>PFES1162727415_0001</v>
      </c>
      <c r="L547" s="13">
        <v>1</v>
      </c>
      <c r="M547" s="13">
        <v>11</v>
      </c>
    </row>
    <row r="548" spans="1:13" s="14" customFormat="1" ht="11.25">
      <c r="A548" s="11">
        <v>43808</v>
      </c>
      <c r="B548" s="12">
        <v>0.68333333333333324</v>
      </c>
      <c r="C548" s="13" t="str">
        <f>"FES1162727479"</f>
        <v>FES1162727479</v>
      </c>
      <c r="D548" s="13" t="s">
        <v>19</v>
      </c>
      <c r="E548" s="13" t="s">
        <v>454</v>
      </c>
      <c r="F548" s="13" t="str">
        <f>"2170720958 "</f>
        <v xml:space="preserve">2170720958 </v>
      </c>
      <c r="G548" s="13" t="str">
        <f t="shared" si="19"/>
        <v>ON1</v>
      </c>
      <c r="H548" s="13" t="s">
        <v>21</v>
      </c>
      <c r="I548" s="13" t="s">
        <v>136</v>
      </c>
      <c r="J548" s="13" t="str">
        <f>""</f>
        <v/>
      </c>
      <c r="K548" s="13" t="str">
        <f>"PFES1162727479_0001"</f>
        <v>PFES1162727479_0001</v>
      </c>
      <c r="L548" s="13">
        <v>1</v>
      </c>
      <c r="M548" s="13">
        <v>1</v>
      </c>
    </row>
    <row r="549" spans="1:13" s="14" customFormat="1" ht="11.25">
      <c r="A549" s="11">
        <v>43808</v>
      </c>
      <c r="B549" s="12">
        <v>0.68333333333333324</v>
      </c>
      <c r="C549" s="13" t="str">
        <f>"FES1162727414"</f>
        <v>FES1162727414</v>
      </c>
      <c r="D549" s="13" t="s">
        <v>19</v>
      </c>
      <c r="E549" s="13" t="s">
        <v>82</v>
      </c>
      <c r="F549" s="13" t="str">
        <f>"2170711254 "</f>
        <v xml:space="preserve">2170711254 </v>
      </c>
      <c r="G549" s="13" t="str">
        <f t="shared" si="19"/>
        <v>ON1</v>
      </c>
      <c r="H549" s="13" t="s">
        <v>21</v>
      </c>
      <c r="I549" s="13" t="s">
        <v>72</v>
      </c>
      <c r="J549" s="13" t="str">
        <f>""</f>
        <v/>
      </c>
      <c r="K549" s="13" t="str">
        <f>"PFES1162727414_0001"</f>
        <v>PFES1162727414_0001</v>
      </c>
      <c r="L549" s="13">
        <v>1</v>
      </c>
      <c r="M549" s="13">
        <v>16</v>
      </c>
    </row>
    <row r="550" spans="1:13" s="14" customFormat="1" ht="11.25">
      <c r="A550" s="11">
        <v>43808</v>
      </c>
      <c r="B550" s="12">
        <v>0.68263888888888891</v>
      </c>
      <c r="C550" s="13" t="str">
        <f>"FES1162727463"</f>
        <v>FES1162727463</v>
      </c>
      <c r="D550" s="13" t="s">
        <v>19</v>
      </c>
      <c r="E550" s="13" t="s">
        <v>24</v>
      </c>
      <c r="F550" s="13" t="str">
        <f>"21707120948 "</f>
        <v xml:space="preserve">21707120948 </v>
      </c>
      <c r="G550" s="13" t="str">
        <f t="shared" si="19"/>
        <v>ON1</v>
      </c>
      <c r="H550" s="13" t="s">
        <v>21</v>
      </c>
      <c r="I550" s="13" t="s">
        <v>25</v>
      </c>
      <c r="J550" s="13" t="str">
        <f>""</f>
        <v/>
      </c>
      <c r="K550" s="13" t="str">
        <f>"PFES1162727463_0001"</f>
        <v>PFES1162727463_0001</v>
      </c>
      <c r="L550" s="13">
        <v>1</v>
      </c>
      <c r="M550" s="13">
        <v>6</v>
      </c>
    </row>
    <row r="551" spans="1:13" s="14" customFormat="1" ht="11.25">
      <c r="A551" s="11">
        <v>43808</v>
      </c>
      <c r="B551" s="12">
        <v>0.68263888888888891</v>
      </c>
      <c r="C551" s="13" t="str">
        <f>"FES1162727421"</f>
        <v>FES1162727421</v>
      </c>
      <c r="D551" s="13" t="s">
        <v>19</v>
      </c>
      <c r="E551" s="13" t="s">
        <v>455</v>
      </c>
      <c r="F551" s="13" t="str">
        <f>"2170720225 "</f>
        <v xml:space="preserve">2170720225 </v>
      </c>
      <c r="G551" s="13" t="str">
        <f>"DBC"</f>
        <v>DBC</v>
      </c>
      <c r="H551" s="13" t="s">
        <v>21</v>
      </c>
      <c r="I551" s="13" t="s">
        <v>100</v>
      </c>
      <c r="J551" s="13" t="str">
        <f>""</f>
        <v/>
      </c>
      <c r="K551" s="13" t="str">
        <f>"PFES1162727421_0001"</f>
        <v>PFES1162727421_0001</v>
      </c>
      <c r="L551" s="13">
        <v>1</v>
      </c>
      <c r="M551" s="13">
        <v>24</v>
      </c>
    </row>
    <row r="552" spans="1:13" s="14" customFormat="1" ht="11.25">
      <c r="A552" s="11">
        <v>43808</v>
      </c>
      <c r="B552" s="12">
        <v>0.68125000000000002</v>
      </c>
      <c r="C552" s="13" t="str">
        <f>"FES1162727471"</f>
        <v>FES1162727471</v>
      </c>
      <c r="D552" s="13" t="s">
        <v>19</v>
      </c>
      <c r="E552" s="13" t="s">
        <v>295</v>
      </c>
      <c r="F552" s="13" t="str">
        <f>"2170717930 "</f>
        <v xml:space="preserve">2170717930 </v>
      </c>
      <c r="G552" s="13" t="str">
        <f t="shared" ref="G552:G615" si="20">"ON1"</f>
        <v>ON1</v>
      </c>
      <c r="H552" s="13" t="s">
        <v>21</v>
      </c>
      <c r="I552" s="13" t="s">
        <v>78</v>
      </c>
      <c r="J552" s="13" t="str">
        <f>""</f>
        <v/>
      </c>
      <c r="K552" s="13" t="str">
        <f>"PFES1162727471_0001"</f>
        <v>PFES1162727471_0001</v>
      </c>
      <c r="L552" s="13">
        <v>2</v>
      </c>
      <c r="M552" s="13">
        <v>8</v>
      </c>
    </row>
    <row r="553" spans="1:13" s="14" customFormat="1" ht="11.25">
      <c r="A553" s="11">
        <v>43808</v>
      </c>
      <c r="B553" s="12">
        <v>0.68055555555555547</v>
      </c>
      <c r="C553" s="13" t="str">
        <f>"FES1162727291"</f>
        <v>FES1162727291</v>
      </c>
      <c r="D553" s="13" t="s">
        <v>19</v>
      </c>
      <c r="E553" s="13" t="s">
        <v>234</v>
      </c>
      <c r="F553" s="13" t="str">
        <f>"2178361 "</f>
        <v xml:space="preserve">2178361 </v>
      </c>
      <c r="G553" s="13" t="str">
        <f t="shared" si="20"/>
        <v>ON1</v>
      </c>
      <c r="H553" s="13" t="s">
        <v>21</v>
      </c>
      <c r="I553" s="13" t="s">
        <v>235</v>
      </c>
      <c r="J553" s="13" t="str">
        <f>""</f>
        <v/>
      </c>
      <c r="K553" s="13" t="str">
        <f>"PFES1162727291_0001"</f>
        <v>PFES1162727291_0001</v>
      </c>
      <c r="L553" s="13">
        <v>1</v>
      </c>
      <c r="M553" s="13">
        <v>1</v>
      </c>
    </row>
    <row r="554" spans="1:13" s="14" customFormat="1" ht="11.25">
      <c r="A554" s="11">
        <v>43808</v>
      </c>
      <c r="B554" s="12">
        <v>0.67986111111111114</v>
      </c>
      <c r="C554" s="13" t="str">
        <f>"FES1162727405"</f>
        <v>FES1162727405</v>
      </c>
      <c r="D554" s="13" t="s">
        <v>19</v>
      </c>
      <c r="E554" s="13" t="s">
        <v>262</v>
      </c>
      <c r="F554" s="13" t="str">
        <f>"2170720897 "</f>
        <v xml:space="preserve">2170720897 </v>
      </c>
      <c r="G554" s="13" t="str">
        <f t="shared" si="20"/>
        <v>ON1</v>
      </c>
      <c r="H554" s="13" t="s">
        <v>21</v>
      </c>
      <c r="I554" s="13" t="s">
        <v>235</v>
      </c>
      <c r="J554" s="13" t="str">
        <f>""</f>
        <v/>
      </c>
      <c r="K554" s="13" t="str">
        <f>"PFES1162727405_0001"</f>
        <v>PFES1162727405_0001</v>
      </c>
      <c r="L554" s="13">
        <v>1</v>
      </c>
      <c r="M554" s="13">
        <v>10</v>
      </c>
    </row>
    <row r="555" spans="1:13" s="14" customFormat="1" ht="11.25">
      <c r="A555" s="11">
        <v>43808</v>
      </c>
      <c r="B555" s="12">
        <v>0.67986111111111114</v>
      </c>
      <c r="C555" s="13" t="str">
        <f>"FES1162727490"</f>
        <v>FES1162727490</v>
      </c>
      <c r="D555" s="13" t="s">
        <v>19</v>
      </c>
      <c r="E555" s="13" t="s">
        <v>456</v>
      </c>
      <c r="F555" s="13" t="str">
        <f>"21707120963 "</f>
        <v xml:space="preserve">21707120963 </v>
      </c>
      <c r="G555" s="13" t="str">
        <f t="shared" si="20"/>
        <v>ON1</v>
      </c>
      <c r="H555" s="13" t="s">
        <v>21</v>
      </c>
      <c r="I555" s="13" t="s">
        <v>457</v>
      </c>
      <c r="J555" s="13" t="str">
        <f>""</f>
        <v/>
      </c>
      <c r="K555" s="13" t="str">
        <f>"PFES1162727490_0001"</f>
        <v>PFES1162727490_0001</v>
      </c>
      <c r="L555" s="13">
        <v>1</v>
      </c>
      <c r="M555" s="13">
        <v>4</v>
      </c>
    </row>
    <row r="556" spans="1:13" s="14" customFormat="1" ht="11.25">
      <c r="A556" s="11">
        <v>43808</v>
      </c>
      <c r="B556" s="12">
        <v>0.67986111111111114</v>
      </c>
      <c r="C556" s="13" t="str">
        <f>"FES1162727410"</f>
        <v>FES1162727410</v>
      </c>
      <c r="D556" s="13" t="s">
        <v>19</v>
      </c>
      <c r="E556" s="13" t="s">
        <v>57</v>
      </c>
      <c r="F556" s="13" t="str">
        <f>"2170720901 "</f>
        <v xml:space="preserve">2170720901 </v>
      </c>
      <c r="G556" s="13" t="str">
        <f t="shared" si="20"/>
        <v>ON1</v>
      </c>
      <c r="H556" s="13" t="s">
        <v>21</v>
      </c>
      <c r="I556" s="13" t="s">
        <v>58</v>
      </c>
      <c r="J556" s="13" t="str">
        <f>""</f>
        <v/>
      </c>
      <c r="K556" s="13" t="str">
        <f>"PFES1162727410_0001"</f>
        <v>PFES1162727410_0001</v>
      </c>
      <c r="L556" s="13">
        <v>1</v>
      </c>
      <c r="M556" s="13">
        <v>1</v>
      </c>
    </row>
    <row r="557" spans="1:13" s="14" customFormat="1" ht="11.25">
      <c r="A557" s="11">
        <v>43808</v>
      </c>
      <c r="B557" s="12">
        <v>0.6791666666666667</v>
      </c>
      <c r="C557" s="13" t="str">
        <f>"FES162727026"</f>
        <v>FES162727026</v>
      </c>
      <c r="D557" s="13" t="s">
        <v>19</v>
      </c>
      <c r="E557" s="13" t="s">
        <v>458</v>
      </c>
      <c r="F557" s="13" t="str">
        <f>"21707182132 "</f>
        <v xml:space="preserve">21707182132 </v>
      </c>
      <c r="G557" s="13" t="str">
        <f t="shared" si="20"/>
        <v>ON1</v>
      </c>
      <c r="H557" s="13" t="s">
        <v>21</v>
      </c>
      <c r="I557" s="13" t="s">
        <v>459</v>
      </c>
      <c r="J557" s="13" t="str">
        <f>""</f>
        <v/>
      </c>
      <c r="K557" s="13" t="str">
        <f>"PFES162727026_0001"</f>
        <v>PFES162727026_0001</v>
      </c>
      <c r="L557" s="13">
        <v>1</v>
      </c>
      <c r="M557" s="13">
        <v>18</v>
      </c>
    </row>
    <row r="558" spans="1:13" s="14" customFormat="1" ht="11.25">
      <c r="A558" s="11">
        <v>43808</v>
      </c>
      <c r="B558" s="12">
        <v>0.6791666666666667</v>
      </c>
      <c r="C558" s="13" t="str">
        <f>"FES1162727455"</f>
        <v>FES1162727455</v>
      </c>
      <c r="D558" s="13" t="s">
        <v>19</v>
      </c>
      <c r="E558" s="13" t="s">
        <v>241</v>
      </c>
      <c r="F558" s="13" t="str">
        <f>"2170720939 "</f>
        <v xml:space="preserve">2170720939 </v>
      </c>
      <c r="G558" s="13" t="str">
        <f t="shared" si="20"/>
        <v>ON1</v>
      </c>
      <c r="H558" s="13" t="s">
        <v>21</v>
      </c>
      <c r="I558" s="13" t="s">
        <v>72</v>
      </c>
      <c r="J558" s="13" t="str">
        <f>""</f>
        <v/>
      </c>
      <c r="K558" s="13" t="str">
        <f>"PFES1162727455_0001"</f>
        <v>PFES1162727455_0001</v>
      </c>
      <c r="L558" s="13">
        <v>1</v>
      </c>
      <c r="M558" s="13">
        <v>1</v>
      </c>
    </row>
    <row r="559" spans="1:13" s="14" customFormat="1" ht="11.25">
      <c r="A559" s="11">
        <v>43808</v>
      </c>
      <c r="B559" s="12">
        <v>0.67847222222222225</v>
      </c>
      <c r="C559" s="13" t="str">
        <f>"FES1162727437"</f>
        <v>FES1162727437</v>
      </c>
      <c r="D559" s="13" t="s">
        <v>19</v>
      </c>
      <c r="E559" s="13" t="s">
        <v>69</v>
      </c>
      <c r="F559" s="13" t="str">
        <f>"2170720928 "</f>
        <v xml:space="preserve">2170720928 </v>
      </c>
      <c r="G559" s="13" t="str">
        <f t="shared" si="20"/>
        <v>ON1</v>
      </c>
      <c r="H559" s="13" t="s">
        <v>21</v>
      </c>
      <c r="I559" s="13" t="s">
        <v>70</v>
      </c>
      <c r="J559" s="13" t="str">
        <f>""</f>
        <v/>
      </c>
      <c r="K559" s="13" t="str">
        <f>"PFES1162727437_0001"</f>
        <v>PFES1162727437_0001</v>
      </c>
      <c r="L559" s="13">
        <v>1</v>
      </c>
      <c r="M559" s="13">
        <v>1</v>
      </c>
    </row>
    <row r="560" spans="1:13" s="14" customFormat="1" ht="11.25">
      <c r="A560" s="11">
        <v>43808</v>
      </c>
      <c r="B560" s="12">
        <v>0.67569444444444438</v>
      </c>
      <c r="C560" s="13" t="str">
        <f>"FES1162727485"</f>
        <v>FES1162727485</v>
      </c>
      <c r="D560" s="13" t="s">
        <v>19</v>
      </c>
      <c r="E560" s="13" t="s">
        <v>44</v>
      </c>
      <c r="F560" s="13" t="str">
        <f>"2170719621 "</f>
        <v xml:space="preserve">2170719621 </v>
      </c>
      <c r="G560" s="13" t="str">
        <f t="shared" si="20"/>
        <v>ON1</v>
      </c>
      <c r="H560" s="13" t="s">
        <v>21</v>
      </c>
      <c r="I560" s="13" t="s">
        <v>45</v>
      </c>
      <c r="J560" s="13" t="str">
        <f>""</f>
        <v/>
      </c>
      <c r="K560" s="13" t="str">
        <f>"PFES1162727485_0001"</f>
        <v>PFES1162727485_0001</v>
      </c>
      <c r="L560" s="13">
        <v>1</v>
      </c>
      <c r="M560" s="13">
        <v>2</v>
      </c>
    </row>
    <row r="561" spans="1:13" s="14" customFormat="1" ht="11.25">
      <c r="A561" s="11">
        <v>43808</v>
      </c>
      <c r="B561" s="12">
        <v>0.67499999999999993</v>
      </c>
      <c r="C561" s="13" t="str">
        <f>"FES1162727480"</f>
        <v>FES1162727480</v>
      </c>
      <c r="D561" s="13" t="s">
        <v>19</v>
      </c>
      <c r="E561" s="13" t="s">
        <v>460</v>
      </c>
      <c r="F561" s="13" t="str">
        <f>"217071959 "</f>
        <v xml:space="preserve">217071959 </v>
      </c>
      <c r="G561" s="13" t="str">
        <f t="shared" si="20"/>
        <v>ON1</v>
      </c>
      <c r="H561" s="13" t="s">
        <v>21</v>
      </c>
      <c r="I561" s="13" t="s">
        <v>175</v>
      </c>
      <c r="J561" s="13" t="str">
        <f>""</f>
        <v/>
      </c>
      <c r="K561" s="13" t="str">
        <f>"PFES1162727480_0001"</f>
        <v>PFES1162727480_0001</v>
      </c>
      <c r="L561" s="13">
        <v>1</v>
      </c>
      <c r="M561" s="13">
        <v>3</v>
      </c>
    </row>
    <row r="562" spans="1:13" s="14" customFormat="1" ht="11.25">
      <c r="A562" s="11">
        <v>43808</v>
      </c>
      <c r="B562" s="12">
        <v>0.6743055555555556</v>
      </c>
      <c r="C562" s="13" t="str">
        <f>"FES1162727454"</f>
        <v>FES1162727454</v>
      </c>
      <c r="D562" s="13" t="s">
        <v>19</v>
      </c>
      <c r="E562" s="13" t="s">
        <v>442</v>
      </c>
      <c r="F562" s="13" t="str">
        <f>"2170720938 "</f>
        <v xml:space="preserve">2170720938 </v>
      </c>
      <c r="G562" s="13" t="str">
        <f t="shared" si="20"/>
        <v>ON1</v>
      </c>
      <c r="H562" s="13" t="s">
        <v>21</v>
      </c>
      <c r="I562" s="13" t="s">
        <v>48</v>
      </c>
      <c r="J562" s="13" t="str">
        <f>""</f>
        <v/>
      </c>
      <c r="K562" s="13" t="str">
        <f>"PFES1162727454_0001"</f>
        <v>PFES1162727454_0001</v>
      </c>
      <c r="L562" s="13">
        <v>1</v>
      </c>
      <c r="M562" s="13">
        <v>1</v>
      </c>
    </row>
    <row r="563" spans="1:13" s="14" customFormat="1" ht="11.25">
      <c r="A563" s="11">
        <v>43808</v>
      </c>
      <c r="B563" s="12">
        <v>0.67361111111111116</v>
      </c>
      <c r="C563" s="13" t="str">
        <f>"FES1162727458"</f>
        <v>FES1162727458</v>
      </c>
      <c r="D563" s="13" t="s">
        <v>19</v>
      </c>
      <c r="E563" s="13" t="s">
        <v>378</v>
      </c>
      <c r="F563" s="13" t="str">
        <f>"2170718917 "</f>
        <v xml:space="preserve">2170718917 </v>
      </c>
      <c r="G563" s="13" t="str">
        <f t="shared" si="20"/>
        <v>ON1</v>
      </c>
      <c r="H563" s="13" t="s">
        <v>21</v>
      </c>
      <c r="I563" s="13" t="s">
        <v>56</v>
      </c>
      <c r="J563" s="13" t="str">
        <f>""</f>
        <v/>
      </c>
      <c r="K563" s="13" t="str">
        <f>"PFES1162727458_0001"</f>
        <v>PFES1162727458_0001</v>
      </c>
      <c r="L563" s="13">
        <v>1</v>
      </c>
      <c r="M563" s="13">
        <v>1</v>
      </c>
    </row>
    <row r="564" spans="1:13" s="14" customFormat="1" ht="11.25">
      <c r="A564" s="11">
        <v>43808</v>
      </c>
      <c r="B564" s="12">
        <v>0.67291666666666661</v>
      </c>
      <c r="C564" s="13" t="str">
        <f>"FES1162727459"</f>
        <v>FES1162727459</v>
      </c>
      <c r="D564" s="13" t="s">
        <v>19</v>
      </c>
      <c r="E564" s="13" t="s">
        <v>461</v>
      </c>
      <c r="F564" s="13" t="str">
        <f>"2170719945 "</f>
        <v xml:space="preserve">2170719945 </v>
      </c>
      <c r="G564" s="13" t="str">
        <f t="shared" si="20"/>
        <v>ON1</v>
      </c>
      <c r="H564" s="13" t="s">
        <v>21</v>
      </c>
      <c r="I564" s="13" t="s">
        <v>157</v>
      </c>
      <c r="J564" s="13" t="str">
        <f>""</f>
        <v/>
      </c>
      <c r="K564" s="13" t="str">
        <f>"PFES1162727459_0001"</f>
        <v>PFES1162727459_0001</v>
      </c>
      <c r="L564" s="13">
        <v>1</v>
      </c>
      <c r="M564" s="13">
        <v>1</v>
      </c>
    </row>
    <row r="565" spans="1:13" s="14" customFormat="1" ht="11.25">
      <c r="A565" s="11">
        <v>43808</v>
      </c>
      <c r="B565" s="12">
        <v>0.67222222222222217</v>
      </c>
      <c r="C565" s="13" t="str">
        <f>"FES1162727438"</f>
        <v>FES1162727438</v>
      </c>
      <c r="D565" s="13" t="s">
        <v>19</v>
      </c>
      <c r="E565" s="13" t="s">
        <v>82</v>
      </c>
      <c r="F565" s="13" t="str">
        <f>"2170720927 "</f>
        <v xml:space="preserve">2170720927 </v>
      </c>
      <c r="G565" s="13" t="str">
        <f t="shared" si="20"/>
        <v>ON1</v>
      </c>
      <c r="H565" s="13" t="s">
        <v>21</v>
      </c>
      <c r="I565" s="13" t="s">
        <v>72</v>
      </c>
      <c r="J565" s="13" t="str">
        <f>""</f>
        <v/>
      </c>
      <c r="K565" s="13" t="str">
        <f>"PFES1162727438_0001"</f>
        <v>PFES1162727438_0001</v>
      </c>
      <c r="L565" s="13">
        <v>1</v>
      </c>
      <c r="M565" s="13">
        <v>1</v>
      </c>
    </row>
    <row r="566" spans="1:13" s="14" customFormat="1" ht="11.25">
      <c r="A566" s="11">
        <v>43808</v>
      </c>
      <c r="B566" s="12">
        <v>0.67222222222222217</v>
      </c>
      <c r="C566" s="13" t="str">
        <f>"FES1162727447"</f>
        <v>FES1162727447</v>
      </c>
      <c r="D566" s="13" t="s">
        <v>19</v>
      </c>
      <c r="E566" s="13" t="s">
        <v>462</v>
      </c>
      <c r="F566" s="13" t="str">
        <f>"2170720934 "</f>
        <v xml:space="preserve">2170720934 </v>
      </c>
      <c r="G566" s="13" t="str">
        <f t="shared" si="20"/>
        <v>ON1</v>
      </c>
      <c r="H566" s="13" t="s">
        <v>21</v>
      </c>
      <c r="I566" s="13" t="s">
        <v>463</v>
      </c>
      <c r="J566" s="13" t="str">
        <f>""</f>
        <v/>
      </c>
      <c r="K566" s="13" t="str">
        <f>"PFES1162727447_0001"</f>
        <v>PFES1162727447_0001</v>
      </c>
      <c r="L566" s="13">
        <v>1</v>
      </c>
      <c r="M566" s="13">
        <v>1</v>
      </c>
    </row>
    <row r="567" spans="1:13" s="14" customFormat="1" ht="11.25">
      <c r="A567" s="11">
        <v>43808</v>
      </c>
      <c r="B567" s="12">
        <v>0.67222222222222217</v>
      </c>
      <c r="C567" s="13" t="str">
        <f>"FES1162727416"</f>
        <v>FES1162727416</v>
      </c>
      <c r="D567" s="13" t="s">
        <v>19</v>
      </c>
      <c r="E567" s="13" t="s">
        <v>464</v>
      </c>
      <c r="F567" s="13" t="str">
        <f>"2170720906 "</f>
        <v xml:space="preserve">2170720906 </v>
      </c>
      <c r="G567" s="13" t="str">
        <f t="shared" si="20"/>
        <v>ON1</v>
      </c>
      <c r="H567" s="13" t="s">
        <v>21</v>
      </c>
      <c r="I567" s="13" t="s">
        <v>119</v>
      </c>
      <c r="J567" s="13" t="str">
        <f>""</f>
        <v/>
      </c>
      <c r="K567" s="13" t="str">
        <f>"PFES1162727416_0001"</f>
        <v>PFES1162727416_0001</v>
      </c>
      <c r="L567" s="13">
        <v>1</v>
      </c>
      <c r="M567" s="13">
        <v>4</v>
      </c>
    </row>
    <row r="568" spans="1:13" s="14" customFormat="1" ht="11.25">
      <c r="A568" s="11">
        <v>43808</v>
      </c>
      <c r="B568" s="12">
        <v>0.61944444444444446</v>
      </c>
      <c r="C568" s="13" t="str">
        <f>"FES1162727385"</f>
        <v>FES1162727385</v>
      </c>
      <c r="D568" s="13" t="s">
        <v>19</v>
      </c>
      <c r="E568" s="13" t="s">
        <v>59</v>
      </c>
      <c r="F568" s="13" t="str">
        <f>"2170720872 "</f>
        <v xml:space="preserve">2170720872 </v>
      </c>
      <c r="G568" s="13" t="str">
        <f t="shared" si="20"/>
        <v>ON1</v>
      </c>
      <c r="H568" s="13" t="s">
        <v>21</v>
      </c>
      <c r="I568" s="13" t="s">
        <v>60</v>
      </c>
      <c r="J568" s="13" t="str">
        <f>""</f>
        <v/>
      </c>
      <c r="K568" s="13" t="str">
        <f>"PFES1162727385_0001"</f>
        <v>PFES1162727385_0001</v>
      </c>
      <c r="L568" s="13">
        <v>1</v>
      </c>
      <c r="M568" s="13">
        <v>1</v>
      </c>
    </row>
    <row r="569" spans="1:13" s="14" customFormat="1" ht="11.25">
      <c r="A569" s="11">
        <v>43808</v>
      </c>
      <c r="B569" s="12">
        <v>0.61875000000000002</v>
      </c>
      <c r="C569" s="13" t="str">
        <f>"FES1162727386"</f>
        <v>FES1162727386</v>
      </c>
      <c r="D569" s="13" t="s">
        <v>19</v>
      </c>
      <c r="E569" s="13" t="s">
        <v>90</v>
      </c>
      <c r="F569" s="13" t="str">
        <f>"2170720873 "</f>
        <v xml:space="preserve">2170720873 </v>
      </c>
      <c r="G569" s="13" t="str">
        <f t="shared" si="20"/>
        <v>ON1</v>
      </c>
      <c r="H569" s="13" t="s">
        <v>21</v>
      </c>
      <c r="I569" s="13" t="s">
        <v>22</v>
      </c>
      <c r="J569" s="13" t="str">
        <f>""</f>
        <v/>
      </c>
      <c r="K569" s="13" t="str">
        <f>"PFES1162727386_0001"</f>
        <v>PFES1162727386_0001</v>
      </c>
      <c r="L569" s="13">
        <v>1</v>
      </c>
      <c r="M569" s="13">
        <v>1</v>
      </c>
    </row>
    <row r="570" spans="1:13" s="14" customFormat="1" ht="11.25">
      <c r="A570" s="11">
        <v>43808</v>
      </c>
      <c r="B570" s="12">
        <v>0.61805555555555558</v>
      </c>
      <c r="C570" s="13" t="str">
        <f>"FES1162727419"</f>
        <v>FES1162727419</v>
      </c>
      <c r="D570" s="13" t="s">
        <v>19</v>
      </c>
      <c r="E570" s="13" t="s">
        <v>120</v>
      </c>
      <c r="F570" s="13" t="str">
        <f>"2170720910 "</f>
        <v xml:space="preserve">2170720910 </v>
      </c>
      <c r="G570" s="13" t="str">
        <f t="shared" si="20"/>
        <v>ON1</v>
      </c>
      <c r="H570" s="13" t="s">
        <v>21</v>
      </c>
      <c r="I570" s="13" t="s">
        <v>121</v>
      </c>
      <c r="J570" s="13" t="str">
        <f>""</f>
        <v/>
      </c>
      <c r="K570" s="13" t="str">
        <f>"PFES1162727419_0001"</f>
        <v>PFES1162727419_0001</v>
      </c>
      <c r="L570" s="13">
        <v>1</v>
      </c>
      <c r="M570" s="13">
        <v>1</v>
      </c>
    </row>
    <row r="571" spans="1:13" s="14" customFormat="1" ht="11.25">
      <c r="A571" s="11">
        <v>43808</v>
      </c>
      <c r="B571" s="12">
        <v>0.61736111111111114</v>
      </c>
      <c r="C571" s="13" t="str">
        <f>"FES1162727409"</f>
        <v>FES1162727409</v>
      </c>
      <c r="D571" s="13" t="s">
        <v>19</v>
      </c>
      <c r="E571" s="13" t="s">
        <v>465</v>
      </c>
      <c r="F571" s="13" t="str">
        <f>"2170720905 "</f>
        <v xml:space="preserve">2170720905 </v>
      </c>
      <c r="G571" s="13" t="str">
        <f t="shared" si="20"/>
        <v>ON1</v>
      </c>
      <c r="H571" s="13" t="s">
        <v>21</v>
      </c>
      <c r="I571" s="13" t="s">
        <v>466</v>
      </c>
      <c r="J571" s="13" t="str">
        <f>""</f>
        <v/>
      </c>
      <c r="K571" s="13" t="str">
        <f>"PFES1162727409_0001"</f>
        <v>PFES1162727409_0001</v>
      </c>
      <c r="L571" s="13">
        <v>1</v>
      </c>
      <c r="M571" s="13">
        <v>1</v>
      </c>
    </row>
    <row r="572" spans="1:13" s="14" customFormat="1" ht="11.25">
      <c r="A572" s="11">
        <v>43808</v>
      </c>
      <c r="B572" s="12">
        <v>0.6166666666666667</v>
      </c>
      <c r="C572" s="13" t="str">
        <f>"FES1162727433"</f>
        <v>FES1162727433</v>
      </c>
      <c r="D572" s="13" t="s">
        <v>19</v>
      </c>
      <c r="E572" s="13" t="s">
        <v>151</v>
      </c>
      <c r="F572" s="13" t="str">
        <f>"2170720923 "</f>
        <v xml:space="preserve">2170720923 </v>
      </c>
      <c r="G572" s="13" t="str">
        <f t="shared" si="20"/>
        <v>ON1</v>
      </c>
      <c r="H572" s="13" t="s">
        <v>21</v>
      </c>
      <c r="I572" s="13" t="s">
        <v>152</v>
      </c>
      <c r="J572" s="13" t="str">
        <f>""</f>
        <v/>
      </c>
      <c r="K572" s="13" t="str">
        <f>"PFES1162727433_0001"</f>
        <v>PFES1162727433_0001</v>
      </c>
      <c r="L572" s="13">
        <v>1</v>
      </c>
      <c r="M572" s="13">
        <v>1</v>
      </c>
    </row>
    <row r="573" spans="1:13" s="14" customFormat="1" ht="11.25">
      <c r="A573" s="11">
        <v>43808</v>
      </c>
      <c r="B573" s="12">
        <v>0.61597222222222225</v>
      </c>
      <c r="C573" s="13" t="str">
        <f>"FES1162727363"</f>
        <v>FES1162727363</v>
      </c>
      <c r="D573" s="13" t="s">
        <v>19</v>
      </c>
      <c r="E573" s="13" t="s">
        <v>129</v>
      </c>
      <c r="F573" s="13" t="str">
        <f>"2170720844 "</f>
        <v xml:space="preserve">2170720844 </v>
      </c>
      <c r="G573" s="13" t="str">
        <f t="shared" si="20"/>
        <v>ON1</v>
      </c>
      <c r="H573" s="13" t="s">
        <v>21</v>
      </c>
      <c r="I573" s="13" t="s">
        <v>130</v>
      </c>
      <c r="J573" s="13" t="str">
        <f>""</f>
        <v/>
      </c>
      <c r="K573" s="13" t="str">
        <f>"PFES1162727363_0001"</f>
        <v>PFES1162727363_0001</v>
      </c>
      <c r="L573" s="13">
        <v>1</v>
      </c>
      <c r="M573" s="13">
        <v>1</v>
      </c>
    </row>
    <row r="574" spans="1:13" s="14" customFormat="1" ht="11.25">
      <c r="A574" s="11">
        <v>43808</v>
      </c>
      <c r="B574" s="12">
        <v>0.61458333333333337</v>
      </c>
      <c r="C574" s="13" t="str">
        <f>"FES1162727302"</f>
        <v>FES1162727302</v>
      </c>
      <c r="D574" s="13" t="s">
        <v>19</v>
      </c>
      <c r="E574" s="13" t="s">
        <v>467</v>
      </c>
      <c r="F574" s="13" t="str">
        <f>"2170720616 "</f>
        <v xml:space="preserve">2170720616 </v>
      </c>
      <c r="G574" s="13" t="str">
        <f t="shared" si="20"/>
        <v>ON1</v>
      </c>
      <c r="H574" s="13" t="s">
        <v>21</v>
      </c>
      <c r="I574" s="13" t="s">
        <v>175</v>
      </c>
      <c r="J574" s="13" t="str">
        <f>""</f>
        <v/>
      </c>
      <c r="K574" s="13" t="str">
        <f>"PFES1162727302_0001"</f>
        <v>PFES1162727302_0001</v>
      </c>
      <c r="L574" s="13">
        <v>1</v>
      </c>
      <c r="M574" s="13">
        <v>1</v>
      </c>
    </row>
    <row r="575" spans="1:13" s="14" customFormat="1" ht="11.25">
      <c r="A575" s="11">
        <v>43808</v>
      </c>
      <c r="B575" s="12">
        <v>0.61388888888888882</v>
      </c>
      <c r="C575" s="13" t="str">
        <f>"FES1162727387"</f>
        <v>FES1162727387</v>
      </c>
      <c r="D575" s="13" t="s">
        <v>19</v>
      </c>
      <c r="E575" s="13" t="s">
        <v>205</v>
      </c>
      <c r="F575" s="13" t="str">
        <f>"2170720875 "</f>
        <v xml:space="preserve">2170720875 </v>
      </c>
      <c r="G575" s="13" t="str">
        <f t="shared" si="20"/>
        <v>ON1</v>
      </c>
      <c r="H575" s="13" t="s">
        <v>21</v>
      </c>
      <c r="I575" s="13" t="s">
        <v>206</v>
      </c>
      <c r="J575" s="13" t="str">
        <f>""</f>
        <v/>
      </c>
      <c r="K575" s="13" t="str">
        <f>"PFES1162727387_0001"</f>
        <v>PFES1162727387_0001</v>
      </c>
      <c r="L575" s="13">
        <v>1</v>
      </c>
      <c r="M575" s="13">
        <v>1</v>
      </c>
    </row>
    <row r="576" spans="1:13" s="14" customFormat="1" ht="11.25">
      <c r="A576" s="11">
        <v>43808</v>
      </c>
      <c r="B576" s="12">
        <v>0.61319444444444449</v>
      </c>
      <c r="C576" s="13" t="str">
        <f>"FES1162727436"</f>
        <v>FES1162727436</v>
      </c>
      <c r="D576" s="13" t="s">
        <v>19</v>
      </c>
      <c r="E576" s="13" t="s">
        <v>124</v>
      </c>
      <c r="F576" s="13" t="str">
        <f>"2170720926 "</f>
        <v xml:space="preserve">2170720926 </v>
      </c>
      <c r="G576" s="13" t="str">
        <f t="shared" si="20"/>
        <v>ON1</v>
      </c>
      <c r="H576" s="13" t="s">
        <v>21</v>
      </c>
      <c r="I576" s="13" t="s">
        <v>125</v>
      </c>
      <c r="J576" s="13" t="str">
        <f>""</f>
        <v/>
      </c>
      <c r="K576" s="13" t="str">
        <f>"PFES1162727436_0001"</f>
        <v>PFES1162727436_0001</v>
      </c>
      <c r="L576" s="13">
        <v>1</v>
      </c>
      <c r="M576" s="13">
        <v>1</v>
      </c>
    </row>
    <row r="577" spans="1:13" s="14" customFormat="1" ht="11.25">
      <c r="A577" s="11">
        <v>43808</v>
      </c>
      <c r="B577" s="12">
        <v>0.61249999999999993</v>
      </c>
      <c r="C577" s="13" t="str">
        <f>"FES1162727404"</f>
        <v>FES1162727404</v>
      </c>
      <c r="D577" s="13" t="s">
        <v>19</v>
      </c>
      <c r="E577" s="13" t="s">
        <v>468</v>
      </c>
      <c r="F577" s="13" t="str">
        <f>"2170720896 "</f>
        <v xml:space="preserve">2170720896 </v>
      </c>
      <c r="G577" s="13" t="str">
        <f t="shared" si="20"/>
        <v>ON1</v>
      </c>
      <c r="H577" s="13" t="s">
        <v>21</v>
      </c>
      <c r="I577" s="13" t="s">
        <v>469</v>
      </c>
      <c r="J577" s="13" t="str">
        <f>""</f>
        <v/>
      </c>
      <c r="K577" s="13" t="str">
        <f>"PFES1162727404_0001"</f>
        <v>PFES1162727404_0001</v>
      </c>
      <c r="L577" s="13">
        <v>1</v>
      </c>
      <c r="M577" s="13">
        <v>1</v>
      </c>
    </row>
    <row r="578" spans="1:13" s="14" customFormat="1" ht="11.25">
      <c r="A578" s="11">
        <v>43808</v>
      </c>
      <c r="B578" s="12">
        <v>0.6118055555555556</v>
      </c>
      <c r="C578" s="13" t="str">
        <f>"FES1162727402"</f>
        <v>FES1162727402</v>
      </c>
      <c r="D578" s="13" t="s">
        <v>19</v>
      </c>
      <c r="E578" s="13" t="s">
        <v>417</v>
      </c>
      <c r="F578" s="13" t="str">
        <f>"2170720894 "</f>
        <v xml:space="preserve">2170720894 </v>
      </c>
      <c r="G578" s="13" t="str">
        <f t="shared" si="20"/>
        <v>ON1</v>
      </c>
      <c r="H578" s="13" t="s">
        <v>21</v>
      </c>
      <c r="I578" s="13" t="s">
        <v>418</v>
      </c>
      <c r="J578" s="13" t="str">
        <f>""</f>
        <v/>
      </c>
      <c r="K578" s="13" t="str">
        <f>"PFES1162727402_0001"</f>
        <v>PFES1162727402_0001</v>
      </c>
      <c r="L578" s="13">
        <v>1</v>
      </c>
      <c r="M578" s="13">
        <v>1</v>
      </c>
    </row>
    <row r="579" spans="1:13" s="14" customFormat="1" ht="11.25">
      <c r="A579" s="11">
        <v>43808</v>
      </c>
      <c r="B579" s="12">
        <v>0.61041666666666672</v>
      </c>
      <c r="C579" s="13" t="str">
        <f>"FES1162727369"</f>
        <v>FES1162727369</v>
      </c>
      <c r="D579" s="13" t="s">
        <v>19</v>
      </c>
      <c r="E579" s="13" t="s">
        <v>470</v>
      </c>
      <c r="F579" s="13" t="str">
        <f>"2170720851 "</f>
        <v xml:space="preserve">2170720851 </v>
      </c>
      <c r="G579" s="13" t="str">
        <f t="shared" si="20"/>
        <v>ON1</v>
      </c>
      <c r="H579" s="13" t="s">
        <v>21</v>
      </c>
      <c r="I579" s="13" t="s">
        <v>204</v>
      </c>
      <c r="J579" s="13" t="str">
        <f>""</f>
        <v/>
      </c>
      <c r="K579" s="13" t="str">
        <f>"PFES1162727369_0001"</f>
        <v>PFES1162727369_0001</v>
      </c>
      <c r="L579" s="13">
        <v>1</v>
      </c>
      <c r="M579" s="13">
        <v>1</v>
      </c>
    </row>
    <row r="580" spans="1:13" s="14" customFormat="1" ht="11.25">
      <c r="A580" s="11">
        <v>43808</v>
      </c>
      <c r="B580" s="12">
        <v>0.61041666666666672</v>
      </c>
      <c r="C580" s="13" t="str">
        <f>"FES1162727316"</f>
        <v>FES1162727316</v>
      </c>
      <c r="D580" s="13" t="s">
        <v>19</v>
      </c>
      <c r="E580" s="13" t="s">
        <v>203</v>
      </c>
      <c r="F580" s="13" t="str">
        <f>"21707120677 "</f>
        <v xml:space="preserve">21707120677 </v>
      </c>
      <c r="G580" s="13" t="str">
        <f t="shared" si="20"/>
        <v>ON1</v>
      </c>
      <c r="H580" s="13" t="s">
        <v>21</v>
      </c>
      <c r="I580" s="13" t="s">
        <v>204</v>
      </c>
      <c r="J580" s="13" t="str">
        <f>""</f>
        <v/>
      </c>
      <c r="K580" s="13" t="str">
        <f>"PFES1162727316_0001"</f>
        <v>PFES1162727316_0001</v>
      </c>
      <c r="L580" s="13">
        <v>1</v>
      </c>
      <c r="M580" s="13">
        <v>3</v>
      </c>
    </row>
    <row r="581" spans="1:13" s="14" customFormat="1" ht="11.25">
      <c r="A581" s="11">
        <v>43808</v>
      </c>
      <c r="B581" s="12">
        <v>0.60972222222222217</v>
      </c>
      <c r="C581" s="13" t="str">
        <f>"FES1162727380"</f>
        <v>FES1162727380</v>
      </c>
      <c r="D581" s="13" t="s">
        <v>19</v>
      </c>
      <c r="E581" s="13" t="s">
        <v>24</v>
      </c>
      <c r="F581" s="13" t="str">
        <f>"21707108765 "</f>
        <v xml:space="preserve">21707108765 </v>
      </c>
      <c r="G581" s="13" t="str">
        <f t="shared" si="20"/>
        <v>ON1</v>
      </c>
      <c r="H581" s="13" t="s">
        <v>21</v>
      </c>
      <c r="I581" s="13" t="s">
        <v>25</v>
      </c>
      <c r="J581" s="13" t="str">
        <f>""</f>
        <v/>
      </c>
      <c r="K581" s="13" t="str">
        <f>"PFES1162727380_0001"</f>
        <v>PFES1162727380_0001</v>
      </c>
      <c r="L581" s="13">
        <v>1</v>
      </c>
      <c r="M581" s="13">
        <v>2</v>
      </c>
    </row>
    <row r="582" spans="1:13" s="14" customFormat="1" ht="11.25">
      <c r="A582" s="11">
        <v>43808</v>
      </c>
      <c r="B582" s="12">
        <v>0.60972222222222217</v>
      </c>
      <c r="C582" s="13" t="str">
        <f>"FES1162727298"</f>
        <v>FES1162727298</v>
      </c>
      <c r="D582" s="13" t="s">
        <v>19</v>
      </c>
      <c r="E582" s="13" t="s">
        <v>107</v>
      </c>
      <c r="F582" s="13" t="str">
        <f>"2170719869 "</f>
        <v xml:space="preserve">2170719869 </v>
      </c>
      <c r="G582" s="13" t="str">
        <f t="shared" si="20"/>
        <v>ON1</v>
      </c>
      <c r="H582" s="13" t="s">
        <v>21</v>
      </c>
      <c r="I582" s="13" t="s">
        <v>56</v>
      </c>
      <c r="J582" s="13" t="str">
        <f>""</f>
        <v/>
      </c>
      <c r="K582" s="13" t="str">
        <f>"PFES1162727298_0001"</f>
        <v>PFES1162727298_0001</v>
      </c>
      <c r="L582" s="13">
        <v>1</v>
      </c>
      <c r="M582" s="13">
        <v>1</v>
      </c>
    </row>
    <row r="583" spans="1:13" s="14" customFormat="1" ht="11.25">
      <c r="A583" s="11">
        <v>43808</v>
      </c>
      <c r="B583" s="12">
        <v>0.60972222222222217</v>
      </c>
      <c r="C583" s="13" t="str">
        <f>"FES1162727423"</f>
        <v>FES1162727423</v>
      </c>
      <c r="D583" s="13" t="s">
        <v>19</v>
      </c>
      <c r="E583" s="13" t="s">
        <v>413</v>
      </c>
      <c r="F583" s="13" t="str">
        <f>"21707109481 "</f>
        <v xml:space="preserve">21707109481 </v>
      </c>
      <c r="G583" s="13" t="str">
        <f t="shared" si="20"/>
        <v>ON1</v>
      </c>
      <c r="H583" s="13" t="s">
        <v>21</v>
      </c>
      <c r="I583" s="13" t="s">
        <v>346</v>
      </c>
      <c r="J583" s="13" t="str">
        <f>""</f>
        <v/>
      </c>
      <c r="K583" s="13" t="str">
        <f>"PFES1162727423_0001"</f>
        <v>PFES1162727423_0001</v>
      </c>
      <c r="L583" s="13">
        <v>1</v>
      </c>
      <c r="M583" s="13">
        <v>5</v>
      </c>
    </row>
    <row r="584" spans="1:13" s="14" customFormat="1" ht="11.25">
      <c r="A584" s="11">
        <v>43808</v>
      </c>
      <c r="B584" s="12">
        <v>0.60902777777777783</v>
      </c>
      <c r="C584" s="13" t="str">
        <f>"FES1162727342"</f>
        <v>FES1162727342</v>
      </c>
      <c r="D584" s="13" t="s">
        <v>19</v>
      </c>
      <c r="E584" s="13" t="s">
        <v>471</v>
      </c>
      <c r="F584" s="13" t="str">
        <f>"2170710560 "</f>
        <v xml:space="preserve">2170710560 </v>
      </c>
      <c r="G584" s="13" t="str">
        <f t="shared" si="20"/>
        <v>ON1</v>
      </c>
      <c r="H584" s="13" t="s">
        <v>21</v>
      </c>
      <c r="I584" s="13" t="s">
        <v>472</v>
      </c>
      <c r="J584" s="13" t="str">
        <f>""</f>
        <v/>
      </c>
      <c r="K584" s="13" t="str">
        <f>"PFES1162727342_0001"</f>
        <v>PFES1162727342_0001</v>
      </c>
      <c r="L584" s="13">
        <v>1</v>
      </c>
      <c r="M584" s="13">
        <v>2</v>
      </c>
    </row>
    <row r="585" spans="1:13" s="14" customFormat="1" ht="11.25">
      <c r="A585" s="11">
        <v>43808</v>
      </c>
      <c r="B585" s="12">
        <v>0.60833333333333328</v>
      </c>
      <c r="C585" s="13" t="str">
        <f>"FES1162727352"</f>
        <v>FES1162727352</v>
      </c>
      <c r="D585" s="13" t="s">
        <v>19</v>
      </c>
      <c r="E585" s="13" t="s">
        <v>473</v>
      </c>
      <c r="F585" s="13" t="str">
        <f>"21707420832 "</f>
        <v xml:space="preserve">21707420832 </v>
      </c>
      <c r="G585" s="13" t="str">
        <f t="shared" si="20"/>
        <v>ON1</v>
      </c>
      <c r="H585" s="13" t="s">
        <v>21</v>
      </c>
      <c r="I585" s="13" t="s">
        <v>130</v>
      </c>
      <c r="J585" s="13" t="str">
        <f>""</f>
        <v/>
      </c>
      <c r="K585" s="13" t="str">
        <f>"PFES1162727352_0001"</f>
        <v>PFES1162727352_0001</v>
      </c>
      <c r="L585" s="13">
        <v>1</v>
      </c>
      <c r="M585" s="13">
        <v>4</v>
      </c>
    </row>
    <row r="586" spans="1:13" s="14" customFormat="1" ht="11.25">
      <c r="A586" s="11">
        <v>43808</v>
      </c>
      <c r="B586" s="12">
        <v>0.60763888888888895</v>
      </c>
      <c r="C586" s="13" t="str">
        <f>"009935712112"</f>
        <v>009935712112</v>
      </c>
      <c r="D586" s="13" t="s">
        <v>19</v>
      </c>
      <c r="E586" s="13" t="s">
        <v>262</v>
      </c>
      <c r="F586" s="13" t="str">
        <f>"1162724660 "</f>
        <v xml:space="preserve">1162724660 </v>
      </c>
      <c r="G586" s="13" t="str">
        <f t="shared" si="20"/>
        <v>ON1</v>
      </c>
      <c r="H586" s="13" t="s">
        <v>21</v>
      </c>
      <c r="I586" s="13" t="s">
        <v>235</v>
      </c>
      <c r="J586" s="13" t="str">
        <f>"RESEND"</f>
        <v>RESEND</v>
      </c>
      <c r="K586" s="13" t="str">
        <f>"P009935712112_0001"</f>
        <v>P009935712112_0001</v>
      </c>
      <c r="L586" s="13">
        <v>1</v>
      </c>
      <c r="M586" s="13">
        <v>2</v>
      </c>
    </row>
    <row r="587" spans="1:13" s="14" customFormat="1" ht="11.25">
      <c r="A587" s="11">
        <v>43808</v>
      </c>
      <c r="B587" s="12">
        <v>0.59791666666666665</v>
      </c>
      <c r="C587" s="13" t="str">
        <f>"FES1162727144"</f>
        <v>FES1162727144</v>
      </c>
      <c r="D587" s="13" t="s">
        <v>19</v>
      </c>
      <c r="E587" s="13" t="s">
        <v>198</v>
      </c>
      <c r="F587" s="13" t="str">
        <f>"2170710614 "</f>
        <v xml:space="preserve">2170710614 </v>
      </c>
      <c r="G587" s="13" t="str">
        <f t="shared" si="20"/>
        <v>ON1</v>
      </c>
      <c r="H587" s="13" t="s">
        <v>21</v>
      </c>
      <c r="I587" s="13" t="s">
        <v>175</v>
      </c>
      <c r="J587" s="13" t="str">
        <f>""</f>
        <v/>
      </c>
      <c r="K587" s="13" t="str">
        <f>"PFES1162727144_0001"</f>
        <v>PFES1162727144_0001</v>
      </c>
      <c r="L587" s="13">
        <v>1</v>
      </c>
      <c r="M587" s="13">
        <v>10</v>
      </c>
    </row>
    <row r="588" spans="1:13" s="14" customFormat="1" ht="11.25">
      <c r="A588" s="11">
        <v>43808</v>
      </c>
      <c r="B588" s="12">
        <v>0.59722222222222221</v>
      </c>
      <c r="C588" s="13" t="str">
        <f>"FES1162727094"</f>
        <v>FES1162727094</v>
      </c>
      <c r="D588" s="13" t="s">
        <v>19</v>
      </c>
      <c r="E588" s="13" t="s">
        <v>413</v>
      </c>
      <c r="F588" s="13" t="str">
        <f>"21707120560 "</f>
        <v xml:space="preserve">21707120560 </v>
      </c>
      <c r="G588" s="13" t="str">
        <f t="shared" si="20"/>
        <v>ON1</v>
      </c>
      <c r="H588" s="13" t="s">
        <v>21</v>
      </c>
      <c r="I588" s="13" t="s">
        <v>346</v>
      </c>
      <c r="J588" s="13" t="str">
        <f>""</f>
        <v/>
      </c>
      <c r="K588" s="13" t="str">
        <f>"PFES1162727094_0001"</f>
        <v>PFES1162727094_0001</v>
      </c>
      <c r="L588" s="13">
        <v>1</v>
      </c>
      <c r="M588" s="13">
        <v>13</v>
      </c>
    </row>
    <row r="589" spans="1:13" s="14" customFormat="1" ht="11.25">
      <c r="A589" s="11">
        <v>43808</v>
      </c>
      <c r="B589" s="12">
        <v>0.59652777777777777</v>
      </c>
      <c r="C589" s="13" t="str">
        <f>"FES1162727418"</f>
        <v>FES1162727418</v>
      </c>
      <c r="D589" s="13" t="s">
        <v>19</v>
      </c>
      <c r="E589" s="13" t="s">
        <v>120</v>
      </c>
      <c r="F589" s="13" t="str">
        <f>"2170710908 "</f>
        <v xml:space="preserve">2170710908 </v>
      </c>
      <c r="G589" s="13" t="str">
        <f t="shared" si="20"/>
        <v>ON1</v>
      </c>
      <c r="H589" s="13" t="s">
        <v>21</v>
      </c>
      <c r="I589" s="13" t="s">
        <v>121</v>
      </c>
      <c r="J589" s="13" t="str">
        <f>""</f>
        <v/>
      </c>
      <c r="K589" s="13" t="str">
        <f>"PFES1162727418_0001"</f>
        <v>PFES1162727418_0001</v>
      </c>
      <c r="L589" s="13">
        <v>1</v>
      </c>
      <c r="M589" s="13">
        <v>12</v>
      </c>
    </row>
    <row r="590" spans="1:13" s="14" customFormat="1" ht="11.25">
      <c r="A590" s="11">
        <v>43808</v>
      </c>
      <c r="B590" s="12">
        <v>0.59583333333333333</v>
      </c>
      <c r="C590" s="13" t="str">
        <f>"FES1162727430"</f>
        <v>FES1162727430</v>
      </c>
      <c r="D590" s="13" t="s">
        <v>19</v>
      </c>
      <c r="E590" s="13" t="s">
        <v>393</v>
      </c>
      <c r="F590" s="13" t="str">
        <f>"2170720919 "</f>
        <v xml:space="preserve">2170720919 </v>
      </c>
      <c r="G590" s="13" t="str">
        <f t="shared" si="20"/>
        <v>ON1</v>
      </c>
      <c r="H590" s="13" t="s">
        <v>21</v>
      </c>
      <c r="I590" s="13" t="s">
        <v>78</v>
      </c>
      <c r="J590" s="13" t="str">
        <f>""</f>
        <v/>
      </c>
      <c r="K590" s="13" t="str">
        <f>"PFES1162727430_0001"</f>
        <v>PFES1162727430_0001</v>
      </c>
      <c r="L590" s="13">
        <v>1</v>
      </c>
      <c r="M590" s="13">
        <v>2</v>
      </c>
    </row>
    <row r="591" spans="1:13" s="14" customFormat="1" ht="11.25">
      <c r="A591" s="11">
        <v>43808</v>
      </c>
      <c r="B591" s="12">
        <v>0.59513888888888888</v>
      </c>
      <c r="C591" s="13" t="str">
        <f>"FES1162727393"</f>
        <v>FES1162727393</v>
      </c>
      <c r="D591" s="13" t="s">
        <v>19</v>
      </c>
      <c r="E591" s="13" t="s">
        <v>142</v>
      </c>
      <c r="F591" s="13" t="str">
        <f>"2170720884 "</f>
        <v xml:space="preserve">2170720884 </v>
      </c>
      <c r="G591" s="13" t="str">
        <f t="shared" si="20"/>
        <v>ON1</v>
      </c>
      <c r="H591" s="13" t="s">
        <v>21</v>
      </c>
      <c r="I591" s="13" t="s">
        <v>37</v>
      </c>
      <c r="J591" s="13" t="str">
        <f>""</f>
        <v/>
      </c>
      <c r="K591" s="13" t="str">
        <f>"PFES1162727393_0001"</f>
        <v>PFES1162727393_0001</v>
      </c>
      <c r="L591" s="13">
        <v>1</v>
      </c>
      <c r="M591" s="13">
        <v>5</v>
      </c>
    </row>
    <row r="592" spans="1:13" s="14" customFormat="1" ht="11.25">
      <c r="A592" s="11">
        <v>43808</v>
      </c>
      <c r="B592" s="12">
        <v>0.55625000000000002</v>
      </c>
      <c r="C592" s="13" t="str">
        <f>"FES1162727353"</f>
        <v>FES1162727353</v>
      </c>
      <c r="D592" s="13" t="s">
        <v>19</v>
      </c>
      <c r="E592" s="13" t="s">
        <v>474</v>
      </c>
      <c r="F592" s="13" t="str">
        <f>"2170720834 "</f>
        <v xml:space="preserve">2170720834 </v>
      </c>
      <c r="G592" s="13" t="str">
        <f t="shared" si="20"/>
        <v>ON1</v>
      </c>
      <c r="H592" s="13" t="s">
        <v>21</v>
      </c>
      <c r="I592" s="13" t="s">
        <v>136</v>
      </c>
      <c r="J592" s="13" t="str">
        <f>""</f>
        <v/>
      </c>
      <c r="K592" s="13" t="str">
        <f>"PFES1162727353_0001"</f>
        <v>PFES1162727353_0001</v>
      </c>
      <c r="L592" s="13">
        <v>1</v>
      </c>
      <c r="M592" s="13">
        <v>1</v>
      </c>
    </row>
    <row r="593" spans="1:13" s="14" customFormat="1" ht="11.25">
      <c r="A593" s="11">
        <v>43808</v>
      </c>
      <c r="B593" s="12">
        <v>0.55555555555555558</v>
      </c>
      <c r="C593" s="13" t="str">
        <f>"FES1162727412"</f>
        <v>FES1162727412</v>
      </c>
      <c r="D593" s="13" t="s">
        <v>19</v>
      </c>
      <c r="E593" s="13" t="s">
        <v>135</v>
      </c>
      <c r="F593" s="13" t="str">
        <f>"2170720904 "</f>
        <v xml:space="preserve">2170720904 </v>
      </c>
      <c r="G593" s="13" t="str">
        <f t="shared" si="20"/>
        <v>ON1</v>
      </c>
      <c r="H593" s="13" t="s">
        <v>21</v>
      </c>
      <c r="I593" s="13" t="s">
        <v>136</v>
      </c>
      <c r="J593" s="13" t="str">
        <f>""</f>
        <v/>
      </c>
      <c r="K593" s="13" t="str">
        <f>"PFES1162727412_0001"</f>
        <v>PFES1162727412_0001</v>
      </c>
      <c r="L593" s="13">
        <v>1</v>
      </c>
      <c r="M593" s="13">
        <v>1</v>
      </c>
    </row>
    <row r="594" spans="1:13" s="14" customFormat="1" ht="11.25">
      <c r="A594" s="11">
        <v>43808</v>
      </c>
      <c r="B594" s="12">
        <v>0.5541666666666667</v>
      </c>
      <c r="C594" s="13" t="str">
        <f>"FES2170720770"</f>
        <v>FES2170720770</v>
      </c>
      <c r="D594" s="13" t="s">
        <v>19</v>
      </c>
      <c r="E594" s="13" t="s">
        <v>345</v>
      </c>
      <c r="F594" s="13" t="str">
        <f>"2170720770 "</f>
        <v xml:space="preserve">2170720770 </v>
      </c>
      <c r="G594" s="13" t="str">
        <f t="shared" si="20"/>
        <v>ON1</v>
      </c>
      <c r="H594" s="13" t="s">
        <v>21</v>
      </c>
      <c r="I594" s="13" t="s">
        <v>346</v>
      </c>
      <c r="J594" s="13" t="str">
        <f>""</f>
        <v/>
      </c>
      <c r="K594" s="13" t="str">
        <f>"PFES2170720770_0001"</f>
        <v>PFES2170720770_0001</v>
      </c>
      <c r="L594" s="13">
        <v>1</v>
      </c>
      <c r="M594" s="13">
        <v>1</v>
      </c>
    </row>
    <row r="595" spans="1:13" s="14" customFormat="1" ht="11.25">
      <c r="A595" s="11">
        <v>43808</v>
      </c>
      <c r="B595" s="12">
        <v>0.54722222222222217</v>
      </c>
      <c r="C595" s="13" t="str">
        <f>"FES1162727407"</f>
        <v>FES1162727407</v>
      </c>
      <c r="D595" s="13" t="s">
        <v>19</v>
      </c>
      <c r="E595" s="13" t="s">
        <v>51</v>
      </c>
      <c r="F595" s="13" t="str">
        <f>"2170720900 "</f>
        <v xml:space="preserve">2170720900 </v>
      </c>
      <c r="G595" s="13" t="str">
        <f t="shared" si="20"/>
        <v>ON1</v>
      </c>
      <c r="H595" s="13" t="s">
        <v>21</v>
      </c>
      <c r="I595" s="13" t="s">
        <v>52</v>
      </c>
      <c r="J595" s="13" t="str">
        <f>""</f>
        <v/>
      </c>
      <c r="K595" s="13" t="str">
        <f>"PFES1162727407_0001"</f>
        <v>PFES1162727407_0001</v>
      </c>
      <c r="L595" s="13">
        <v>1</v>
      </c>
      <c r="M595" s="13">
        <v>1</v>
      </c>
    </row>
    <row r="596" spans="1:13" s="14" customFormat="1" ht="11.25">
      <c r="A596" s="11">
        <v>43808</v>
      </c>
      <c r="B596" s="12">
        <v>0.54583333333333328</v>
      </c>
      <c r="C596" s="13" t="str">
        <f>"FES1162727272"</f>
        <v>FES1162727272</v>
      </c>
      <c r="D596" s="13" t="s">
        <v>19</v>
      </c>
      <c r="E596" s="13" t="s">
        <v>475</v>
      </c>
      <c r="F596" s="13" t="str">
        <f>"2170720765 "</f>
        <v xml:space="preserve">2170720765 </v>
      </c>
      <c r="G596" s="13" t="str">
        <f t="shared" si="20"/>
        <v>ON1</v>
      </c>
      <c r="H596" s="13" t="s">
        <v>21</v>
      </c>
      <c r="I596" s="13" t="s">
        <v>476</v>
      </c>
      <c r="J596" s="13" t="str">
        <f>""</f>
        <v/>
      </c>
      <c r="K596" s="13" t="str">
        <f>"PFES1162727272_0001"</f>
        <v>PFES1162727272_0001</v>
      </c>
      <c r="L596" s="13">
        <v>1</v>
      </c>
      <c r="M596" s="13">
        <v>1.0900000000000001</v>
      </c>
    </row>
    <row r="597" spans="1:13" s="14" customFormat="1" ht="11.25">
      <c r="A597" s="11">
        <v>43808</v>
      </c>
      <c r="B597" s="12">
        <v>0.54513888888888895</v>
      </c>
      <c r="C597" s="13" t="str">
        <f>"FES1162727263"</f>
        <v>FES1162727263</v>
      </c>
      <c r="D597" s="13" t="s">
        <v>19</v>
      </c>
      <c r="E597" s="13" t="s">
        <v>477</v>
      </c>
      <c r="F597" s="13" t="str">
        <f>"2170720754 "</f>
        <v xml:space="preserve">2170720754 </v>
      </c>
      <c r="G597" s="13" t="str">
        <f t="shared" si="20"/>
        <v>ON1</v>
      </c>
      <c r="H597" s="13" t="s">
        <v>21</v>
      </c>
      <c r="I597" s="13" t="s">
        <v>330</v>
      </c>
      <c r="J597" s="13" t="str">
        <f>""</f>
        <v/>
      </c>
      <c r="K597" s="13" t="str">
        <f>"PFES1162727263_0001"</f>
        <v>PFES1162727263_0001</v>
      </c>
      <c r="L597" s="13">
        <v>1</v>
      </c>
      <c r="M597" s="13">
        <v>1</v>
      </c>
    </row>
    <row r="598" spans="1:13" s="14" customFormat="1" ht="11.25">
      <c r="A598" s="11">
        <v>43808</v>
      </c>
      <c r="B598" s="12">
        <v>0.54375000000000007</v>
      </c>
      <c r="C598" s="13" t="str">
        <f>"FES1162727326"</f>
        <v>FES1162727326</v>
      </c>
      <c r="D598" s="13" t="s">
        <v>19</v>
      </c>
      <c r="E598" s="13" t="s">
        <v>478</v>
      </c>
      <c r="F598" s="13" t="str">
        <f>"2170720805 "</f>
        <v xml:space="preserve">2170720805 </v>
      </c>
      <c r="G598" s="13" t="str">
        <f t="shared" si="20"/>
        <v>ON1</v>
      </c>
      <c r="H598" s="13" t="s">
        <v>21</v>
      </c>
      <c r="I598" s="13" t="s">
        <v>479</v>
      </c>
      <c r="J598" s="13" t="str">
        <f>""</f>
        <v/>
      </c>
      <c r="K598" s="13" t="str">
        <f>"PFES1162727326_0001"</f>
        <v>PFES1162727326_0001</v>
      </c>
      <c r="L598" s="13">
        <v>1</v>
      </c>
      <c r="M598" s="13">
        <v>3.6</v>
      </c>
    </row>
    <row r="599" spans="1:13" s="14" customFormat="1" ht="11.25">
      <c r="A599" s="11">
        <v>43808</v>
      </c>
      <c r="B599" s="12">
        <v>0.54375000000000007</v>
      </c>
      <c r="C599" s="13" t="str">
        <f>"FES1162727396"</f>
        <v>FES1162727396</v>
      </c>
      <c r="D599" s="13" t="s">
        <v>19</v>
      </c>
      <c r="E599" s="13" t="s">
        <v>93</v>
      </c>
      <c r="F599" s="13" t="str">
        <f>"217070889 "</f>
        <v xml:space="preserve">217070889 </v>
      </c>
      <c r="G599" s="13" t="str">
        <f t="shared" si="20"/>
        <v>ON1</v>
      </c>
      <c r="H599" s="13" t="s">
        <v>21</v>
      </c>
      <c r="I599" s="13" t="s">
        <v>121</v>
      </c>
      <c r="J599" s="13" t="str">
        <f>""</f>
        <v/>
      </c>
      <c r="K599" s="13" t="str">
        <f>"PFES1162727396_0001"</f>
        <v>PFES1162727396_0001</v>
      </c>
      <c r="L599" s="13">
        <v>1</v>
      </c>
      <c r="M599" s="13">
        <v>3</v>
      </c>
    </row>
    <row r="600" spans="1:13" s="14" customFormat="1" ht="11.25">
      <c r="A600" s="11">
        <v>43808</v>
      </c>
      <c r="B600" s="12">
        <v>0.54375000000000007</v>
      </c>
      <c r="C600" s="13" t="str">
        <f>"FES1162727398"</f>
        <v>FES1162727398</v>
      </c>
      <c r="D600" s="13" t="s">
        <v>19</v>
      </c>
      <c r="E600" s="13" t="s">
        <v>46</v>
      </c>
      <c r="F600" s="13" t="str">
        <f>"2170710890 "</f>
        <v xml:space="preserve">2170710890 </v>
      </c>
      <c r="G600" s="13" t="str">
        <f t="shared" si="20"/>
        <v>ON1</v>
      </c>
      <c r="H600" s="13" t="s">
        <v>21</v>
      </c>
      <c r="I600" s="13" t="s">
        <v>45</v>
      </c>
      <c r="J600" s="13" t="str">
        <f>""</f>
        <v/>
      </c>
      <c r="K600" s="13" t="str">
        <f>"PFES1162727398_0001"</f>
        <v>PFES1162727398_0001</v>
      </c>
      <c r="L600" s="13">
        <v>1</v>
      </c>
      <c r="M600" s="13">
        <v>3</v>
      </c>
    </row>
    <row r="601" spans="1:13" s="14" customFormat="1" ht="11.25">
      <c r="A601" s="11">
        <v>43808</v>
      </c>
      <c r="B601" s="12">
        <v>0.54305555555555551</v>
      </c>
      <c r="C601" s="13" t="str">
        <f>"FES1162727343"</f>
        <v>FES1162727343</v>
      </c>
      <c r="D601" s="13" t="s">
        <v>19</v>
      </c>
      <c r="E601" s="13" t="s">
        <v>295</v>
      </c>
      <c r="F601" s="13" t="str">
        <f>"2170720126 "</f>
        <v xml:space="preserve">2170720126 </v>
      </c>
      <c r="G601" s="13" t="str">
        <f t="shared" si="20"/>
        <v>ON1</v>
      </c>
      <c r="H601" s="13" t="s">
        <v>21</v>
      </c>
      <c r="I601" s="13" t="s">
        <v>78</v>
      </c>
      <c r="J601" s="13" t="str">
        <f>""</f>
        <v/>
      </c>
      <c r="K601" s="13" t="str">
        <f>"PFES1162727343_0001"</f>
        <v>PFES1162727343_0001</v>
      </c>
      <c r="L601" s="13">
        <v>1</v>
      </c>
      <c r="M601" s="13">
        <v>4</v>
      </c>
    </row>
    <row r="602" spans="1:13" s="14" customFormat="1" ht="11.25">
      <c r="A602" s="11">
        <v>43808</v>
      </c>
      <c r="B602" s="12">
        <v>0.54027777777777775</v>
      </c>
      <c r="C602" s="13" t="str">
        <f>"FES1162727392"</f>
        <v>FES1162727392</v>
      </c>
      <c r="D602" s="13" t="s">
        <v>19</v>
      </c>
      <c r="E602" s="13" t="s">
        <v>292</v>
      </c>
      <c r="F602" s="13" t="str">
        <f>"2170720882 "</f>
        <v xml:space="preserve">2170720882 </v>
      </c>
      <c r="G602" s="13" t="str">
        <f t="shared" si="20"/>
        <v>ON1</v>
      </c>
      <c r="H602" s="13" t="s">
        <v>21</v>
      </c>
      <c r="I602" s="13" t="s">
        <v>78</v>
      </c>
      <c r="J602" s="13" t="str">
        <f>""</f>
        <v/>
      </c>
      <c r="K602" s="13" t="str">
        <f>"PFES1162727392_0001"</f>
        <v>PFES1162727392_0001</v>
      </c>
      <c r="L602" s="13">
        <v>1</v>
      </c>
      <c r="M602" s="13">
        <v>8</v>
      </c>
    </row>
    <row r="603" spans="1:13" s="14" customFormat="1" ht="11.25">
      <c r="A603" s="11">
        <v>43808</v>
      </c>
      <c r="B603" s="12">
        <v>0.5395833333333333</v>
      </c>
      <c r="C603" s="13" t="str">
        <f>"FES1162727381"</f>
        <v>FES1162727381</v>
      </c>
      <c r="D603" s="13" t="s">
        <v>19</v>
      </c>
      <c r="E603" s="13" t="s">
        <v>480</v>
      </c>
      <c r="F603" s="13" t="str">
        <f>"2170718066 "</f>
        <v xml:space="preserve">2170718066 </v>
      </c>
      <c r="G603" s="13" t="str">
        <f t="shared" si="20"/>
        <v>ON1</v>
      </c>
      <c r="H603" s="13" t="s">
        <v>21</v>
      </c>
      <c r="I603" s="13" t="s">
        <v>481</v>
      </c>
      <c r="J603" s="13" t="str">
        <f>""</f>
        <v/>
      </c>
      <c r="K603" s="13" t="str">
        <f>"PFES1162727381_0001"</f>
        <v>PFES1162727381_0001</v>
      </c>
      <c r="L603" s="13">
        <v>1</v>
      </c>
      <c r="M603" s="13">
        <v>3</v>
      </c>
    </row>
    <row r="604" spans="1:13" s="14" customFormat="1" ht="11.25">
      <c r="A604" s="11">
        <v>43808</v>
      </c>
      <c r="B604" s="12">
        <v>0.5395833333333333</v>
      </c>
      <c r="C604" s="13" t="str">
        <f>"FES1162727370"</f>
        <v>FES1162727370</v>
      </c>
      <c r="D604" s="13" t="s">
        <v>19</v>
      </c>
      <c r="E604" s="13" t="s">
        <v>407</v>
      </c>
      <c r="F604" s="13" t="str">
        <f>"217020853 "</f>
        <v xml:space="preserve">217020853 </v>
      </c>
      <c r="G604" s="13" t="str">
        <f t="shared" si="20"/>
        <v>ON1</v>
      </c>
      <c r="H604" s="13" t="s">
        <v>21</v>
      </c>
      <c r="I604" s="13" t="s">
        <v>408</v>
      </c>
      <c r="J604" s="13" t="str">
        <f>""</f>
        <v/>
      </c>
      <c r="K604" s="13" t="str">
        <f>"PFES1162727370_0001"</f>
        <v>PFES1162727370_0001</v>
      </c>
      <c r="L604" s="13">
        <v>1</v>
      </c>
      <c r="M604" s="13">
        <v>2</v>
      </c>
    </row>
    <row r="605" spans="1:13" s="14" customFormat="1" ht="11.25">
      <c r="A605" s="11">
        <v>43808</v>
      </c>
      <c r="B605" s="12">
        <v>0.53888888888888886</v>
      </c>
      <c r="C605" s="13" t="str">
        <f>"FES1162727308"</f>
        <v>FES1162727308</v>
      </c>
      <c r="D605" s="13" t="s">
        <v>19</v>
      </c>
      <c r="E605" s="13" t="s">
        <v>482</v>
      </c>
      <c r="F605" s="13" t="str">
        <f>"2170710787 "</f>
        <v xml:space="preserve">2170710787 </v>
      </c>
      <c r="G605" s="13" t="str">
        <f t="shared" si="20"/>
        <v>ON1</v>
      </c>
      <c r="H605" s="13" t="s">
        <v>21</v>
      </c>
      <c r="I605" s="13" t="s">
        <v>408</v>
      </c>
      <c r="J605" s="13" t="str">
        <f>""</f>
        <v/>
      </c>
      <c r="K605" s="13" t="str">
        <f>"PFES1162727308_0001"</f>
        <v>PFES1162727308_0001</v>
      </c>
      <c r="L605" s="13">
        <v>1</v>
      </c>
      <c r="M605" s="13">
        <v>1</v>
      </c>
    </row>
    <row r="606" spans="1:13" s="14" customFormat="1" ht="11.25">
      <c r="A606" s="11">
        <v>43808</v>
      </c>
      <c r="B606" s="12">
        <v>0.53819444444444442</v>
      </c>
      <c r="C606" s="13" t="str">
        <f>"FES1162727371"</f>
        <v>FES1162727371</v>
      </c>
      <c r="D606" s="13" t="s">
        <v>19</v>
      </c>
      <c r="E606" s="13" t="s">
        <v>208</v>
      </c>
      <c r="F606" s="13" t="str">
        <f>"2170710854 "</f>
        <v xml:space="preserve">2170710854 </v>
      </c>
      <c r="G606" s="13" t="str">
        <f t="shared" si="20"/>
        <v>ON1</v>
      </c>
      <c r="H606" s="13" t="s">
        <v>21</v>
      </c>
      <c r="I606" s="13" t="s">
        <v>155</v>
      </c>
      <c r="J606" s="13" t="str">
        <f>""</f>
        <v/>
      </c>
      <c r="K606" s="13" t="str">
        <f>"PFES1162727371_0001"</f>
        <v>PFES1162727371_0001</v>
      </c>
      <c r="L606" s="13">
        <v>1</v>
      </c>
      <c r="M606" s="13">
        <v>2</v>
      </c>
    </row>
    <row r="607" spans="1:13" s="14" customFormat="1" ht="11.25">
      <c r="A607" s="11">
        <v>43808</v>
      </c>
      <c r="B607" s="12">
        <v>0.53819444444444442</v>
      </c>
      <c r="C607" s="13" t="str">
        <f>"FES1162727383"</f>
        <v>FES1162727383</v>
      </c>
      <c r="D607" s="13" t="s">
        <v>19</v>
      </c>
      <c r="E607" s="13" t="s">
        <v>59</v>
      </c>
      <c r="F607" s="13" t="str">
        <f>"217071868 "</f>
        <v xml:space="preserve">217071868 </v>
      </c>
      <c r="G607" s="13" t="str">
        <f t="shared" si="20"/>
        <v>ON1</v>
      </c>
      <c r="H607" s="13" t="s">
        <v>21</v>
      </c>
      <c r="I607" s="13" t="s">
        <v>60</v>
      </c>
      <c r="J607" s="13" t="str">
        <f>""</f>
        <v/>
      </c>
      <c r="K607" s="13" t="str">
        <f>"PFES1162727383_0001"</f>
        <v>PFES1162727383_0001</v>
      </c>
      <c r="L607" s="13">
        <v>1</v>
      </c>
      <c r="M607" s="13">
        <v>1</v>
      </c>
    </row>
    <row r="608" spans="1:13" s="14" customFormat="1" ht="11.25">
      <c r="A608" s="11">
        <v>43808</v>
      </c>
      <c r="B608" s="12">
        <v>0.53819444444444442</v>
      </c>
      <c r="C608" s="13" t="str">
        <f>"FES1162727285"</f>
        <v>FES1162727285</v>
      </c>
      <c r="D608" s="13" t="s">
        <v>19</v>
      </c>
      <c r="E608" s="13" t="s">
        <v>84</v>
      </c>
      <c r="F608" s="13" t="str">
        <f>"2170710778 "</f>
        <v xml:space="preserve">2170710778 </v>
      </c>
      <c r="G608" s="13" t="str">
        <f t="shared" si="20"/>
        <v>ON1</v>
      </c>
      <c r="H608" s="13" t="s">
        <v>21</v>
      </c>
      <c r="I608" s="13" t="s">
        <v>85</v>
      </c>
      <c r="J608" s="13" t="str">
        <f>""</f>
        <v/>
      </c>
      <c r="K608" s="13" t="str">
        <f>"PFES1162727285_0001"</f>
        <v>PFES1162727285_0001</v>
      </c>
      <c r="L608" s="13">
        <v>1</v>
      </c>
      <c r="M608" s="13">
        <v>5</v>
      </c>
    </row>
    <row r="609" spans="1:13" s="14" customFormat="1" ht="11.25">
      <c r="A609" s="11">
        <v>43808</v>
      </c>
      <c r="B609" s="12">
        <v>0.53749999999999998</v>
      </c>
      <c r="C609" s="13" t="str">
        <f>"FES1162727388"</f>
        <v>FES1162727388</v>
      </c>
      <c r="D609" s="13" t="s">
        <v>19</v>
      </c>
      <c r="E609" s="13" t="s">
        <v>167</v>
      </c>
      <c r="F609" s="13" t="str">
        <f>"21707102876 "</f>
        <v xml:space="preserve">21707102876 </v>
      </c>
      <c r="G609" s="13" t="str">
        <f t="shared" si="20"/>
        <v>ON1</v>
      </c>
      <c r="H609" s="13" t="s">
        <v>21</v>
      </c>
      <c r="I609" s="13" t="s">
        <v>168</v>
      </c>
      <c r="J609" s="13" t="str">
        <f>""</f>
        <v/>
      </c>
      <c r="K609" s="13" t="str">
        <f>"PFES1162727388_0001"</f>
        <v>PFES1162727388_0001</v>
      </c>
      <c r="L609" s="13">
        <v>1</v>
      </c>
      <c r="M609" s="13">
        <v>4</v>
      </c>
    </row>
    <row r="610" spans="1:13" s="14" customFormat="1" ht="11.25">
      <c r="A610" s="11">
        <v>43808</v>
      </c>
      <c r="B610" s="12">
        <v>0.53680555555555554</v>
      </c>
      <c r="C610" s="13" t="str">
        <f>"FES1162727358"</f>
        <v>FES1162727358</v>
      </c>
      <c r="D610" s="13" t="s">
        <v>19</v>
      </c>
      <c r="E610" s="13" t="s">
        <v>407</v>
      </c>
      <c r="F610" s="13" t="str">
        <f>"217071720839 "</f>
        <v xml:space="preserve">217071720839 </v>
      </c>
      <c r="G610" s="13" t="str">
        <f t="shared" si="20"/>
        <v>ON1</v>
      </c>
      <c r="H610" s="13" t="s">
        <v>21</v>
      </c>
      <c r="I610" s="13" t="s">
        <v>408</v>
      </c>
      <c r="J610" s="13" t="str">
        <f>""</f>
        <v/>
      </c>
      <c r="K610" s="13" t="str">
        <f>"PFES1162727358_0001"</f>
        <v>PFES1162727358_0001</v>
      </c>
      <c r="L610" s="13">
        <v>1</v>
      </c>
      <c r="M610" s="13">
        <v>3</v>
      </c>
    </row>
    <row r="611" spans="1:13" s="14" customFormat="1" ht="11.25">
      <c r="A611" s="11">
        <v>43808</v>
      </c>
      <c r="B611" s="12">
        <v>0.52638888888888891</v>
      </c>
      <c r="C611" s="13" t="str">
        <f>"009935712078"</f>
        <v>009935712078</v>
      </c>
      <c r="D611" s="13" t="s">
        <v>19</v>
      </c>
      <c r="E611" s="13" t="s">
        <v>480</v>
      </c>
      <c r="F611" s="13" t="str">
        <f>"1162725917 "</f>
        <v xml:space="preserve">1162725917 </v>
      </c>
      <c r="G611" s="13" t="str">
        <f t="shared" si="20"/>
        <v>ON1</v>
      </c>
      <c r="H611" s="13" t="s">
        <v>21</v>
      </c>
      <c r="I611" s="13" t="s">
        <v>481</v>
      </c>
      <c r="J611" s="13" t="str">
        <f>""</f>
        <v/>
      </c>
      <c r="K611" s="13" t="str">
        <f>"P009935712078_0001"</f>
        <v>P009935712078_0001</v>
      </c>
      <c r="L611" s="13">
        <v>1</v>
      </c>
      <c r="M611" s="13">
        <v>1</v>
      </c>
    </row>
    <row r="612" spans="1:13" s="14" customFormat="1" ht="11.25">
      <c r="A612" s="11">
        <v>43808</v>
      </c>
      <c r="B612" s="12">
        <v>0.5180555555555556</v>
      </c>
      <c r="C612" s="13" t="str">
        <f>"FES1162727312"</f>
        <v>FES1162727312</v>
      </c>
      <c r="D612" s="13" t="s">
        <v>19</v>
      </c>
      <c r="E612" s="13" t="s">
        <v>483</v>
      </c>
      <c r="F612" s="13" t="str">
        <f>"21707120791 "</f>
        <v xml:space="preserve">21707120791 </v>
      </c>
      <c r="G612" s="13" t="str">
        <f t="shared" si="20"/>
        <v>ON1</v>
      </c>
      <c r="H612" s="13" t="s">
        <v>21</v>
      </c>
      <c r="I612" s="13" t="s">
        <v>85</v>
      </c>
      <c r="J612" s="13" t="str">
        <f>""</f>
        <v/>
      </c>
      <c r="K612" s="13" t="str">
        <f>"PFES1162727312_0001"</f>
        <v>PFES1162727312_0001</v>
      </c>
      <c r="L612" s="13">
        <v>1</v>
      </c>
      <c r="M612" s="13">
        <v>4</v>
      </c>
    </row>
    <row r="613" spans="1:13" s="14" customFormat="1" ht="11.25">
      <c r="A613" s="11">
        <v>43808</v>
      </c>
      <c r="B613" s="12">
        <v>0.5180555555555556</v>
      </c>
      <c r="C613" s="13" t="str">
        <f>"FES1162727310"</f>
        <v>FES1162727310</v>
      </c>
      <c r="D613" s="13" t="s">
        <v>19</v>
      </c>
      <c r="E613" s="13" t="s">
        <v>24</v>
      </c>
      <c r="F613" s="13" t="str">
        <f>"21707120879 "</f>
        <v xml:space="preserve">21707120879 </v>
      </c>
      <c r="G613" s="13" t="str">
        <f t="shared" si="20"/>
        <v>ON1</v>
      </c>
      <c r="H613" s="13" t="s">
        <v>21</v>
      </c>
      <c r="I613" s="13" t="s">
        <v>25</v>
      </c>
      <c r="J613" s="13" t="str">
        <f>""</f>
        <v/>
      </c>
      <c r="K613" s="13" t="str">
        <f>"PFES1162727310_0001"</f>
        <v>PFES1162727310_0001</v>
      </c>
      <c r="L613" s="13">
        <v>1</v>
      </c>
      <c r="M613" s="13">
        <v>3</v>
      </c>
    </row>
    <row r="614" spans="1:13" s="14" customFormat="1" ht="11.25">
      <c r="A614" s="11">
        <v>43808</v>
      </c>
      <c r="B614" s="12">
        <v>0.51736111111111105</v>
      </c>
      <c r="C614" s="13" t="str">
        <f>"FES1162727283"</f>
        <v>FES1162727283</v>
      </c>
      <c r="D614" s="13" t="s">
        <v>19</v>
      </c>
      <c r="E614" s="13" t="s">
        <v>484</v>
      </c>
      <c r="F614" s="13" t="str">
        <f>"21707120779 "</f>
        <v xml:space="preserve">21707120779 </v>
      </c>
      <c r="G614" s="13" t="str">
        <f t="shared" si="20"/>
        <v>ON1</v>
      </c>
      <c r="H614" s="13" t="s">
        <v>21</v>
      </c>
      <c r="I614" s="13" t="s">
        <v>223</v>
      </c>
      <c r="J614" s="13" t="str">
        <f>""</f>
        <v/>
      </c>
      <c r="K614" s="13" t="str">
        <f>"PFES1162727283_0001"</f>
        <v>PFES1162727283_0001</v>
      </c>
      <c r="L614" s="13">
        <v>1</v>
      </c>
      <c r="M614" s="13">
        <v>6</v>
      </c>
    </row>
    <row r="615" spans="1:13" s="14" customFormat="1" ht="11.25">
      <c r="A615" s="11">
        <v>43808</v>
      </c>
      <c r="B615" s="12">
        <v>0.51736111111111105</v>
      </c>
      <c r="C615" s="13" t="str">
        <f>"FES1162727286"</f>
        <v>FES1162727286</v>
      </c>
      <c r="D615" s="13" t="s">
        <v>19</v>
      </c>
      <c r="E615" s="13" t="s">
        <v>179</v>
      </c>
      <c r="F615" s="13" t="str">
        <f>"2170720782 "</f>
        <v xml:space="preserve">2170720782 </v>
      </c>
      <c r="G615" s="13" t="str">
        <f t="shared" si="20"/>
        <v>ON1</v>
      </c>
      <c r="H615" s="13" t="s">
        <v>21</v>
      </c>
      <c r="I615" s="13" t="s">
        <v>180</v>
      </c>
      <c r="J615" s="13" t="str">
        <f>""</f>
        <v/>
      </c>
      <c r="K615" s="13" t="str">
        <f>"PFES1162727286_0001"</f>
        <v>PFES1162727286_0001</v>
      </c>
      <c r="L615" s="13">
        <v>1</v>
      </c>
      <c r="M615" s="13">
        <v>3</v>
      </c>
    </row>
    <row r="616" spans="1:13" s="14" customFormat="1" ht="11.25">
      <c r="A616" s="11">
        <v>43808</v>
      </c>
      <c r="B616" s="12">
        <v>0.51666666666666672</v>
      </c>
      <c r="C616" s="13" t="str">
        <f>"FES1162727340"</f>
        <v>FES1162727340</v>
      </c>
      <c r="D616" s="13" t="s">
        <v>19</v>
      </c>
      <c r="E616" s="13" t="s">
        <v>38</v>
      </c>
      <c r="F616" s="13" t="str">
        <f>"2170712273 "</f>
        <v xml:space="preserve">2170712273 </v>
      </c>
      <c r="G616" s="13" t="str">
        <f t="shared" ref="G616:G679" si="21">"ON1"</f>
        <v>ON1</v>
      </c>
      <c r="H616" s="13" t="s">
        <v>21</v>
      </c>
      <c r="I616" s="13" t="s">
        <v>39</v>
      </c>
      <c r="J616" s="13" t="str">
        <f>""</f>
        <v/>
      </c>
      <c r="K616" s="13" t="str">
        <f>"PFES1162727340_0001"</f>
        <v>PFES1162727340_0001</v>
      </c>
      <c r="L616" s="13">
        <v>1</v>
      </c>
      <c r="M616" s="13">
        <v>14</v>
      </c>
    </row>
    <row r="617" spans="1:13" s="14" customFormat="1" ht="11.25">
      <c r="A617" s="11">
        <v>43808</v>
      </c>
      <c r="B617" s="12">
        <v>0.51527777777777783</v>
      </c>
      <c r="C617" s="13" t="str">
        <f>"FES1162727373"</f>
        <v>FES1162727373</v>
      </c>
      <c r="D617" s="13" t="s">
        <v>19</v>
      </c>
      <c r="E617" s="13" t="s">
        <v>292</v>
      </c>
      <c r="F617" s="13" t="str">
        <f>"2170720858 "</f>
        <v xml:space="preserve">2170720858 </v>
      </c>
      <c r="G617" s="13" t="str">
        <f t="shared" si="21"/>
        <v>ON1</v>
      </c>
      <c r="H617" s="13" t="s">
        <v>21</v>
      </c>
      <c r="I617" s="13" t="s">
        <v>78</v>
      </c>
      <c r="J617" s="13" t="str">
        <f>""</f>
        <v/>
      </c>
      <c r="K617" s="13" t="str">
        <f>"PFES1162727373_0001"</f>
        <v>PFES1162727373_0001</v>
      </c>
      <c r="L617" s="13">
        <v>1</v>
      </c>
      <c r="M617" s="13">
        <v>1</v>
      </c>
    </row>
    <row r="618" spans="1:13" s="14" customFormat="1" ht="11.25">
      <c r="A618" s="11">
        <v>43808</v>
      </c>
      <c r="B618" s="12">
        <v>0.51458333333333328</v>
      </c>
      <c r="C618" s="13" t="str">
        <f>"FES1162727288"</f>
        <v>FES1162727288</v>
      </c>
      <c r="D618" s="13" t="s">
        <v>19</v>
      </c>
      <c r="E618" s="13" t="s">
        <v>101</v>
      </c>
      <c r="F618" s="13" t="str">
        <f>"2170716756 "</f>
        <v xml:space="preserve">2170716756 </v>
      </c>
      <c r="G618" s="13" t="str">
        <f t="shared" si="21"/>
        <v>ON1</v>
      </c>
      <c r="H618" s="13" t="s">
        <v>21</v>
      </c>
      <c r="I618" s="13" t="s">
        <v>102</v>
      </c>
      <c r="J618" s="13" t="str">
        <f>""</f>
        <v/>
      </c>
      <c r="K618" s="13" t="str">
        <f>"PFES1162727288_0001"</f>
        <v>PFES1162727288_0001</v>
      </c>
      <c r="L618" s="13">
        <v>1</v>
      </c>
      <c r="M618" s="13">
        <v>1</v>
      </c>
    </row>
    <row r="619" spans="1:13" s="14" customFormat="1" ht="11.25">
      <c r="A619" s="11">
        <v>43808</v>
      </c>
      <c r="B619" s="12">
        <v>0.51388888888888895</v>
      </c>
      <c r="C619" s="13" t="str">
        <f>"FES1162727296"</f>
        <v>FES1162727296</v>
      </c>
      <c r="D619" s="13" t="s">
        <v>19</v>
      </c>
      <c r="E619" s="13" t="s">
        <v>485</v>
      </c>
      <c r="F619" s="13" t="str">
        <f>"2170717652 "</f>
        <v xml:space="preserve">2170717652 </v>
      </c>
      <c r="G619" s="13" t="str">
        <f t="shared" si="21"/>
        <v>ON1</v>
      </c>
      <c r="H619" s="13" t="s">
        <v>21</v>
      </c>
      <c r="I619" s="13" t="s">
        <v>70</v>
      </c>
      <c r="J619" s="13" t="str">
        <f>""</f>
        <v/>
      </c>
      <c r="K619" s="13" t="str">
        <f>"PFES1162727296_0001"</f>
        <v>PFES1162727296_0001</v>
      </c>
      <c r="L619" s="13">
        <v>1</v>
      </c>
      <c r="M619" s="13">
        <v>3</v>
      </c>
    </row>
    <row r="620" spans="1:13" s="14" customFormat="1" ht="11.25">
      <c r="A620" s="11">
        <v>43808</v>
      </c>
      <c r="B620" s="12">
        <v>0.5131944444444444</v>
      </c>
      <c r="C620" s="13" t="str">
        <f>"FES1162727320"</f>
        <v>FES1162727320</v>
      </c>
      <c r="D620" s="13" t="s">
        <v>19</v>
      </c>
      <c r="E620" s="13" t="s">
        <v>124</v>
      </c>
      <c r="F620" s="13" t="str">
        <f>"2170720799 "</f>
        <v xml:space="preserve">2170720799 </v>
      </c>
      <c r="G620" s="13" t="str">
        <f t="shared" si="21"/>
        <v>ON1</v>
      </c>
      <c r="H620" s="13" t="s">
        <v>21</v>
      </c>
      <c r="I620" s="13" t="s">
        <v>125</v>
      </c>
      <c r="J620" s="13" t="str">
        <f>""</f>
        <v/>
      </c>
      <c r="K620" s="13" t="str">
        <f>"PFES1162727320_0001"</f>
        <v>PFES1162727320_0001</v>
      </c>
      <c r="L620" s="13">
        <v>1</v>
      </c>
      <c r="M620" s="13">
        <v>1</v>
      </c>
    </row>
    <row r="621" spans="1:13" s="14" customFormat="1" ht="11.25">
      <c r="A621" s="11">
        <v>43808</v>
      </c>
      <c r="B621" s="12">
        <v>0.5131944444444444</v>
      </c>
      <c r="C621" s="13" t="str">
        <f>"FES1162727323"</f>
        <v>FES1162727323</v>
      </c>
      <c r="D621" s="13" t="s">
        <v>19</v>
      </c>
      <c r="E621" s="13" t="s">
        <v>486</v>
      </c>
      <c r="F621" s="13" t="str">
        <f>"217070801 "</f>
        <v xml:space="preserve">217070801 </v>
      </c>
      <c r="G621" s="13" t="str">
        <f t="shared" si="21"/>
        <v>ON1</v>
      </c>
      <c r="H621" s="13" t="s">
        <v>21</v>
      </c>
      <c r="I621" s="13" t="s">
        <v>487</v>
      </c>
      <c r="J621" s="13" t="str">
        <f>""</f>
        <v/>
      </c>
      <c r="K621" s="13" t="str">
        <f>"PFES1162727323_0001"</f>
        <v>PFES1162727323_0001</v>
      </c>
      <c r="L621" s="13">
        <v>1</v>
      </c>
      <c r="M621" s="13">
        <v>8</v>
      </c>
    </row>
    <row r="622" spans="1:13" s="14" customFormat="1" ht="11.25">
      <c r="A622" s="11">
        <v>43808</v>
      </c>
      <c r="B622" s="12">
        <v>0.51250000000000007</v>
      </c>
      <c r="C622" s="13" t="str">
        <f>"FES1162727304"</f>
        <v>FES1162727304</v>
      </c>
      <c r="D622" s="13" t="s">
        <v>19</v>
      </c>
      <c r="E622" s="13" t="s">
        <v>260</v>
      </c>
      <c r="F622" s="13" t="str">
        <f>"2170720733 "</f>
        <v xml:space="preserve">2170720733 </v>
      </c>
      <c r="G622" s="13" t="str">
        <f t="shared" si="21"/>
        <v>ON1</v>
      </c>
      <c r="H622" s="13" t="s">
        <v>21</v>
      </c>
      <c r="I622" s="13" t="s">
        <v>216</v>
      </c>
      <c r="J622" s="13" t="str">
        <f>""</f>
        <v/>
      </c>
      <c r="K622" s="13" t="str">
        <f>"PFES1162727304_0001"</f>
        <v>PFES1162727304_0001</v>
      </c>
      <c r="L622" s="13">
        <v>1</v>
      </c>
      <c r="M622" s="13">
        <v>1</v>
      </c>
    </row>
    <row r="623" spans="1:13" s="14" customFormat="1" ht="11.25">
      <c r="A623" s="11">
        <v>43808</v>
      </c>
      <c r="B623" s="12">
        <v>0.51180555555555551</v>
      </c>
      <c r="C623" s="13" t="str">
        <f>"FES1162727350"</f>
        <v>FES1162727350</v>
      </c>
      <c r="D623" s="13" t="s">
        <v>19</v>
      </c>
      <c r="E623" s="13" t="s">
        <v>292</v>
      </c>
      <c r="F623" s="13" t="str">
        <f>"21707107829 "</f>
        <v xml:space="preserve">21707107829 </v>
      </c>
      <c r="G623" s="13" t="str">
        <f t="shared" si="21"/>
        <v>ON1</v>
      </c>
      <c r="H623" s="13" t="s">
        <v>21</v>
      </c>
      <c r="I623" s="13" t="s">
        <v>78</v>
      </c>
      <c r="J623" s="13" t="str">
        <f>""</f>
        <v/>
      </c>
      <c r="K623" s="13" t="str">
        <f>"PFES1162727350_0001"</f>
        <v>PFES1162727350_0001</v>
      </c>
      <c r="L623" s="13">
        <v>1</v>
      </c>
      <c r="M623" s="13">
        <v>2</v>
      </c>
    </row>
    <row r="624" spans="1:13" s="14" customFormat="1" ht="11.25">
      <c r="A624" s="11">
        <v>43808</v>
      </c>
      <c r="B624" s="12">
        <v>0.51180555555555551</v>
      </c>
      <c r="C624" s="13" t="str">
        <f>"FES1162727305"</f>
        <v>FES1162727305</v>
      </c>
      <c r="D624" s="13" t="s">
        <v>19</v>
      </c>
      <c r="E624" s="13" t="s">
        <v>260</v>
      </c>
      <c r="F624" s="13" t="str">
        <f>"2170720745 "</f>
        <v xml:space="preserve">2170720745 </v>
      </c>
      <c r="G624" s="13" t="str">
        <f t="shared" si="21"/>
        <v>ON1</v>
      </c>
      <c r="H624" s="13" t="s">
        <v>21</v>
      </c>
      <c r="I624" s="13" t="s">
        <v>216</v>
      </c>
      <c r="J624" s="13" t="str">
        <f>""</f>
        <v/>
      </c>
      <c r="K624" s="13" t="str">
        <f>"PFES1162727305_0001"</f>
        <v>PFES1162727305_0001</v>
      </c>
      <c r="L624" s="13">
        <v>1</v>
      </c>
      <c r="M624" s="13">
        <v>1</v>
      </c>
    </row>
    <row r="625" spans="1:13" s="14" customFormat="1" ht="11.25">
      <c r="A625" s="11">
        <v>43808</v>
      </c>
      <c r="B625" s="12">
        <v>0.51111111111111118</v>
      </c>
      <c r="C625" s="13" t="str">
        <f>"FES1162727359"</f>
        <v>FES1162727359</v>
      </c>
      <c r="D625" s="13" t="s">
        <v>19</v>
      </c>
      <c r="E625" s="13" t="s">
        <v>44</v>
      </c>
      <c r="F625" s="13" t="str">
        <f>"2170720840 "</f>
        <v xml:space="preserve">2170720840 </v>
      </c>
      <c r="G625" s="13" t="str">
        <f t="shared" si="21"/>
        <v>ON1</v>
      </c>
      <c r="H625" s="13" t="s">
        <v>21</v>
      </c>
      <c r="I625" s="13" t="s">
        <v>45</v>
      </c>
      <c r="J625" s="13" t="str">
        <f>""</f>
        <v/>
      </c>
      <c r="K625" s="13" t="str">
        <f>"PFES1162727359_0001"</f>
        <v>PFES1162727359_0001</v>
      </c>
      <c r="L625" s="13">
        <v>2</v>
      </c>
      <c r="M625" s="13">
        <v>13</v>
      </c>
    </row>
    <row r="626" spans="1:13" s="14" customFormat="1" ht="11.25">
      <c r="A626" s="11">
        <v>43808</v>
      </c>
      <c r="B626" s="12">
        <v>0.51111111111111118</v>
      </c>
      <c r="C626" s="13" t="str">
        <f>"FES1162727359"</f>
        <v>FES1162727359</v>
      </c>
      <c r="D626" s="13" t="s">
        <v>19</v>
      </c>
      <c r="E626" s="13" t="s">
        <v>44</v>
      </c>
      <c r="F626" s="13" t="str">
        <f>"2170720840 "</f>
        <v xml:space="preserve">2170720840 </v>
      </c>
      <c r="G626" s="13" t="str">
        <f t="shared" si="21"/>
        <v>ON1</v>
      </c>
      <c r="H626" s="13" t="s">
        <v>21</v>
      </c>
      <c r="I626" s="13" t="s">
        <v>45</v>
      </c>
      <c r="J626" s="13"/>
      <c r="K626" s="13" t="str">
        <f>"PFES1162727359_0002"</f>
        <v>PFES1162727359_0002</v>
      </c>
      <c r="L626" s="13">
        <v>2</v>
      </c>
      <c r="M626" s="13">
        <v>13</v>
      </c>
    </row>
    <row r="627" spans="1:13" s="14" customFormat="1" ht="11.25">
      <c r="A627" s="11">
        <v>43808</v>
      </c>
      <c r="B627" s="12">
        <v>0.51111111111111118</v>
      </c>
      <c r="C627" s="13" t="str">
        <f>"FES1162727328"</f>
        <v>FES1162727328</v>
      </c>
      <c r="D627" s="13" t="s">
        <v>19</v>
      </c>
      <c r="E627" s="13" t="s">
        <v>273</v>
      </c>
      <c r="F627" s="13" t="str">
        <f>"2170720808 "</f>
        <v xml:space="preserve">2170720808 </v>
      </c>
      <c r="G627" s="13" t="str">
        <f t="shared" si="21"/>
        <v>ON1</v>
      </c>
      <c r="H627" s="13" t="s">
        <v>21</v>
      </c>
      <c r="I627" s="13" t="s">
        <v>78</v>
      </c>
      <c r="J627" s="13" t="str">
        <f>""</f>
        <v/>
      </c>
      <c r="K627" s="13" t="str">
        <f>"PFES1162727328_0001"</f>
        <v>PFES1162727328_0001</v>
      </c>
      <c r="L627" s="13">
        <v>1</v>
      </c>
      <c r="M627" s="13">
        <v>1</v>
      </c>
    </row>
    <row r="628" spans="1:13" s="14" customFormat="1" ht="11.25">
      <c r="A628" s="11">
        <v>43808</v>
      </c>
      <c r="B628" s="12">
        <v>0.51041666666666663</v>
      </c>
      <c r="C628" s="13" t="str">
        <f>"FES1162727322"</f>
        <v>FES1162727322</v>
      </c>
      <c r="D628" s="13" t="s">
        <v>19</v>
      </c>
      <c r="E628" s="13" t="s">
        <v>488</v>
      </c>
      <c r="F628" s="13" t="str">
        <f>"2170718440 "</f>
        <v xml:space="preserve">2170718440 </v>
      </c>
      <c r="G628" s="13" t="str">
        <f t="shared" si="21"/>
        <v>ON1</v>
      </c>
      <c r="H628" s="13" t="s">
        <v>21</v>
      </c>
      <c r="I628" s="13" t="s">
        <v>489</v>
      </c>
      <c r="J628" s="13" t="str">
        <f>""</f>
        <v/>
      </c>
      <c r="K628" s="13" t="str">
        <f>"PFES1162727322_0001"</f>
        <v>PFES1162727322_0001</v>
      </c>
      <c r="L628" s="13">
        <v>1</v>
      </c>
      <c r="M628" s="13">
        <v>2</v>
      </c>
    </row>
    <row r="629" spans="1:13" s="14" customFormat="1" ht="11.25">
      <c r="A629" s="11">
        <v>43808</v>
      </c>
      <c r="B629" s="12">
        <v>0.50972222222222219</v>
      </c>
      <c r="C629" s="13" t="str">
        <f>"FES1162727277"</f>
        <v>FES1162727277</v>
      </c>
      <c r="D629" s="13" t="s">
        <v>19</v>
      </c>
      <c r="E629" s="13" t="s">
        <v>490</v>
      </c>
      <c r="F629" s="13" t="str">
        <f>"2170720771 "</f>
        <v xml:space="preserve">2170720771 </v>
      </c>
      <c r="G629" s="13" t="str">
        <f t="shared" si="21"/>
        <v>ON1</v>
      </c>
      <c r="H629" s="13" t="s">
        <v>21</v>
      </c>
      <c r="I629" s="13" t="s">
        <v>25</v>
      </c>
      <c r="J629" s="13" t="str">
        <f>""</f>
        <v/>
      </c>
      <c r="K629" s="13" t="str">
        <f>"PFES1162727277_0001"</f>
        <v>PFES1162727277_0001</v>
      </c>
      <c r="L629" s="13">
        <v>1</v>
      </c>
      <c r="M629" s="13">
        <v>1</v>
      </c>
    </row>
    <row r="630" spans="1:13" s="14" customFormat="1" ht="11.25">
      <c r="A630" s="11">
        <v>43808</v>
      </c>
      <c r="B630" s="12">
        <v>0.50972222222222219</v>
      </c>
      <c r="C630" s="13" t="str">
        <f>"FES1162727317"</f>
        <v>FES1162727317</v>
      </c>
      <c r="D630" s="13" t="s">
        <v>19</v>
      </c>
      <c r="E630" s="13" t="s">
        <v>491</v>
      </c>
      <c r="F630" s="13" t="str">
        <f>"2170720797 "</f>
        <v xml:space="preserve">2170720797 </v>
      </c>
      <c r="G630" s="13" t="str">
        <f t="shared" si="21"/>
        <v>ON1</v>
      </c>
      <c r="H630" s="13" t="s">
        <v>21</v>
      </c>
      <c r="I630" s="13" t="s">
        <v>54</v>
      </c>
      <c r="J630" s="13" t="str">
        <f>""</f>
        <v/>
      </c>
      <c r="K630" s="13" t="str">
        <f>"PFES1162727317_0001"</f>
        <v>PFES1162727317_0001</v>
      </c>
      <c r="L630" s="13">
        <v>1</v>
      </c>
      <c r="M630" s="13">
        <v>5</v>
      </c>
    </row>
    <row r="631" spans="1:13" s="14" customFormat="1" ht="11.25">
      <c r="A631" s="11">
        <v>43808</v>
      </c>
      <c r="B631" s="12">
        <v>0.50902777777777775</v>
      </c>
      <c r="C631" s="13" t="str">
        <f>"FES1162727334"</f>
        <v>FES1162727334</v>
      </c>
      <c r="D631" s="13" t="s">
        <v>19</v>
      </c>
      <c r="E631" s="13" t="s">
        <v>491</v>
      </c>
      <c r="F631" s="13" t="str">
        <f>"2170720851 "</f>
        <v xml:space="preserve">2170720851 </v>
      </c>
      <c r="G631" s="13" t="str">
        <f t="shared" si="21"/>
        <v>ON1</v>
      </c>
      <c r="H631" s="13" t="s">
        <v>21</v>
      </c>
      <c r="I631" s="13" t="s">
        <v>54</v>
      </c>
      <c r="J631" s="13" t="str">
        <f>""</f>
        <v/>
      </c>
      <c r="K631" s="13" t="str">
        <f>"PFES1162727334_0001"</f>
        <v>PFES1162727334_0001</v>
      </c>
      <c r="L631" s="13">
        <v>1</v>
      </c>
      <c r="M631" s="13">
        <v>2</v>
      </c>
    </row>
    <row r="632" spans="1:13" s="14" customFormat="1" ht="11.25">
      <c r="A632" s="11">
        <v>43808</v>
      </c>
      <c r="B632" s="12">
        <v>0.5083333333333333</v>
      </c>
      <c r="C632" s="13" t="str">
        <f>"FES1162727297"</f>
        <v>FES1162727297</v>
      </c>
      <c r="D632" s="13" t="s">
        <v>19</v>
      </c>
      <c r="E632" s="13" t="s">
        <v>442</v>
      </c>
      <c r="F632" s="13" t="str">
        <f>"2170719781 "</f>
        <v xml:space="preserve">2170719781 </v>
      </c>
      <c r="G632" s="13" t="str">
        <f t="shared" si="21"/>
        <v>ON1</v>
      </c>
      <c r="H632" s="13" t="s">
        <v>21</v>
      </c>
      <c r="I632" s="13" t="s">
        <v>48</v>
      </c>
      <c r="J632" s="13" t="str">
        <f>""</f>
        <v/>
      </c>
      <c r="K632" s="13" t="str">
        <f>"PFES1162727297_0001"</f>
        <v>PFES1162727297_0001</v>
      </c>
      <c r="L632" s="13">
        <v>1</v>
      </c>
      <c r="M632" s="13">
        <v>2</v>
      </c>
    </row>
    <row r="633" spans="1:13" s="14" customFormat="1" ht="11.25">
      <c r="A633" s="11">
        <v>43808</v>
      </c>
      <c r="B633" s="12">
        <v>0.49513888888888885</v>
      </c>
      <c r="C633" s="13" t="str">
        <f>"FES1162727136"</f>
        <v>FES1162727136</v>
      </c>
      <c r="D633" s="13" t="s">
        <v>19</v>
      </c>
      <c r="E633" s="13" t="s">
        <v>492</v>
      </c>
      <c r="F633" s="13" t="str">
        <f>"2170720605 "</f>
        <v xml:space="preserve">2170720605 </v>
      </c>
      <c r="G633" s="13" t="str">
        <f t="shared" si="21"/>
        <v>ON1</v>
      </c>
      <c r="H633" s="13" t="s">
        <v>21</v>
      </c>
      <c r="I633" s="13" t="s">
        <v>175</v>
      </c>
      <c r="J633" s="13" t="str">
        <f>""</f>
        <v/>
      </c>
      <c r="K633" s="13" t="str">
        <f>"PFES1162727136_0001"</f>
        <v>PFES1162727136_0001</v>
      </c>
      <c r="L633" s="13">
        <v>1</v>
      </c>
      <c r="M633" s="13">
        <v>1</v>
      </c>
    </row>
    <row r="634" spans="1:13" s="14" customFormat="1" ht="11.25">
      <c r="A634" s="11">
        <v>43808</v>
      </c>
      <c r="B634" s="12">
        <v>0.49444444444444446</v>
      </c>
      <c r="C634" s="13" t="str">
        <f>"FES1162727325"</f>
        <v>FES1162727325</v>
      </c>
      <c r="D634" s="13" t="s">
        <v>19</v>
      </c>
      <c r="E634" s="13" t="s">
        <v>493</v>
      </c>
      <c r="F634" s="13" t="str">
        <f>"2170720790 "</f>
        <v xml:space="preserve">2170720790 </v>
      </c>
      <c r="G634" s="13" t="str">
        <f t="shared" si="21"/>
        <v>ON1</v>
      </c>
      <c r="H634" s="13" t="s">
        <v>21</v>
      </c>
      <c r="I634" s="13" t="s">
        <v>494</v>
      </c>
      <c r="J634" s="13" t="str">
        <f>""</f>
        <v/>
      </c>
      <c r="K634" s="13" t="str">
        <f>"PFES1162727325_0001"</f>
        <v>PFES1162727325_0001</v>
      </c>
      <c r="L634" s="13">
        <v>1</v>
      </c>
      <c r="M634" s="13">
        <v>1</v>
      </c>
    </row>
    <row r="635" spans="1:13" s="14" customFormat="1" ht="11.25">
      <c r="A635" s="11">
        <v>43808</v>
      </c>
      <c r="B635" s="12">
        <v>0.49305555555555558</v>
      </c>
      <c r="C635" s="13" t="str">
        <f>"FES1162727279"</f>
        <v>FES1162727279</v>
      </c>
      <c r="D635" s="13" t="s">
        <v>19</v>
      </c>
      <c r="E635" s="13" t="s">
        <v>367</v>
      </c>
      <c r="F635" s="13" t="str">
        <f>"2170720774 "</f>
        <v xml:space="preserve">2170720774 </v>
      </c>
      <c r="G635" s="13" t="str">
        <f t="shared" si="21"/>
        <v>ON1</v>
      </c>
      <c r="H635" s="13" t="s">
        <v>21</v>
      </c>
      <c r="I635" s="13" t="s">
        <v>368</v>
      </c>
      <c r="J635" s="13" t="str">
        <f>""</f>
        <v/>
      </c>
      <c r="K635" s="13" t="str">
        <f>"PFES1162727279_0001"</f>
        <v>PFES1162727279_0001</v>
      </c>
      <c r="L635" s="13">
        <v>1</v>
      </c>
      <c r="M635" s="13">
        <v>1.4</v>
      </c>
    </row>
    <row r="636" spans="1:13" s="14" customFormat="1" ht="11.25">
      <c r="A636" s="11">
        <v>43808</v>
      </c>
      <c r="B636" s="12">
        <v>0.49236111111111108</v>
      </c>
      <c r="C636" s="13" t="str">
        <f>"FES1162727351"</f>
        <v>FES1162727351</v>
      </c>
      <c r="D636" s="13" t="s">
        <v>19</v>
      </c>
      <c r="E636" s="13" t="s">
        <v>59</v>
      </c>
      <c r="F636" s="13" t="str">
        <f>"2170720830 "</f>
        <v xml:space="preserve">2170720830 </v>
      </c>
      <c r="G636" s="13" t="str">
        <f t="shared" si="21"/>
        <v>ON1</v>
      </c>
      <c r="H636" s="13" t="s">
        <v>21</v>
      </c>
      <c r="I636" s="13" t="s">
        <v>60</v>
      </c>
      <c r="J636" s="13" t="str">
        <f>""</f>
        <v/>
      </c>
      <c r="K636" s="13" t="str">
        <f>"PFES1162727351_0001"</f>
        <v>PFES1162727351_0001</v>
      </c>
      <c r="L636" s="13">
        <v>1</v>
      </c>
      <c r="M636" s="13">
        <v>1</v>
      </c>
    </row>
    <row r="637" spans="1:13" s="14" customFormat="1" ht="11.25">
      <c r="A637" s="11">
        <v>43808</v>
      </c>
      <c r="B637" s="12">
        <v>0.4909722222222222</v>
      </c>
      <c r="C637" s="13" t="str">
        <f>"FES1162727282"</f>
        <v>FES1162727282</v>
      </c>
      <c r="D637" s="13" t="s">
        <v>19</v>
      </c>
      <c r="E637" s="13" t="s">
        <v>347</v>
      </c>
      <c r="F637" s="13" t="str">
        <f>"2170720776 "</f>
        <v xml:space="preserve">2170720776 </v>
      </c>
      <c r="G637" s="13" t="str">
        <f t="shared" si="21"/>
        <v>ON1</v>
      </c>
      <c r="H637" s="13" t="s">
        <v>21</v>
      </c>
      <c r="I637" s="13" t="s">
        <v>220</v>
      </c>
      <c r="J637" s="13" t="str">
        <f>""</f>
        <v/>
      </c>
      <c r="K637" s="13" t="str">
        <f>"PFES1162727282_0001"</f>
        <v>PFES1162727282_0001</v>
      </c>
      <c r="L637" s="13">
        <v>1</v>
      </c>
      <c r="M637" s="13">
        <v>1</v>
      </c>
    </row>
    <row r="638" spans="1:13" s="14" customFormat="1" ht="11.25">
      <c r="A638" s="11">
        <v>43808</v>
      </c>
      <c r="B638" s="12">
        <v>0.48958333333333331</v>
      </c>
      <c r="C638" s="13" t="str">
        <f>"FES1162727270"</f>
        <v>FES1162727270</v>
      </c>
      <c r="D638" s="13" t="s">
        <v>19</v>
      </c>
      <c r="E638" s="13" t="s">
        <v>449</v>
      </c>
      <c r="F638" s="13" t="str">
        <f>"2170720763 "</f>
        <v xml:space="preserve">2170720763 </v>
      </c>
      <c r="G638" s="13" t="str">
        <f t="shared" si="21"/>
        <v>ON1</v>
      </c>
      <c r="H638" s="13" t="s">
        <v>21</v>
      </c>
      <c r="I638" s="13" t="s">
        <v>231</v>
      </c>
      <c r="J638" s="13" t="str">
        <f>""</f>
        <v/>
      </c>
      <c r="K638" s="13" t="str">
        <f>"PFES1162727270_0001"</f>
        <v>PFES1162727270_0001</v>
      </c>
      <c r="L638" s="13">
        <v>1</v>
      </c>
      <c r="M638" s="13">
        <v>1</v>
      </c>
    </row>
    <row r="639" spans="1:13" s="14" customFormat="1" ht="11.25">
      <c r="A639" s="11">
        <v>43808</v>
      </c>
      <c r="B639" s="12">
        <v>0.48888888888888887</v>
      </c>
      <c r="C639" s="13" t="str">
        <f>"FES1162727125"</f>
        <v>FES1162727125</v>
      </c>
      <c r="D639" s="13" t="s">
        <v>19</v>
      </c>
      <c r="E639" s="13" t="s">
        <v>470</v>
      </c>
      <c r="F639" s="13" t="str">
        <f>"2170720594 "</f>
        <v xml:space="preserve">2170720594 </v>
      </c>
      <c r="G639" s="13" t="str">
        <f t="shared" si="21"/>
        <v>ON1</v>
      </c>
      <c r="H639" s="13" t="s">
        <v>21</v>
      </c>
      <c r="I639" s="13" t="s">
        <v>204</v>
      </c>
      <c r="J639" s="13" t="str">
        <f>""</f>
        <v/>
      </c>
      <c r="K639" s="13" t="str">
        <f>"PFES1162727125_0001"</f>
        <v>PFES1162727125_0001</v>
      </c>
      <c r="L639" s="13">
        <v>1</v>
      </c>
      <c r="M639" s="13">
        <v>1.2</v>
      </c>
    </row>
    <row r="640" spans="1:13" s="14" customFormat="1" ht="11.25">
      <c r="A640" s="11">
        <v>43808</v>
      </c>
      <c r="B640" s="12">
        <v>0.48819444444444443</v>
      </c>
      <c r="C640" s="13" t="str">
        <f>"FES1162727230"</f>
        <v>FES1162727230</v>
      </c>
      <c r="D640" s="13" t="s">
        <v>19</v>
      </c>
      <c r="E640" s="13" t="s">
        <v>373</v>
      </c>
      <c r="F640" s="13" t="str">
        <f>"2170720718 "</f>
        <v xml:space="preserve">2170720718 </v>
      </c>
      <c r="G640" s="13" t="str">
        <f t="shared" si="21"/>
        <v>ON1</v>
      </c>
      <c r="H640" s="13" t="s">
        <v>21</v>
      </c>
      <c r="I640" s="13" t="s">
        <v>374</v>
      </c>
      <c r="J640" s="13" t="str">
        <f>""</f>
        <v/>
      </c>
      <c r="K640" s="13" t="str">
        <f>"PFES1162727230_0001"</f>
        <v>PFES1162727230_0001</v>
      </c>
      <c r="L640" s="13">
        <v>1</v>
      </c>
      <c r="M640" s="13">
        <v>1</v>
      </c>
    </row>
    <row r="641" spans="1:13" s="14" customFormat="1" ht="11.25">
      <c r="A641" s="11">
        <v>43808</v>
      </c>
      <c r="B641" s="12">
        <v>0.48680555555555555</v>
      </c>
      <c r="C641" s="13" t="str">
        <f>"FES1162727227"</f>
        <v>FES1162727227</v>
      </c>
      <c r="D641" s="13" t="s">
        <v>19</v>
      </c>
      <c r="E641" s="13" t="s">
        <v>221</v>
      </c>
      <c r="F641" s="13" t="str">
        <f>"2170720714 "</f>
        <v xml:space="preserve">2170720714 </v>
      </c>
      <c r="G641" s="13" t="str">
        <f t="shared" si="21"/>
        <v>ON1</v>
      </c>
      <c r="H641" s="13" t="s">
        <v>21</v>
      </c>
      <c r="I641" s="13" t="s">
        <v>56</v>
      </c>
      <c r="J641" s="13" t="str">
        <f>""</f>
        <v/>
      </c>
      <c r="K641" s="13" t="str">
        <f>"PFES1162727227_0001"</f>
        <v>PFES1162727227_0001</v>
      </c>
      <c r="L641" s="13">
        <v>1</v>
      </c>
      <c r="M641" s="13">
        <v>1</v>
      </c>
    </row>
    <row r="642" spans="1:13" s="14" customFormat="1" ht="11.25">
      <c r="A642" s="11">
        <v>43808</v>
      </c>
      <c r="B642" s="12">
        <v>0.4861111111111111</v>
      </c>
      <c r="C642" s="13" t="str">
        <f>"FES1162727249"</f>
        <v>FES1162727249</v>
      </c>
      <c r="D642" s="13" t="s">
        <v>19</v>
      </c>
      <c r="E642" s="13" t="s">
        <v>221</v>
      </c>
      <c r="F642" s="13" t="str">
        <f>"2170719958 "</f>
        <v xml:space="preserve">2170719958 </v>
      </c>
      <c r="G642" s="13" t="str">
        <f t="shared" si="21"/>
        <v>ON1</v>
      </c>
      <c r="H642" s="13" t="s">
        <v>21</v>
      </c>
      <c r="I642" s="13" t="s">
        <v>56</v>
      </c>
      <c r="J642" s="13" t="str">
        <f>""</f>
        <v/>
      </c>
      <c r="K642" s="13" t="str">
        <f>"PFES1162727249_0001"</f>
        <v>PFES1162727249_0001</v>
      </c>
      <c r="L642" s="13">
        <v>1</v>
      </c>
      <c r="M642" s="13">
        <v>1</v>
      </c>
    </row>
    <row r="643" spans="1:13" s="14" customFormat="1" ht="11.25">
      <c r="A643" s="11">
        <v>43808</v>
      </c>
      <c r="B643" s="12">
        <v>0.48541666666666666</v>
      </c>
      <c r="C643" s="13" t="str">
        <f>"FES1162727138"</f>
        <v>FES1162727138</v>
      </c>
      <c r="D643" s="13" t="s">
        <v>19</v>
      </c>
      <c r="E643" s="13" t="s">
        <v>495</v>
      </c>
      <c r="F643" s="13" t="str">
        <f>"2170720607 "</f>
        <v xml:space="preserve">2170720607 </v>
      </c>
      <c r="G643" s="13" t="str">
        <f t="shared" si="21"/>
        <v>ON1</v>
      </c>
      <c r="H643" s="13" t="s">
        <v>21</v>
      </c>
      <c r="I643" s="13" t="s">
        <v>130</v>
      </c>
      <c r="J643" s="13" t="str">
        <f>""</f>
        <v/>
      </c>
      <c r="K643" s="13" t="str">
        <f>"PFES1162727138_0001"</f>
        <v>PFES1162727138_0001</v>
      </c>
      <c r="L643" s="13">
        <v>1</v>
      </c>
      <c r="M643" s="13">
        <v>1</v>
      </c>
    </row>
    <row r="644" spans="1:13" s="14" customFormat="1" ht="11.25">
      <c r="A644" s="11">
        <v>43808</v>
      </c>
      <c r="B644" s="12">
        <v>0.48472222222222222</v>
      </c>
      <c r="C644" s="13" t="str">
        <f>"FES1162727133"</f>
        <v>FES1162727133</v>
      </c>
      <c r="D644" s="13" t="s">
        <v>19</v>
      </c>
      <c r="E644" s="13" t="s">
        <v>107</v>
      </c>
      <c r="F644" s="13" t="str">
        <f>"2170720601 "</f>
        <v xml:space="preserve">2170720601 </v>
      </c>
      <c r="G644" s="13" t="str">
        <f t="shared" si="21"/>
        <v>ON1</v>
      </c>
      <c r="H644" s="13" t="s">
        <v>21</v>
      </c>
      <c r="I644" s="13" t="s">
        <v>56</v>
      </c>
      <c r="J644" s="13" t="str">
        <f>""</f>
        <v/>
      </c>
      <c r="K644" s="13" t="str">
        <f>"PFES1162727133_0001"</f>
        <v>PFES1162727133_0001</v>
      </c>
      <c r="L644" s="13">
        <v>1</v>
      </c>
      <c r="M644" s="13">
        <v>1</v>
      </c>
    </row>
    <row r="645" spans="1:13" s="14" customFormat="1" ht="11.25">
      <c r="A645" s="11">
        <v>43808</v>
      </c>
      <c r="B645" s="12">
        <v>0.48333333333333334</v>
      </c>
      <c r="C645" s="13" t="str">
        <f>"FES1162727141"</f>
        <v>FES1162727141</v>
      </c>
      <c r="D645" s="13" t="s">
        <v>19</v>
      </c>
      <c r="E645" s="13" t="s">
        <v>373</v>
      </c>
      <c r="F645" s="13" t="str">
        <f>"2170720610 "</f>
        <v xml:space="preserve">2170720610 </v>
      </c>
      <c r="G645" s="13" t="str">
        <f t="shared" si="21"/>
        <v>ON1</v>
      </c>
      <c r="H645" s="13" t="s">
        <v>21</v>
      </c>
      <c r="I645" s="13" t="s">
        <v>374</v>
      </c>
      <c r="J645" s="13" t="str">
        <f>""</f>
        <v/>
      </c>
      <c r="K645" s="13" t="str">
        <f>"PFES1162727141_0001"</f>
        <v>PFES1162727141_0001</v>
      </c>
      <c r="L645" s="13">
        <v>1</v>
      </c>
      <c r="M645" s="13">
        <v>1</v>
      </c>
    </row>
    <row r="646" spans="1:13" s="14" customFormat="1" ht="11.25">
      <c r="A646" s="11">
        <v>43808</v>
      </c>
      <c r="B646" s="12">
        <v>0.48194444444444445</v>
      </c>
      <c r="C646" s="13" t="str">
        <f>"FES1162727182"</f>
        <v>FES1162727182</v>
      </c>
      <c r="D646" s="13" t="s">
        <v>19</v>
      </c>
      <c r="E646" s="13" t="s">
        <v>239</v>
      </c>
      <c r="F646" s="13" t="str">
        <f>"2170720657 "</f>
        <v xml:space="preserve">2170720657 </v>
      </c>
      <c r="G646" s="13" t="str">
        <f t="shared" si="21"/>
        <v>ON1</v>
      </c>
      <c r="H646" s="13" t="s">
        <v>21</v>
      </c>
      <c r="I646" s="13" t="s">
        <v>76</v>
      </c>
      <c r="J646" s="13" t="str">
        <f>""</f>
        <v/>
      </c>
      <c r="K646" s="13" t="str">
        <f>"PFES1162727182_0001"</f>
        <v>PFES1162727182_0001</v>
      </c>
      <c r="L646" s="13">
        <v>1</v>
      </c>
      <c r="M646" s="13">
        <v>1</v>
      </c>
    </row>
    <row r="647" spans="1:13" s="14" customFormat="1" ht="11.25">
      <c r="A647" s="11">
        <v>43808</v>
      </c>
      <c r="B647" s="12">
        <v>0.48125000000000001</v>
      </c>
      <c r="C647" s="13" t="str">
        <f>"FES1162727246"</f>
        <v>FES1162727246</v>
      </c>
      <c r="D647" s="13" t="s">
        <v>19</v>
      </c>
      <c r="E647" s="13" t="s">
        <v>496</v>
      </c>
      <c r="F647" s="13" t="str">
        <f>"2170720737 "</f>
        <v xml:space="preserve">2170720737 </v>
      </c>
      <c r="G647" s="13" t="str">
        <f t="shared" si="21"/>
        <v>ON1</v>
      </c>
      <c r="H647" s="13" t="s">
        <v>21</v>
      </c>
      <c r="I647" s="13" t="s">
        <v>31</v>
      </c>
      <c r="J647" s="13" t="str">
        <f>""</f>
        <v/>
      </c>
      <c r="K647" s="13" t="str">
        <f>"PFES1162727246_0001"</f>
        <v>PFES1162727246_0001</v>
      </c>
      <c r="L647" s="13">
        <v>1</v>
      </c>
      <c r="M647" s="13">
        <v>2</v>
      </c>
    </row>
    <row r="648" spans="1:13" s="14" customFormat="1" ht="11.25">
      <c r="A648" s="11">
        <v>43808</v>
      </c>
      <c r="B648" s="12">
        <v>0.48055555555555557</v>
      </c>
      <c r="C648" s="13" t="str">
        <f>"FES1162727292"</f>
        <v>FES1162727292</v>
      </c>
      <c r="D648" s="13" t="s">
        <v>19</v>
      </c>
      <c r="E648" s="13" t="s">
        <v>497</v>
      </c>
      <c r="F648" s="13" t="str">
        <f>"2170718408 "</f>
        <v xml:space="preserve">2170718408 </v>
      </c>
      <c r="G648" s="13" t="str">
        <f t="shared" si="21"/>
        <v>ON1</v>
      </c>
      <c r="H648" s="13" t="s">
        <v>21</v>
      </c>
      <c r="I648" s="13" t="s">
        <v>498</v>
      </c>
      <c r="J648" s="13" t="str">
        <f>""</f>
        <v/>
      </c>
      <c r="K648" s="13" t="str">
        <f>"PFES1162727292_0001"</f>
        <v>PFES1162727292_0001</v>
      </c>
      <c r="L648" s="13">
        <v>1</v>
      </c>
      <c r="M648" s="13">
        <v>1</v>
      </c>
    </row>
    <row r="649" spans="1:13" s="14" customFormat="1" ht="11.25">
      <c r="A649" s="11">
        <v>43808</v>
      </c>
      <c r="B649" s="12">
        <v>0.47916666666666669</v>
      </c>
      <c r="C649" s="13" t="str">
        <f>"FES1162727314"</f>
        <v>FES1162727314</v>
      </c>
      <c r="D649" s="13" t="s">
        <v>19</v>
      </c>
      <c r="E649" s="13" t="s">
        <v>44</v>
      </c>
      <c r="F649" s="13" t="str">
        <f>"2170720794 "</f>
        <v xml:space="preserve">2170720794 </v>
      </c>
      <c r="G649" s="13" t="str">
        <f t="shared" si="21"/>
        <v>ON1</v>
      </c>
      <c r="H649" s="13" t="s">
        <v>21</v>
      </c>
      <c r="I649" s="13" t="s">
        <v>45</v>
      </c>
      <c r="J649" s="13" t="str">
        <f>""</f>
        <v/>
      </c>
      <c r="K649" s="13" t="str">
        <f>"PFES1162727314_0001"</f>
        <v>PFES1162727314_0001</v>
      </c>
      <c r="L649" s="13">
        <v>1</v>
      </c>
      <c r="M649" s="13">
        <v>14</v>
      </c>
    </row>
    <row r="650" spans="1:13" s="14" customFormat="1" ht="11.25">
      <c r="A650" s="11">
        <v>43808</v>
      </c>
      <c r="B650" s="12">
        <v>0.47847222222222219</v>
      </c>
      <c r="C650" s="13" t="str">
        <f>"FES1162727289"</f>
        <v>FES1162727289</v>
      </c>
      <c r="D650" s="13" t="s">
        <v>19</v>
      </c>
      <c r="E650" s="13" t="s">
        <v>101</v>
      </c>
      <c r="F650" s="13" t="str">
        <f>"2170717835 "</f>
        <v xml:space="preserve">2170717835 </v>
      </c>
      <c r="G650" s="13" t="str">
        <f t="shared" si="21"/>
        <v>ON1</v>
      </c>
      <c r="H650" s="13" t="s">
        <v>21</v>
      </c>
      <c r="I650" s="13" t="s">
        <v>102</v>
      </c>
      <c r="J650" s="13" t="str">
        <f>""</f>
        <v/>
      </c>
      <c r="K650" s="13" t="str">
        <f>"PFES1162727289_0001"</f>
        <v>PFES1162727289_0001</v>
      </c>
      <c r="L650" s="13">
        <v>1</v>
      </c>
      <c r="M650" s="13">
        <v>9</v>
      </c>
    </row>
    <row r="651" spans="1:13" s="14" customFormat="1" ht="11.25">
      <c r="A651" s="11">
        <v>43808</v>
      </c>
      <c r="B651" s="12">
        <v>0.47847222222222219</v>
      </c>
      <c r="C651" s="13" t="str">
        <f>"FES1162727301"</f>
        <v>FES1162727301</v>
      </c>
      <c r="D651" s="13" t="s">
        <v>19</v>
      </c>
      <c r="E651" s="13" t="s">
        <v>258</v>
      </c>
      <c r="F651" s="13" t="str">
        <f>"2170720592 "</f>
        <v xml:space="preserve">2170720592 </v>
      </c>
      <c r="G651" s="13" t="str">
        <f t="shared" si="21"/>
        <v>ON1</v>
      </c>
      <c r="H651" s="13" t="s">
        <v>21</v>
      </c>
      <c r="I651" s="13" t="s">
        <v>257</v>
      </c>
      <c r="J651" s="13" t="str">
        <f>""</f>
        <v/>
      </c>
      <c r="K651" s="13" t="str">
        <f>"PFES1162727301_0001"</f>
        <v>PFES1162727301_0001</v>
      </c>
      <c r="L651" s="13">
        <v>1</v>
      </c>
      <c r="M651" s="13">
        <v>1</v>
      </c>
    </row>
    <row r="652" spans="1:13" s="14" customFormat="1" ht="11.25">
      <c r="A652" s="11">
        <v>43808</v>
      </c>
      <c r="B652" s="12">
        <v>0.47847222222222219</v>
      </c>
      <c r="C652" s="13" t="str">
        <f>"FES1162727262"</f>
        <v>FES1162727262</v>
      </c>
      <c r="D652" s="13" t="s">
        <v>19</v>
      </c>
      <c r="E652" s="13" t="s">
        <v>293</v>
      </c>
      <c r="F652" s="13" t="str">
        <f>"2170720751 "</f>
        <v xml:space="preserve">2170720751 </v>
      </c>
      <c r="G652" s="13" t="str">
        <f t="shared" si="21"/>
        <v>ON1</v>
      </c>
      <c r="H652" s="13" t="s">
        <v>21</v>
      </c>
      <c r="I652" s="13" t="s">
        <v>294</v>
      </c>
      <c r="J652" s="13" t="str">
        <f>""</f>
        <v/>
      </c>
      <c r="K652" s="13" t="str">
        <f>"PFES1162727262_0001"</f>
        <v>PFES1162727262_0001</v>
      </c>
      <c r="L652" s="13">
        <v>1</v>
      </c>
      <c r="M652" s="13">
        <v>5</v>
      </c>
    </row>
    <row r="653" spans="1:13" s="14" customFormat="1" ht="11.25">
      <c r="A653" s="11">
        <v>43808</v>
      </c>
      <c r="B653" s="12">
        <v>0.4777777777777778</v>
      </c>
      <c r="C653" s="13" t="str">
        <f>"FES1162727319"</f>
        <v>FES1162727319</v>
      </c>
      <c r="D653" s="13" t="s">
        <v>19</v>
      </c>
      <c r="E653" s="13" t="s">
        <v>198</v>
      </c>
      <c r="F653" s="13" t="str">
        <f>"217071762 "</f>
        <v xml:space="preserve">217071762 </v>
      </c>
      <c r="G653" s="13" t="str">
        <f t="shared" si="21"/>
        <v>ON1</v>
      </c>
      <c r="H653" s="13" t="s">
        <v>21</v>
      </c>
      <c r="I653" s="13" t="s">
        <v>288</v>
      </c>
      <c r="J653" s="13" t="str">
        <f>""</f>
        <v/>
      </c>
      <c r="K653" s="13" t="str">
        <f>"PFES1162727319_0001"</f>
        <v>PFES1162727319_0001</v>
      </c>
      <c r="L653" s="13">
        <v>1</v>
      </c>
      <c r="M653" s="13">
        <v>2</v>
      </c>
    </row>
    <row r="654" spans="1:13" s="14" customFormat="1" ht="11.25">
      <c r="A654" s="11">
        <v>43808</v>
      </c>
      <c r="B654" s="12">
        <v>0.4770833333333333</v>
      </c>
      <c r="C654" s="13" t="str">
        <f>"FES1162727081"</f>
        <v>FES1162727081</v>
      </c>
      <c r="D654" s="13" t="s">
        <v>19</v>
      </c>
      <c r="E654" s="13" t="s">
        <v>499</v>
      </c>
      <c r="F654" s="13" t="str">
        <f>"2170718643 "</f>
        <v xml:space="preserve">2170718643 </v>
      </c>
      <c r="G654" s="13" t="str">
        <f t="shared" si="21"/>
        <v>ON1</v>
      </c>
      <c r="H654" s="13" t="s">
        <v>21</v>
      </c>
      <c r="I654" s="13" t="s">
        <v>408</v>
      </c>
      <c r="J654" s="13" t="str">
        <f>""</f>
        <v/>
      </c>
      <c r="K654" s="13" t="str">
        <f>"PFES1162727081_0001"</f>
        <v>PFES1162727081_0001</v>
      </c>
      <c r="L654" s="13">
        <v>1</v>
      </c>
      <c r="M654" s="13">
        <v>1</v>
      </c>
    </row>
    <row r="655" spans="1:13" s="14" customFormat="1" ht="11.25">
      <c r="A655" s="11">
        <v>43808</v>
      </c>
      <c r="B655" s="12">
        <v>0.4770833333333333</v>
      </c>
      <c r="C655" s="13" t="str">
        <f>"FES1162727280"</f>
        <v>FES1162727280</v>
      </c>
      <c r="D655" s="13" t="s">
        <v>19</v>
      </c>
      <c r="E655" s="13" t="s">
        <v>57</v>
      </c>
      <c r="F655" s="13" t="str">
        <f>"2170720775 "</f>
        <v xml:space="preserve">2170720775 </v>
      </c>
      <c r="G655" s="13" t="str">
        <f t="shared" si="21"/>
        <v>ON1</v>
      </c>
      <c r="H655" s="13" t="s">
        <v>21</v>
      </c>
      <c r="I655" s="13" t="s">
        <v>58</v>
      </c>
      <c r="J655" s="13" t="str">
        <f>""</f>
        <v/>
      </c>
      <c r="K655" s="13" t="str">
        <f>"PFES1162727280_0001"</f>
        <v>PFES1162727280_0001</v>
      </c>
      <c r="L655" s="13">
        <v>1</v>
      </c>
      <c r="M655" s="13">
        <v>1</v>
      </c>
    </row>
    <row r="656" spans="1:13" s="14" customFormat="1" ht="11.25">
      <c r="A656" s="11">
        <v>43808</v>
      </c>
      <c r="B656" s="12">
        <v>0.47638888888888892</v>
      </c>
      <c r="C656" s="13" t="str">
        <f>"FES1162727212"</f>
        <v>FES1162727212</v>
      </c>
      <c r="D656" s="13" t="s">
        <v>19</v>
      </c>
      <c r="E656" s="13" t="s">
        <v>500</v>
      </c>
      <c r="F656" s="13" t="str">
        <f>"2170720691 "</f>
        <v xml:space="preserve">2170720691 </v>
      </c>
      <c r="G656" s="13" t="str">
        <f t="shared" si="21"/>
        <v>ON1</v>
      </c>
      <c r="H656" s="13" t="s">
        <v>21</v>
      </c>
      <c r="I656" s="13" t="s">
        <v>501</v>
      </c>
      <c r="J656" s="13" t="str">
        <f>""</f>
        <v/>
      </c>
      <c r="K656" s="13" t="str">
        <f>"PFES1162727212_0001"</f>
        <v>PFES1162727212_0001</v>
      </c>
      <c r="L656" s="13">
        <v>1</v>
      </c>
      <c r="M656" s="13">
        <v>5</v>
      </c>
    </row>
    <row r="657" spans="1:13" s="14" customFormat="1" ht="11.25">
      <c r="A657" s="11">
        <v>43808</v>
      </c>
      <c r="B657" s="12">
        <v>0.47569444444444442</v>
      </c>
      <c r="C657" s="13" t="str">
        <f>"FES1162727295"</f>
        <v>FES1162727295</v>
      </c>
      <c r="D657" s="13" t="s">
        <v>19</v>
      </c>
      <c r="E657" s="13" t="s">
        <v>502</v>
      </c>
      <c r="F657" s="13" t="str">
        <f>"2170719325 "</f>
        <v xml:space="preserve">2170719325 </v>
      </c>
      <c r="G657" s="13" t="str">
        <f t="shared" si="21"/>
        <v>ON1</v>
      </c>
      <c r="H657" s="13" t="s">
        <v>21</v>
      </c>
      <c r="I657" s="13" t="s">
        <v>119</v>
      </c>
      <c r="J657" s="13" t="str">
        <f>""</f>
        <v/>
      </c>
      <c r="K657" s="13" t="str">
        <f>"PFES1162727295_0001"</f>
        <v>PFES1162727295_0001</v>
      </c>
      <c r="L657" s="13">
        <v>1</v>
      </c>
      <c r="M657" s="13">
        <v>1</v>
      </c>
    </row>
    <row r="658" spans="1:13" s="14" customFormat="1" ht="11.25">
      <c r="A658" s="11">
        <v>43808</v>
      </c>
      <c r="B658" s="12">
        <v>0.47569444444444442</v>
      </c>
      <c r="C658" s="13" t="str">
        <f>"FES1162727290"</f>
        <v>FES1162727290</v>
      </c>
      <c r="D658" s="13" t="s">
        <v>19</v>
      </c>
      <c r="E658" s="13" t="s">
        <v>503</v>
      </c>
      <c r="F658" s="13" t="str">
        <f>"2170718117 "</f>
        <v xml:space="preserve">2170718117 </v>
      </c>
      <c r="G658" s="13" t="str">
        <f t="shared" si="21"/>
        <v>ON1</v>
      </c>
      <c r="H658" s="13" t="s">
        <v>21</v>
      </c>
      <c r="I658" s="13" t="s">
        <v>504</v>
      </c>
      <c r="J658" s="13" t="str">
        <f>""</f>
        <v/>
      </c>
      <c r="K658" s="13" t="str">
        <f>"PFES1162727290_0001"</f>
        <v>PFES1162727290_0001</v>
      </c>
      <c r="L658" s="13">
        <v>1</v>
      </c>
      <c r="M658" s="13">
        <v>2</v>
      </c>
    </row>
    <row r="659" spans="1:13" s="14" customFormat="1" ht="11.25">
      <c r="A659" s="11">
        <v>43808</v>
      </c>
      <c r="B659" s="12">
        <v>0.47500000000000003</v>
      </c>
      <c r="C659" s="13" t="str">
        <f>"FES1162727274"</f>
        <v>FES1162727274</v>
      </c>
      <c r="D659" s="13" t="s">
        <v>19</v>
      </c>
      <c r="E659" s="13" t="s">
        <v>24</v>
      </c>
      <c r="F659" s="13" t="str">
        <f>"2170710766 "</f>
        <v xml:space="preserve">2170710766 </v>
      </c>
      <c r="G659" s="13" t="str">
        <f t="shared" si="21"/>
        <v>ON1</v>
      </c>
      <c r="H659" s="13" t="s">
        <v>21</v>
      </c>
      <c r="I659" s="13" t="s">
        <v>25</v>
      </c>
      <c r="J659" s="13" t="str">
        <f>""</f>
        <v/>
      </c>
      <c r="K659" s="13" t="str">
        <f>"PFES1162727274_0001"</f>
        <v>PFES1162727274_0001</v>
      </c>
      <c r="L659" s="13">
        <v>1</v>
      </c>
      <c r="M659" s="13">
        <v>3</v>
      </c>
    </row>
    <row r="660" spans="1:13" s="14" customFormat="1" ht="11.25">
      <c r="A660" s="11">
        <v>43808</v>
      </c>
      <c r="B660" s="12">
        <v>0.47500000000000003</v>
      </c>
      <c r="C660" s="13" t="str">
        <f>"FES1162727300"</f>
        <v>FES1162727300</v>
      </c>
      <c r="D660" s="13" t="s">
        <v>19</v>
      </c>
      <c r="E660" s="13" t="s">
        <v>505</v>
      </c>
      <c r="F660" s="13" t="str">
        <f>"2170720269 "</f>
        <v xml:space="preserve">2170720269 </v>
      </c>
      <c r="G660" s="13" t="str">
        <f t="shared" si="21"/>
        <v>ON1</v>
      </c>
      <c r="H660" s="13" t="s">
        <v>21</v>
      </c>
      <c r="I660" s="13" t="s">
        <v>506</v>
      </c>
      <c r="J660" s="13" t="str">
        <f>""</f>
        <v/>
      </c>
      <c r="K660" s="13" t="str">
        <f>"PFES1162727300_0001"</f>
        <v>PFES1162727300_0001</v>
      </c>
      <c r="L660" s="13">
        <v>1</v>
      </c>
      <c r="M660" s="13">
        <v>1</v>
      </c>
    </row>
    <row r="661" spans="1:13" s="14" customFormat="1" ht="11.25">
      <c r="A661" s="11">
        <v>43808</v>
      </c>
      <c r="B661" s="12">
        <v>0.47500000000000003</v>
      </c>
      <c r="C661" s="13" t="str">
        <f>"FES1162726360"</f>
        <v>FES1162726360</v>
      </c>
      <c r="D661" s="13" t="s">
        <v>19</v>
      </c>
      <c r="E661" s="13" t="s">
        <v>84</v>
      </c>
      <c r="F661" s="13" t="str">
        <f>"2170717961 "</f>
        <v xml:space="preserve">2170717961 </v>
      </c>
      <c r="G661" s="13" t="str">
        <f t="shared" si="21"/>
        <v>ON1</v>
      </c>
      <c r="H661" s="13" t="s">
        <v>21</v>
      </c>
      <c r="I661" s="13" t="s">
        <v>85</v>
      </c>
      <c r="J661" s="13" t="str">
        <f>""</f>
        <v/>
      </c>
      <c r="K661" s="13" t="str">
        <f>"PFES1162726360_0001"</f>
        <v>PFES1162726360_0001</v>
      </c>
      <c r="L661" s="13">
        <v>1</v>
      </c>
      <c r="M661" s="13">
        <v>9</v>
      </c>
    </row>
    <row r="662" spans="1:13" s="14" customFormat="1" ht="11.25">
      <c r="A662" s="11">
        <v>43808</v>
      </c>
      <c r="B662" s="12">
        <v>0.47430555555555554</v>
      </c>
      <c r="C662" s="13" t="str">
        <f>"FES1162727198"</f>
        <v>FES1162727198</v>
      </c>
      <c r="D662" s="13" t="s">
        <v>19</v>
      </c>
      <c r="E662" s="13" t="s">
        <v>24</v>
      </c>
      <c r="F662" s="13" t="str">
        <f>"21707120675 "</f>
        <v xml:space="preserve">21707120675 </v>
      </c>
      <c r="G662" s="13" t="str">
        <f t="shared" si="21"/>
        <v>ON1</v>
      </c>
      <c r="H662" s="13" t="s">
        <v>21</v>
      </c>
      <c r="I662" s="13" t="s">
        <v>25</v>
      </c>
      <c r="J662" s="13" t="str">
        <f>""</f>
        <v/>
      </c>
      <c r="K662" s="13" t="str">
        <f>"PFES1162727198_0001"</f>
        <v>PFES1162727198_0001</v>
      </c>
      <c r="L662" s="13">
        <v>1</v>
      </c>
      <c r="M662" s="13">
        <v>18</v>
      </c>
    </row>
    <row r="663" spans="1:13" s="14" customFormat="1" ht="11.25">
      <c r="A663" s="11">
        <v>43808</v>
      </c>
      <c r="B663" s="12">
        <v>0.47430555555555554</v>
      </c>
      <c r="C663" s="13" t="str">
        <f>"FES1162727313"</f>
        <v>FES1162727313</v>
      </c>
      <c r="D663" s="13" t="s">
        <v>19</v>
      </c>
      <c r="E663" s="13" t="s">
        <v>258</v>
      </c>
      <c r="F663" s="13" t="str">
        <f>"2170720793 "</f>
        <v xml:space="preserve">2170720793 </v>
      </c>
      <c r="G663" s="13" t="str">
        <f t="shared" si="21"/>
        <v>ON1</v>
      </c>
      <c r="H663" s="13" t="s">
        <v>21</v>
      </c>
      <c r="I663" s="13" t="s">
        <v>257</v>
      </c>
      <c r="J663" s="13" t="str">
        <f>""</f>
        <v/>
      </c>
      <c r="K663" s="13" t="str">
        <f>"PFES1162727313_0001"</f>
        <v>PFES1162727313_0001</v>
      </c>
      <c r="L663" s="13">
        <v>1</v>
      </c>
      <c r="M663" s="13">
        <v>1</v>
      </c>
    </row>
    <row r="664" spans="1:13" s="14" customFormat="1" ht="11.25">
      <c r="A664" s="11">
        <v>43808</v>
      </c>
      <c r="B664" s="12">
        <v>0.47430555555555554</v>
      </c>
      <c r="C664" s="13" t="str">
        <f>"FES1162727349"</f>
        <v>FES1162727349</v>
      </c>
      <c r="D664" s="13" t="s">
        <v>19</v>
      </c>
      <c r="E664" s="13" t="s">
        <v>59</v>
      </c>
      <c r="F664" s="13" t="str">
        <f>"21707120828 "</f>
        <v xml:space="preserve">21707120828 </v>
      </c>
      <c r="G664" s="13" t="str">
        <f t="shared" si="21"/>
        <v>ON1</v>
      </c>
      <c r="H664" s="13" t="s">
        <v>21</v>
      </c>
      <c r="I664" s="13" t="s">
        <v>60</v>
      </c>
      <c r="J664" s="13" t="str">
        <f>""</f>
        <v/>
      </c>
      <c r="K664" s="13" t="str">
        <f>"PFES1162727349_0001"</f>
        <v>PFES1162727349_0001</v>
      </c>
      <c r="L664" s="13">
        <v>1</v>
      </c>
      <c r="M664" s="13">
        <v>4</v>
      </c>
    </row>
    <row r="665" spans="1:13" s="14" customFormat="1" ht="11.25">
      <c r="A665" s="11">
        <v>43808</v>
      </c>
      <c r="B665" s="12">
        <v>0.47361111111111115</v>
      </c>
      <c r="C665" s="13" t="str">
        <f>"FES1162727268"</f>
        <v>FES1162727268</v>
      </c>
      <c r="D665" s="13" t="s">
        <v>19</v>
      </c>
      <c r="E665" s="13" t="s">
        <v>350</v>
      </c>
      <c r="F665" s="13" t="str">
        <f>"2170720758 "</f>
        <v xml:space="preserve">2170720758 </v>
      </c>
      <c r="G665" s="13" t="str">
        <f t="shared" si="21"/>
        <v>ON1</v>
      </c>
      <c r="H665" s="13" t="s">
        <v>21</v>
      </c>
      <c r="I665" s="13" t="s">
        <v>197</v>
      </c>
      <c r="J665" s="13" t="str">
        <f>""</f>
        <v/>
      </c>
      <c r="K665" s="13" t="str">
        <f>"PFES1162727268_0001"</f>
        <v>PFES1162727268_0001</v>
      </c>
      <c r="L665" s="13">
        <v>1</v>
      </c>
      <c r="M665" s="13">
        <v>8</v>
      </c>
    </row>
    <row r="666" spans="1:13" s="14" customFormat="1" ht="11.25">
      <c r="A666" s="11">
        <v>43808</v>
      </c>
      <c r="B666" s="12">
        <v>0.47291666666666665</v>
      </c>
      <c r="C666" s="13" t="str">
        <f>"FES1162727341"</f>
        <v>FES1162727341</v>
      </c>
      <c r="D666" s="13" t="s">
        <v>19</v>
      </c>
      <c r="E666" s="13" t="s">
        <v>507</v>
      </c>
      <c r="F666" s="13" t="str">
        <f>"2170720377 "</f>
        <v xml:space="preserve">2170720377 </v>
      </c>
      <c r="G666" s="13" t="str">
        <f t="shared" si="21"/>
        <v>ON1</v>
      </c>
      <c r="H666" s="13" t="s">
        <v>21</v>
      </c>
      <c r="I666" s="13" t="s">
        <v>508</v>
      </c>
      <c r="J666" s="13" t="str">
        <f>""</f>
        <v/>
      </c>
      <c r="K666" s="13" t="str">
        <f>"PFES1162727341_0001"</f>
        <v>PFES1162727341_0001</v>
      </c>
      <c r="L666" s="13">
        <v>1</v>
      </c>
      <c r="M666" s="13">
        <v>8</v>
      </c>
    </row>
    <row r="667" spans="1:13" s="14" customFormat="1" ht="11.25">
      <c r="A667" s="11">
        <v>43808</v>
      </c>
      <c r="B667" s="12">
        <v>0.45347222222222222</v>
      </c>
      <c r="C667" s="13" t="str">
        <f>"FES1162727206"</f>
        <v>FES1162727206</v>
      </c>
      <c r="D667" s="13" t="s">
        <v>19</v>
      </c>
      <c r="E667" s="13" t="s">
        <v>142</v>
      </c>
      <c r="F667" s="13" t="str">
        <f>"21707120682 "</f>
        <v xml:space="preserve">21707120682 </v>
      </c>
      <c r="G667" s="13" t="str">
        <f t="shared" si="21"/>
        <v>ON1</v>
      </c>
      <c r="H667" s="13" t="s">
        <v>21</v>
      </c>
      <c r="I667" s="13" t="s">
        <v>37</v>
      </c>
      <c r="J667" s="13" t="str">
        <f>""</f>
        <v/>
      </c>
      <c r="K667" s="13" t="str">
        <f>"PFES1162727206_0001"</f>
        <v>PFES1162727206_0001</v>
      </c>
      <c r="L667" s="13">
        <v>1</v>
      </c>
      <c r="M667" s="13">
        <v>2</v>
      </c>
    </row>
    <row r="668" spans="1:13" s="14" customFormat="1" ht="11.25">
      <c r="A668" s="11">
        <v>43808</v>
      </c>
      <c r="B668" s="12">
        <v>0.45277777777777778</v>
      </c>
      <c r="C668" s="13" t="str">
        <f>"FES1162727299"</f>
        <v>FES1162727299</v>
      </c>
      <c r="D668" s="13" t="s">
        <v>19</v>
      </c>
      <c r="E668" s="13" t="s">
        <v>34</v>
      </c>
      <c r="F668" s="13" t="str">
        <f>"2170720267 "</f>
        <v xml:space="preserve">2170720267 </v>
      </c>
      <c r="G668" s="13" t="str">
        <f t="shared" si="21"/>
        <v>ON1</v>
      </c>
      <c r="H668" s="13" t="s">
        <v>21</v>
      </c>
      <c r="I668" s="13" t="s">
        <v>35</v>
      </c>
      <c r="J668" s="13" t="str">
        <f>""</f>
        <v/>
      </c>
      <c r="K668" s="13" t="str">
        <f>"PFES1162727299_0001"</f>
        <v>PFES1162727299_0001</v>
      </c>
      <c r="L668" s="13">
        <v>1</v>
      </c>
      <c r="M668" s="13">
        <v>1</v>
      </c>
    </row>
    <row r="669" spans="1:13" s="14" customFormat="1" ht="11.25">
      <c r="A669" s="11">
        <v>43808</v>
      </c>
      <c r="B669" s="12">
        <v>0.45277777777777778</v>
      </c>
      <c r="C669" s="13" t="str">
        <f>"FES1162727186"</f>
        <v>FES1162727186</v>
      </c>
      <c r="D669" s="13" t="s">
        <v>19</v>
      </c>
      <c r="E669" s="13" t="s">
        <v>243</v>
      </c>
      <c r="F669" s="13" t="str">
        <f>"2170720664 "</f>
        <v xml:space="preserve">2170720664 </v>
      </c>
      <c r="G669" s="13" t="str">
        <f t="shared" si="21"/>
        <v>ON1</v>
      </c>
      <c r="H669" s="13" t="s">
        <v>21</v>
      </c>
      <c r="I669" s="13" t="s">
        <v>244</v>
      </c>
      <c r="J669" s="13" t="str">
        <f>""</f>
        <v/>
      </c>
      <c r="K669" s="13" t="str">
        <f>"PFES1162727186_0001"</f>
        <v>PFES1162727186_0001</v>
      </c>
      <c r="L669" s="13">
        <v>1</v>
      </c>
      <c r="M669" s="13">
        <v>10</v>
      </c>
    </row>
    <row r="670" spans="1:13" s="14" customFormat="1" ht="11.25">
      <c r="A670" s="11">
        <v>43808</v>
      </c>
      <c r="B670" s="12">
        <v>0.45208333333333334</v>
      </c>
      <c r="C670" s="13" t="str">
        <f>"FES1162727303"</f>
        <v>FES1162727303</v>
      </c>
      <c r="D670" s="13" t="s">
        <v>19</v>
      </c>
      <c r="E670" s="13" t="s">
        <v>509</v>
      </c>
      <c r="F670" s="13" t="str">
        <f>"21707120720 "</f>
        <v xml:space="preserve">21707120720 </v>
      </c>
      <c r="G670" s="13" t="str">
        <f t="shared" si="21"/>
        <v>ON1</v>
      </c>
      <c r="H670" s="13" t="s">
        <v>21</v>
      </c>
      <c r="I670" s="13" t="s">
        <v>145</v>
      </c>
      <c r="J670" s="13" t="str">
        <f>""</f>
        <v/>
      </c>
      <c r="K670" s="13" t="str">
        <f>"PFES1162727303_0001"</f>
        <v>PFES1162727303_0001</v>
      </c>
      <c r="L670" s="13">
        <v>1</v>
      </c>
      <c r="M670" s="13">
        <v>5</v>
      </c>
    </row>
    <row r="671" spans="1:13" s="14" customFormat="1" ht="11.25">
      <c r="A671" s="11">
        <v>43808</v>
      </c>
      <c r="B671" s="12">
        <v>0.45208333333333334</v>
      </c>
      <c r="C671" s="13" t="str">
        <f>"FES1162727194"</f>
        <v>FES1162727194</v>
      </c>
      <c r="D671" s="13" t="s">
        <v>19</v>
      </c>
      <c r="E671" s="13" t="s">
        <v>510</v>
      </c>
      <c r="F671" s="13" t="str">
        <f>"21707120673 "</f>
        <v xml:space="preserve">21707120673 </v>
      </c>
      <c r="G671" s="13" t="str">
        <f t="shared" si="21"/>
        <v>ON1</v>
      </c>
      <c r="H671" s="13" t="s">
        <v>21</v>
      </c>
      <c r="I671" s="13" t="s">
        <v>123</v>
      </c>
      <c r="J671" s="13" t="str">
        <f>""</f>
        <v/>
      </c>
      <c r="K671" s="13" t="str">
        <f>"PFES1162727194_0001"</f>
        <v>PFES1162727194_0001</v>
      </c>
      <c r="L671" s="13">
        <v>1</v>
      </c>
      <c r="M671" s="13">
        <v>2</v>
      </c>
    </row>
    <row r="672" spans="1:13" s="14" customFormat="1" ht="11.25">
      <c r="A672" s="11">
        <v>43808</v>
      </c>
      <c r="B672" s="12">
        <v>0.4513888888888889</v>
      </c>
      <c r="C672" s="13" t="str">
        <f>"FES1162727235"</f>
        <v>FES1162727235</v>
      </c>
      <c r="D672" s="13" t="s">
        <v>19</v>
      </c>
      <c r="E672" s="13" t="s">
        <v>44</v>
      </c>
      <c r="F672" s="13" t="str">
        <f>"217071722 "</f>
        <v xml:space="preserve">217071722 </v>
      </c>
      <c r="G672" s="13" t="str">
        <f t="shared" si="21"/>
        <v>ON1</v>
      </c>
      <c r="H672" s="13" t="s">
        <v>21</v>
      </c>
      <c r="I672" s="13" t="s">
        <v>45</v>
      </c>
      <c r="J672" s="13" t="str">
        <f>""</f>
        <v/>
      </c>
      <c r="K672" s="13" t="str">
        <f>"PFES1162727235_0001"</f>
        <v>PFES1162727235_0001</v>
      </c>
      <c r="L672" s="13">
        <v>1</v>
      </c>
      <c r="M672" s="13">
        <v>19</v>
      </c>
    </row>
    <row r="673" spans="1:13" s="14" customFormat="1" ht="11.25">
      <c r="A673" s="11">
        <v>43808</v>
      </c>
      <c r="B673" s="12">
        <v>0.45069444444444445</v>
      </c>
      <c r="C673" s="13" t="str">
        <f>"FES1162727150"</f>
        <v>FES1162727150</v>
      </c>
      <c r="D673" s="13" t="s">
        <v>19</v>
      </c>
      <c r="E673" s="13" t="s">
        <v>217</v>
      </c>
      <c r="F673" s="13" t="str">
        <f>"2170720538 "</f>
        <v xml:space="preserve">2170720538 </v>
      </c>
      <c r="G673" s="13" t="str">
        <f t="shared" si="21"/>
        <v>ON1</v>
      </c>
      <c r="H673" s="13" t="s">
        <v>21</v>
      </c>
      <c r="I673" s="13" t="s">
        <v>102</v>
      </c>
      <c r="J673" s="13" t="str">
        <f>""</f>
        <v/>
      </c>
      <c r="K673" s="13" t="str">
        <f>"PFES1162727150_0001"</f>
        <v>PFES1162727150_0001</v>
      </c>
      <c r="L673" s="13">
        <v>1</v>
      </c>
      <c r="M673" s="13">
        <v>9</v>
      </c>
    </row>
    <row r="674" spans="1:13" s="14" customFormat="1" ht="11.25">
      <c r="A674" s="11">
        <v>43808</v>
      </c>
      <c r="B674" s="12">
        <v>0.45069444444444445</v>
      </c>
      <c r="C674" s="13" t="str">
        <f>"FES1162727147"</f>
        <v>FES1162727147</v>
      </c>
      <c r="D674" s="13" t="s">
        <v>19</v>
      </c>
      <c r="E674" s="13" t="s">
        <v>120</v>
      </c>
      <c r="F674" s="13" t="str">
        <f>"2170720072 "</f>
        <v xml:space="preserve">2170720072 </v>
      </c>
      <c r="G674" s="13" t="str">
        <f t="shared" si="21"/>
        <v>ON1</v>
      </c>
      <c r="H674" s="13" t="s">
        <v>21</v>
      </c>
      <c r="I674" s="13" t="s">
        <v>121</v>
      </c>
      <c r="J674" s="13" t="str">
        <f>""</f>
        <v/>
      </c>
      <c r="K674" s="13" t="str">
        <f>"PFES1162727147_0001"</f>
        <v>PFES1162727147_0001</v>
      </c>
      <c r="L674" s="13">
        <v>1</v>
      </c>
      <c r="M674" s="13">
        <v>4</v>
      </c>
    </row>
    <row r="675" spans="1:13" s="14" customFormat="1" ht="11.25">
      <c r="A675" s="11">
        <v>43808</v>
      </c>
      <c r="B675" s="12">
        <v>0.45</v>
      </c>
      <c r="C675" s="13" t="str">
        <f>"FES1162727237"</f>
        <v>FES1162727237</v>
      </c>
      <c r="D675" s="13" t="s">
        <v>19</v>
      </c>
      <c r="E675" s="13" t="s">
        <v>292</v>
      </c>
      <c r="F675" s="13" t="str">
        <f>"2170710724 "</f>
        <v xml:space="preserve">2170710724 </v>
      </c>
      <c r="G675" s="13" t="str">
        <f t="shared" si="21"/>
        <v>ON1</v>
      </c>
      <c r="H675" s="13" t="s">
        <v>21</v>
      </c>
      <c r="I675" s="13" t="s">
        <v>78</v>
      </c>
      <c r="J675" s="13" t="str">
        <f>""</f>
        <v/>
      </c>
      <c r="K675" s="13" t="str">
        <f>"PFES1162727237_0001"</f>
        <v>PFES1162727237_0001</v>
      </c>
      <c r="L675" s="13">
        <v>1</v>
      </c>
      <c r="M675" s="13">
        <v>4</v>
      </c>
    </row>
    <row r="676" spans="1:13" s="14" customFormat="1" ht="11.25">
      <c r="A676" s="11">
        <v>43808</v>
      </c>
      <c r="B676" s="12">
        <v>0.44930555555555557</v>
      </c>
      <c r="C676" s="13" t="str">
        <f>"FES1162727269"</f>
        <v>FES1162727269</v>
      </c>
      <c r="D676" s="13" t="s">
        <v>19</v>
      </c>
      <c r="E676" s="13" t="s">
        <v>44</v>
      </c>
      <c r="F676" s="13" t="str">
        <f>"2170720761 "</f>
        <v xml:space="preserve">2170720761 </v>
      </c>
      <c r="G676" s="13" t="str">
        <f t="shared" si="21"/>
        <v>ON1</v>
      </c>
      <c r="H676" s="13" t="s">
        <v>21</v>
      </c>
      <c r="I676" s="13" t="s">
        <v>45</v>
      </c>
      <c r="J676" s="13" t="str">
        <f>""</f>
        <v/>
      </c>
      <c r="K676" s="13" t="str">
        <f>"PFES1162727269_0001"</f>
        <v>PFES1162727269_0001</v>
      </c>
      <c r="L676" s="13">
        <v>1</v>
      </c>
      <c r="M676" s="13">
        <v>1</v>
      </c>
    </row>
    <row r="677" spans="1:13" s="14" customFormat="1" ht="11.25">
      <c r="A677" s="11">
        <v>43808</v>
      </c>
      <c r="B677" s="12">
        <v>0.44861111111111113</v>
      </c>
      <c r="C677" s="13" t="str">
        <f>"FES1162727267"</f>
        <v>FES1162727267</v>
      </c>
      <c r="D677" s="13" t="s">
        <v>19</v>
      </c>
      <c r="E677" s="13" t="s">
        <v>291</v>
      </c>
      <c r="F677" s="13" t="str">
        <f>"2170720756 "</f>
        <v xml:space="preserve">2170720756 </v>
      </c>
      <c r="G677" s="13" t="str">
        <f t="shared" si="21"/>
        <v>ON1</v>
      </c>
      <c r="H677" s="13" t="s">
        <v>21</v>
      </c>
      <c r="I677" s="13" t="s">
        <v>41</v>
      </c>
      <c r="J677" s="13" t="str">
        <f>""</f>
        <v/>
      </c>
      <c r="K677" s="13" t="str">
        <f>"PFES1162727267_0001"</f>
        <v>PFES1162727267_0001</v>
      </c>
      <c r="L677" s="13">
        <v>1</v>
      </c>
      <c r="M677" s="13">
        <v>1</v>
      </c>
    </row>
    <row r="678" spans="1:13" s="14" customFormat="1" ht="11.25">
      <c r="A678" s="11">
        <v>43808</v>
      </c>
      <c r="B678" s="12">
        <v>0.44791666666666669</v>
      </c>
      <c r="C678" s="13" t="str">
        <f>"FES1162727259"</f>
        <v>FES1162727259</v>
      </c>
      <c r="D678" s="13" t="s">
        <v>19</v>
      </c>
      <c r="E678" s="13" t="s">
        <v>124</v>
      </c>
      <c r="F678" s="13" t="str">
        <f>"2170720748 "</f>
        <v xml:space="preserve">2170720748 </v>
      </c>
      <c r="G678" s="13" t="str">
        <f t="shared" si="21"/>
        <v>ON1</v>
      </c>
      <c r="H678" s="13" t="s">
        <v>21</v>
      </c>
      <c r="I678" s="13" t="s">
        <v>125</v>
      </c>
      <c r="J678" s="13" t="str">
        <f>""</f>
        <v/>
      </c>
      <c r="K678" s="13" t="str">
        <f>"PFES1162727259_0001"</f>
        <v>PFES1162727259_0001</v>
      </c>
      <c r="L678" s="13">
        <v>1</v>
      </c>
      <c r="M678" s="13">
        <v>1</v>
      </c>
    </row>
    <row r="679" spans="1:13" s="14" customFormat="1" ht="11.25">
      <c r="A679" s="11">
        <v>43808</v>
      </c>
      <c r="B679" s="12">
        <v>0.44722222222222219</v>
      </c>
      <c r="C679" s="13" t="str">
        <f>"FES1162727248"</f>
        <v>FES1162727248</v>
      </c>
      <c r="D679" s="13" t="s">
        <v>19</v>
      </c>
      <c r="E679" s="13" t="s">
        <v>215</v>
      </c>
      <c r="F679" s="13" t="str">
        <f>"2170719948 "</f>
        <v xml:space="preserve">2170719948 </v>
      </c>
      <c r="G679" s="13" t="str">
        <f t="shared" si="21"/>
        <v>ON1</v>
      </c>
      <c r="H679" s="13" t="s">
        <v>21</v>
      </c>
      <c r="I679" s="13" t="s">
        <v>216</v>
      </c>
      <c r="J679" s="13" t="str">
        <f>""</f>
        <v/>
      </c>
      <c r="K679" s="13" t="str">
        <f>"PFES1162727248_0001"</f>
        <v>PFES1162727248_0001</v>
      </c>
      <c r="L679" s="13">
        <v>1</v>
      </c>
      <c r="M679" s="13">
        <v>1</v>
      </c>
    </row>
    <row r="680" spans="1:13" s="14" customFormat="1" ht="11.25">
      <c r="A680" s="11">
        <v>43808</v>
      </c>
      <c r="B680" s="12">
        <v>0.4465277777777778</v>
      </c>
      <c r="C680" s="13" t="str">
        <f>"FES1162727251"</f>
        <v>FES1162727251</v>
      </c>
      <c r="D680" s="13" t="s">
        <v>19</v>
      </c>
      <c r="E680" s="13" t="s">
        <v>511</v>
      </c>
      <c r="F680" s="13" t="str">
        <f>"2170720738 "</f>
        <v xml:space="preserve">2170720738 </v>
      </c>
      <c r="G680" s="13" t="str">
        <f t="shared" ref="G680:G712" si="22">"ON1"</f>
        <v>ON1</v>
      </c>
      <c r="H680" s="13" t="s">
        <v>21</v>
      </c>
      <c r="I680" s="13" t="s">
        <v>123</v>
      </c>
      <c r="J680" s="13" t="str">
        <f>""</f>
        <v/>
      </c>
      <c r="K680" s="13" t="str">
        <f>"PFES1162727251_0001"</f>
        <v>PFES1162727251_0001</v>
      </c>
      <c r="L680" s="13">
        <v>1</v>
      </c>
      <c r="M680" s="13">
        <v>1</v>
      </c>
    </row>
    <row r="681" spans="1:13" s="14" customFormat="1" ht="11.25">
      <c r="A681" s="11">
        <v>43808</v>
      </c>
      <c r="B681" s="12">
        <v>0.44513888888888892</v>
      </c>
      <c r="C681" s="13" t="str">
        <f>"FES1162727228"</f>
        <v>FES1162727228</v>
      </c>
      <c r="D681" s="13" t="s">
        <v>19</v>
      </c>
      <c r="E681" s="13" t="s">
        <v>44</v>
      </c>
      <c r="F681" s="13" t="str">
        <f>"2170720717 "</f>
        <v xml:space="preserve">2170720717 </v>
      </c>
      <c r="G681" s="13" t="str">
        <f t="shared" si="22"/>
        <v>ON1</v>
      </c>
      <c r="H681" s="13" t="s">
        <v>21</v>
      </c>
      <c r="I681" s="13" t="s">
        <v>45</v>
      </c>
      <c r="J681" s="13" t="str">
        <f>""</f>
        <v/>
      </c>
      <c r="K681" s="13" t="str">
        <f>"PFES1162727228_0001"</f>
        <v>PFES1162727228_0001</v>
      </c>
      <c r="L681" s="13">
        <v>1</v>
      </c>
      <c r="M681" s="13">
        <v>1</v>
      </c>
    </row>
    <row r="682" spans="1:13" s="14" customFormat="1" ht="11.25">
      <c r="A682" s="11">
        <v>43808</v>
      </c>
      <c r="B682" s="12">
        <v>0.44444444444444442</v>
      </c>
      <c r="C682" s="13" t="str">
        <f>"FES1162727273"</f>
        <v>FES1162727273</v>
      </c>
      <c r="D682" s="13" t="s">
        <v>19</v>
      </c>
      <c r="E682" s="13" t="s">
        <v>120</v>
      </c>
      <c r="F682" s="13" t="str">
        <f>"2170720767 "</f>
        <v xml:space="preserve">2170720767 </v>
      </c>
      <c r="G682" s="13" t="str">
        <f t="shared" si="22"/>
        <v>ON1</v>
      </c>
      <c r="H682" s="13" t="s">
        <v>21</v>
      </c>
      <c r="I682" s="13" t="s">
        <v>121</v>
      </c>
      <c r="J682" s="13" t="str">
        <f>""</f>
        <v/>
      </c>
      <c r="K682" s="13" t="str">
        <f>"PFES1162727273_0001"</f>
        <v>PFES1162727273_0001</v>
      </c>
      <c r="L682" s="13">
        <v>1</v>
      </c>
      <c r="M682" s="13">
        <v>1</v>
      </c>
    </row>
    <row r="683" spans="1:13" s="14" customFormat="1" ht="11.25">
      <c r="A683" s="11">
        <v>43808</v>
      </c>
      <c r="B683" s="12">
        <v>0.44375000000000003</v>
      </c>
      <c r="C683" s="13" t="str">
        <f>"FES1162727287"</f>
        <v>FES1162727287</v>
      </c>
      <c r="D683" s="13" t="s">
        <v>19</v>
      </c>
      <c r="E683" s="13" t="s">
        <v>512</v>
      </c>
      <c r="F683" s="13" t="str">
        <f>"2170720783 "</f>
        <v xml:space="preserve">2170720783 </v>
      </c>
      <c r="G683" s="13" t="str">
        <f t="shared" si="22"/>
        <v>ON1</v>
      </c>
      <c r="H683" s="13" t="s">
        <v>21</v>
      </c>
      <c r="I683" s="13" t="s">
        <v>43</v>
      </c>
      <c r="J683" s="13" t="str">
        <f>""</f>
        <v/>
      </c>
      <c r="K683" s="13" t="str">
        <f>"PFES1162727287_0001"</f>
        <v>PFES1162727287_0001</v>
      </c>
      <c r="L683" s="13">
        <v>1</v>
      </c>
      <c r="M683" s="13">
        <v>1</v>
      </c>
    </row>
    <row r="684" spans="1:13" s="14" customFormat="1" ht="11.25">
      <c r="A684" s="11">
        <v>43808</v>
      </c>
      <c r="B684" s="12">
        <v>0.44236111111111115</v>
      </c>
      <c r="C684" s="13" t="str">
        <f>"FES1162727238"</f>
        <v>FES1162727238</v>
      </c>
      <c r="D684" s="13" t="s">
        <v>19</v>
      </c>
      <c r="E684" s="13" t="s">
        <v>36</v>
      </c>
      <c r="F684" s="13" t="str">
        <f>"2170720725 "</f>
        <v xml:space="preserve">2170720725 </v>
      </c>
      <c r="G684" s="13" t="str">
        <f t="shared" si="22"/>
        <v>ON1</v>
      </c>
      <c r="H684" s="13" t="s">
        <v>21</v>
      </c>
      <c r="I684" s="13" t="s">
        <v>37</v>
      </c>
      <c r="J684" s="13" t="str">
        <f>""</f>
        <v/>
      </c>
      <c r="K684" s="13" t="str">
        <f>"PFES1162727238_0001"</f>
        <v>PFES1162727238_0001</v>
      </c>
      <c r="L684" s="13">
        <v>1</v>
      </c>
      <c r="M684" s="13">
        <v>1</v>
      </c>
    </row>
    <row r="685" spans="1:13" s="14" customFormat="1" ht="11.25">
      <c r="A685" s="11">
        <v>43808</v>
      </c>
      <c r="B685" s="12">
        <v>0.44166666666666665</v>
      </c>
      <c r="C685" s="13" t="str">
        <f>"FES1162727306"</f>
        <v>FES1162727306</v>
      </c>
      <c r="D685" s="13" t="s">
        <v>19</v>
      </c>
      <c r="E685" s="13" t="s">
        <v>436</v>
      </c>
      <c r="F685" s="13" t="str">
        <f>"2170720785 "</f>
        <v xml:space="preserve">2170720785 </v>
      </c>
      <c r="G685" s="13" t="str">
        <f t="shared" si="22"/>
        <v>ON1</v>
      </c>
      <c r="H685" s="13" t="s">
        <v>21</v>
      </c>
      <c r="I685" s="13" t="s">
        <v>60</v>
      </c>
      <c r="J685" s="13" t="str">
        <f>""</f>
        <v/>
      </c>
      <c r="K685" s="13" t="str">
        <f>"PFES1162727306_0001"</f>
        <v>PFES1162727306_0001</v>
      </c>
      <c r="L685" s="13">
        <v>1</v>
      </c>
      <c r="M685" s="13">
        <v>1</v>
      </c>
    </row>
    <row r="686" spans="1:13" s="14" customFormat="1" ht="11.25">
      <c r="A686" s="11">
        <v>43808</v>
      </c>
      <c r="B686" s="12">
        <v>0.44027777777777777</v>
      </c>
      <c r="C686" s="13" t="str">
        <f>"FES1162727294"</f>
        <v>FES1162727294</v>
      </c>
      <c r="D686" s="13" t="s">
        <v>19</v>
      </c>
      <c r="E686" s="13" t="s">
        <v>211</v>
      </c>
      <c r="F686" s="13" t="str">
        <f>"2170718562 "</f>
        <v xml:space="preserve">2170718562 </v>
      </c>
      <c r="G686" s="13" t="str">
        <f t="shared" si="22"/>
        <v>ON1</v>
      </c>
      <c r="H686" s="13" t="s">
        <v>21</v>
      </c>
      <c r="I686" s="13" t="s">
        <v>212</v>
      </c>
      <c r="J686" s="13" t="str">
        <f>""</f>
        <v/>
      </c>
      <c r="K686" s="13" t="str">
        <f>"PFES1162727294_0001"</f>
        <v>PFES1162727294_0001</v>
      </c>
      <c r="L686" s="13">
        <v>1</v>
      </c>
      <c r="M686" s="13">
        <v>1</v>
      </c>
    </row>
    <row r="687" spans="1:13" s="14" customFormat="1" ht="11.25">
      <c r="A687" s="11">
        <v>43808</v>
      </c>
      <c r="B687" s="12">
        <v>0.43888888888888888</v>
      </c>
      <c r="C687" s="13" t="str">
        <f>"FES1162727321"</f>
        <v>FES1162727321</v>
      </c>
      <c r="D687" s="13" t="s">
        <v>19</v>
      </c>
      <c r="E687" s="13" t="s">
        <v>59</v>
      </c>
      <c r="F687" s="13" t="str">
        <f>"2170720800 "</f>
        <v xml:space="preserve">2170720800 </v>
      </c>
      <c r="G687" s="13" t="str">
        <f t="shared" si="22"/>
        <v>ON1</v>
      </c>
      <c r="H687" s="13" t="s">
        <v>21</v>
      </c>
      <c r="I687" s="13" t="s">
        <v>60</v>
      </c>
      <c r="J687" s="13" t="str">
        <f>""</f>
        <v/>
      </c>
      <c r="K687" s="13" t="str">
        <f>"PFES1162727321_0001"</f>
        <v>PFES1162727321_0001</v>
      </c>
      <c r="L687" s="13">
        <v>1</v>
      </c>
      <c r="M687" s="13">
        <v>2</v>
      </c>
    </row>
    <row r="688" spans="1:13" s="14" customFormat="1" ht="11.25">
      <c r="A688" s="11">
        <v>43808</v>
      </c>
      <c r="B688" s="12">
        <v>0.4381944444444445</v>
      </c>
      <c r="C688" s="13" t="str">
        <f>"FES1162727333"</f>
        <v>FES1162727333</v>
      </c>
      <c r="D688" s="13" t="s">
        <v>19</v>
      </c>
      <c r="E688" s="13" t="s">
        <v>59</v>
      </c>
      <c r="F688" s="13" t="str">
        <f>"2170720811 "</f>
        <v xml:space="preserve">2170720811 </v>
      </c>
      <c r="G688" s="13" t="str">
        <f t="shared" si="22"/>
        <v>ON1</v>
      </c>
      <c r="H688" s="13" t="s">
        <v>21</v>
      </c>
      <c r="I688" s="13" t="s">
        <v>60</v>
      </c>
      <c r="J688" s="13" t="str">
        <f>""</f>
        <v/>
      </c>
      <c r="K688" s="13" t="str">
        <f>"PFES1162727333_0001"</f>
        <v>PFES1162727333_0001</v>
      </c>
      <c r="L688" s="13">
        <v>1</v>
      </c>
      <c r="M688" s="13">
        <v>1</v>
      </c>
    </row>
    <row r="689" spans="1:13" s="14" customFormat="1" ht="11.25">
      <c r="A689" s="11">
        <v>43808</v>
      </c>
      <c r="B689" s="12">
        <v>0.4375</v>
      </c>
      <c r="C689" s="13" t="str">
        <f>"FES1162727327"</f>
        <v>FES1162727327</v>
      </c>
      <c r="D689" s="13" t="s">
        <v>19</v>
      </c>
      <c r="E689" s="13" t="s">
        <v>513</v>
      </c>
      <c r="F689" s="13" t="str">
        <f>"2170720806 "</f>
        <v xml:space="preserve">2170720806 </v>
      </c>
      <c r="G689" s="13" t="str">
        <f t="shared" si="22"/>
        <v>ON1</v>
      </c>
      <c r="H689" s="13" t="s">
        <v>21</v>
      </c>
      <c r="I689" s="13" t="s">
        <v>514</v>
      </c>
      <c r="J689" s="13" t="str">
        <f>""</f>
        <v/>
      </c>
      <c r="K689" s="13" t="str">
        <f>"PFES1162727327_0001"</f>
        <v>PFES1162727327_0001</v>
      </c>
      <c r="L689" s="13">
        <v>1</v>
      </c>
      <c r="M689" s="13">
        <v>1</v>
      </c>
    </row>
    <row r="690" spans="1:13" s="14" customFormat="1" ht="11.25">
      <c r="A690" s="11">
        <v>43808</v>
      </c>
      <c r="B690" s="12">
        <v>0.43611111111111112</v>
      </c>
      <c r="C690" s="13" t="str">
        <f>"FES1162727339"</f>
        <v>FES1162727339</v>
      </c>
      <c r="D690" s="13" t="s">
        <v>19</v>
      </c>
      <c r="E690" s="13" t="s">
        <v>515</v>
      </c>
      <c r="F690" s="13" t="str">
        <f>"2170720821 "</f>
        <v xml:space="preserve">2170720821 </v>
      </c>
      <c r="G690" s="13" t="str">
        <f t="shared" si="22"/>
        <v>ON1</v>
      </c>
      <c r="H690" s="13" t="s">
        <v>21</v>
      </c>
      <c r="I690" s="13" t="s">
        <v>102</v>
      </c>
      <c r="J690" s="13" t="str">
        <f>""</f>
        <v/>
      </c>
      <c r="K690" s="13" t="str">
        <f>"PFES1162727339_0001"</f>
        <v>PFES1162727339_0001</v>
      </c>
      <c r="L690" s="13">
        <v>1</v>
      </c>
      <c r="M690" s="13">
        <v>1</v>
      </c>
    </row>
    <row r="691" spans="1:13" s="14" customFormat="1" ht="11.25">
      <c r="A691" s="11">
        <v>43808</v>
      </c>
      <c r="B691" s="12">
        <v>0.43472222222222223</v>
      </c>
      <c r="C691" s="13" t="str">
        <f>"FES1162727344"</f>
        <v>FES1162727344</v>
      </c>
      <c r="D691" s="13" t="s">
        <v>19</v>
      </c>
      <c r="E691" s="13" t="s">
        <v>516</v>
      </c>
      <c r="F691" s="13" t="str">
        <f>"2170720822 "</f>
        <v xml:space="preserve">2170720822 </v>
      </c>
      <c r="G691" s="13" t="str">
        <f t="shared" si="22"/>
        <v>ON1</v>
      </c>
      <c r="H691" s="13" t="s">
        <v>21</v>
      </c>
      <c r="I691" s="13" t="s">
        <v>430</v>
      </c>
      <c r="J691" s="13" t="str">
        <f>""</f>
        <v/>
      </c>
      <c r="K691" s="13" t="str">
        <f>"PFES1162727344_0001"</f>
        <v>PFES1162727344_0001</v>
      </c>
      <c r="L691" s="13">
        <v>1</v>
      </c>
      <c r="M691" s="13">
        <v>1</v>
      </c>
    </row>
    <row r="692" spans="1:13" s="14" customFormat="1" ht="11.25">
      <c r="A692" s="11">
        <v>43808</v>
      </c>
      <c r="B692" s="12">
        <v>0.43333333333333335</v>
      </c>
      <c r="C692" s="13" t="str">
        <f>"FES1162727332"</f>
        <v>FES1162727332</v>
      </c>
      <c r="D692" s="13" t="s">
        <v>19</v>
      </c>
      <c r="E692" s="13" t="s">
        <v>393</v>
      </c>
      <c r="F692" s="13" t="str">
        <f>"2170720810 "</f>
        <v xml:space="preserve">2170720810 </v>
      </c>
      <c r="G692" s="13" t="str">
        <f t="shared" si="22"/>
        <v>ON1</v>
      </c>
      <c r="H692" s="13" t="s">
        <v>21</v>
      </c>
      <c r="I692" s="13" t="s">
        <v>78</v>
      </c>
      <c r="J692" s="13" t="str">
        <f>""</f>
        <v/>
      </c>
      <c r="K692" s="13" t="str">
        <f>"PFES1162727332_0001"</f>
        <v>PFES1162727332_0001</v>
      </c>
      <c r="L692" s="13">
        <v>1</v>
      </c>
      <c r="M692" s="13">
        <v>1</v>
      </c>
    </row>
    <row r="693" spans="1:13" s="14" customFormat="1" ht="11.25">
      <c r="A693" s="11">
        <v>43808</v>
      </c>
      <c r="B693" s="12">
        <v>0.67152777777777783</v>
      </c>
      <c r="C693" s="13" t="str">
        <f>"FES1162727420"</f>
        <v>FES1162727420</v>
      </c>
      <c r="D693" s="13" t="s">
        <v>19</v>
      </c>
      <c r="E693" s="13" t="s">
        <v>241</v>
      </c>
      <c r="F693" s="13" t="str">
        <f>"21707120911 "</f>
        <v xml:space="preserve">21707120911 </v>
      </c>
      <c r="G693" s="13" t="str">
        <f t="shared" si="22"/>
        <v>ON1</v>
      </c>
      <c r="H693" s="13" t="s">
        <v>21</v>
      </c>
      <c r="I693" s="13" t="s">
        <v>72</v>
      </c>
      <c r="J693" s="13" t="str">
        <f>""</f>
        <v/>
      </c>
      <c r="K693" s="13" t="str">
        <f>"PFES1162727420_0001"</f>
        <v>PFES1162727420_0001</v>
      </c>
      <c r="L693" s="13">
        <v>1</v>
      </c>
      <c r="M693" s="13">
        <v>3</v>
      </c>
    </row>
    <row r="694" spans="1:13" s="14" customFormat="1" ht="11.25">
      <c r="A694" s="11">
        <v>43808</v>
      </c>
      <c r="B694" s="12">
        <v>0.67152777777777783</v>
      </c>
      <c r="C694" s="13" t="str">
        <f>"FES1162727434"</f>
        <v>FES1162727434</v>
      </c>
      <c r="D694" s="13" t="s">
        <v>19</v>
      </c>
      <c r="E694" s="13" t="s">
        <v>517</v>
      </c>
      <c r="F694" s="13" t="str">
        <f>"2170720924 "</f>
        <v xml:space="preserve">2170720924 </v>
      </c>
      <c r="G694" s="13" t="str">
        <f t="shared" si="22"/>
        <v>ON1</v>
      </c>
      <c r="H694" s="13" t="s">
        <v>21</v>
      </c>
      <c r="I694" s="13" t="s">
        <v>518</v>
      </c>
      <c r="J694" s="13" t="str">
        <f>""</f>
        <v/>
      </c>
      <c r="K694" s="13" t="str">
        <f>"PFES1162727434_0001"</f>
        <v>PFES1162727434_0001</v>
      </c>
      <c r="L694" s="13">
        <v>1</v>
      </c>
      <c r="M694" s="13">
        <v>1</v>
      </c>
    </row>
    <row r="695" spans="1:13" s="14" customFormat="1" ht="11.25">
      <c r="A695" s="11">
        <v>43808</v>
      </c>
      <c r="B695" s="12">
        <v>0.67013888888888884</v>
      </c>
      <c r="C695" s="13" t="str">
        <f>"FES1162727429"</f>
        <v>FES1162727429</v>
      </c>
      <c r="D695" s="13" t="s">
        <v>19</v>
      </c>
      <c r="E695" s="13" t="s">
        <v>519</v>
      </c>
      <c r="F695" s="13" t="str">
        <f>"2170720918 "</f>
        <v xml:space="preserve">2170720918 </v>
      </c>
      <c r="G695" s="13" t="str">
        <f t="shared" si="22"/>
        <v>ON1</v>
      </c>
      <c r="H695" s="13" t="s">
        <v>21</v>
      </c>
      <c r="I695" s="13" t="s">
        <v>119</v>
      </c>
      <c r="J695" s="13" t="str">
        <f>""</f>
        <v/>
      </c>
      <c r="K695" s="13" t="str">
        <f>"PFES1162727429_0001"</f>
        <v>PFES1162727429_0001</v>
      </c>
      <c r="L695" s="13">
        <v>1</v>
      </c>
      <c r="M695" s="13">
        <v>1</v>
      </c>
    </row>
    <row r="696" spans="1:13" s="14" customFormat="1" ht="11.25">
      <c r="A696" s="11">
        <v>43808</v>
      </c>
      <c r="B696" s="12">
        <v>0.66180555555555554</v>
      </c>
      <c r="C696" s="13" t="str">
        <f>"FES1162727475"</f>
        <v>FES1162727475</v>
      </c>
      <c r="D696" s="13" t="s">
        <v>19</v>
      </c>
      <c r="E696" s="13" t="s">
        <v>520</v>
      </c>
      <c r="F696" s="13" t="str">
        <f>"2170720508 "</f>
        <v xml:space="preserve">2170720508 </v>
      </c>
      <c r="G696" s="13" t="str">
        <f t="shared" si="22"/>
        <v>ON1</v>
      </c>
      <c r="H696" s="13" t="s">
        <v>21</v>
      </c>
      <c r="I696" s="13" t="s">
        <v>521</v>
      </c>
      <c r="J696" s="13" t="str">
        <f>""</f>
        <v/>
      </c>
      <c r="K696" s="13" t="str">
        <f>"PFES1162727475_0001"</f>
        <v>PFES1162727475_0001</v>
      </c>
      <c r="L696" s="13">
        <v>1</v>
      </c>
      <c r="M696" s="13">
        <v>1</v>
      </c>
    </row>
    <row r="697" spans="1:13" s="14" customFormat="1" ht="11.25">
      <c r="A697" s="11">
        <v>43808</v>
      </c>
      <c r="B697" s="12">
        <v>0.66111111111111109</v>
      </c>
      <c r="C697" s="13" t="str">
        <f>"FES1162727467"</f>
        <v>FES1162727467</v>
      </c>
      <c r="D697" s="13" t="s">
        <v>19</v>
      </c>
      <c r="E697" s="13" t="s">
        <v>522</v>
      </c>
      <c r="F697" s="13" t="str">
        <f>"2170720951 "</f>
        <v xml:space="preserve">2170720951 </v>
      </c>
      <c r="G697" s="13" t="str">
        <f t="shared" si="22"/>
        <v>ON1</v>
      </c>
      <c r="H697" s="13" t="s">
        <v>21</v>
      </c>
      <c r="I697" s="13" t="s">
        <v>523</v>
      </c>
      <c r="J697" s="13" t="str">
        <f>""</f>
        <v/>
      </c>
      <c r="K697" s="13" t="str">
        <f>"PFES1162727467_0001"</f>
        <v>PFES1162727467_0001</v>
      </c>
      <c r="L697" s="13">
        <v>1</v>
      </c>
      <c r="M697" s="13">
        <v>1</v>
      </c>
    </row>
    <row r="698" spans="1:13" s="14" customFormat="1" ht="11.25">
      <c r="A698" s="11">
        <v>43808</v>
      </c>
      <c r="B698" s="12">
        <v>0.63472222222222219</v>
      </c>
      <c r="C698" s="13" t="str">
        <f>"FES1162727432"</f>
        <v>FES1162727432</v>
      </c>
      <c r="D698" s="13" t="s">
        <v>19</v>
      </c>
      <c r="E698" s="13" t="s">
        <v>75</v>
      </c>
      <c r="F698" s="13" t="str">
        <f>"2170720921 "</f>
        <v xml:space="preserve">2170720921 </v>
      </c>
      <c r="G698" s="13" t="str">
        <f t="shared" si="22"/>
        <v>ON1</v>
      </c>
      <c r="H698" s="13" t="s">
        <v>21</v>
      </c>
      <c r="I698" s="13" t="s">
        <v>76</v>
      </c>
      <c r="J698" s="13" t="str">
        <f>""</f>
        <v/>
      </c>
      <c r="K698" s="13" t="str">
        <f>"PFES1162727432_0001"</f>
        <v>PFES1162727432_0001</v>
      </c>
      <c r="L698" s="13">
        <v>1</v>
      </c>
      <c r="M698" s="13">
        <v>1</v>
      </c>
    </row>
    <row r="699" spans="1:13" s="14" customFormat="1" ht="11.25">
      <c r="A699" s="11">
        <v>43808</v>
      </c>
      <c r="B699" s="12">
        <v>0.63402777777777775</v>
      </c>
      <c r="C699" s="13" t="str">
        <f>"FES1162727395"</f>
        <v>FES1162727395</v>
      </c>
      <c r="D699" s="13" t="s">
        <v>19</v>
      </c>
      <c r="E699" s="13" t="s">
        <v>524</v>
      </c>
      <c r="F699" s="13" t="str">
        <f>"2170720888 "</f>
        <v xml:space="preserve">2170720888 </v>
      </c>
      <c r="G699" s="13" t="str">
        <f t="shared" si="22"/>
        <v>ON1</v>
      </c>
      <c r="H699" s="13" t="s">
        <v>21</v>
      </c>
      <c r="I699" s="13" t="s">
        <v>248</v>
      </c>
      <c r="J699" s="13" t="str">
        <f>""</f>
        <v/>
      </c>
      <c r="K699" s="13" t="str">
        <f>"PFES1162727395_0001"</f>
        <v>PFES1162727395_0001</v>
      </c>
      <c r="L699" s="13">
        <v>1</v>
      </c>
      <c r="M699" s="13">
        <v>1</v>
      </c>
    </row>
    <row r="700" spans="1:13" s="14" customFormat="1" ht="11.25">
      <c r="A700" s="11">
        <v>43808</v>
      </c>
      <c r="B700" s="12">
        <v>0.6333333333333333</v>
      </c>
      <c r="C700" s="13" t="str">
        <f>"FES1162727406"</f>
        <v>FES1162727406</v>
      </c>
      <c r="D700" s="13" t="s">
        <v>19</v>
      </c>
      <c r="E700" s="13" t="s">
        <v>525</v>
      </c>
      <c r="F700" s="13" t="str">
        <f>"2170720898 "</f>
        <v xml:space="preserve">2170720898 </v>
      </c>
      <c r="G700" s="13" t="str">
        <f t="shared" si="22"/>
        <v>ON1</v>
      </c>
      <c r="H700" s="13" t="s">
        <v>21</v>
      </c>
      <c r="I700" s="13" t="s">
        <v>180</v>
      </c>
      <c r="J700" s="13" t="str">
        <f>""</f>
        <v/>
      </c>
      <c r="K700" s="13" t="str">
        <f>"PFES1162727406_0001"</f>
        <v>PFES1162727406_0001</v>
      </c>
      <c r="L700" s="13">
        <v>1</v>
      </c>
      <c r="M700" s="13">
        <v>1</v>
      </c>
    </row>
    <row r="701" spans="1:13" s="14" customFormat="1" ht="11.25">
      <c r="A701" s="11">
        <v>43808</v>
      </c>
      <c r="B701" s="12">
        <v>0.63263888888888886</v>
      </c>
      <c r="C701" s="13" t="str">
        <f>"FES1162727361"</f>
        <v>FES1162727361</v>
      </c>
      <c r="D701" s="13" t="s">
        <v>19</v>
      </c>
      <c r="E701" s="13" t="s">
        <v>118</v>
      </c>
      <c r="F701" s="13" t="str">
        <f>"2170720842 "</f>
        <v xml:space="preserve">2170720842 </v>
      </c>
      <c r="G701" s="13" t="str">
        <f t="shared" si="22"/>
        <v>ON1</v>
      </c>
      <c r="H701" s="13" t="s">
        <v>21</v>
      </c>
      <c r="I701" s="13" t="s">
        <v>119</v>
      </c>
      <c r="J701" s="13" t="str">
        <f>""</f>
        <v/>
      </c>
      <c r="K701" s="13" t="str">
        <f>"PFES1162727361_0001"</f>
        <v>PFES1162727361_0001</v>
      </c>
      <c r="L701" s="13">
        <v>1</v>
      </c>
      <c r="M701" s="13">
        <v>1</v>
      </c>
    </row>
    <row r="702" spans="1:13" s="14" customFormat="1" ht="11.25">
      <c r="A702" s="11">
        <v>43808</v>
      </c>
      <c r="B702" s="12">
        <v>0.63194444444444442</v>
      </c>
      <c r="C702" s="13" t="str">
        <f>"FES1162727394"</f>
        <v>FES1162727394</v>
      </c>
      <c r="D702" s="13" t="s">
        <v>19</v>
      </c>
      <c r="E702" s="13" t="s">
        <v>442</v>
      </c>
      <c r="F702" s="13" t="str">
        <f>"2170720885 "</f>
        <v xml:space="preserve">2170720885 </v>
      </c>
      <c r="G702" s="13" t="str">
        <f t="shared" si="22"/>
        <v>ON1</v>
      </c>
      <c r="H702" s="13" t="s">
        <v>21</v>
      </c>
      <c r="I702" s="13" t="s">
        <v>48</v>
      </c>
      <c r="J702" s="13" t="str">
        <f>""</f>
        <v/>
      </c>
      <c r="K702" s="13" t="str">
        <f>"PFES1162727394_0001"</f>
        <v>PFES1162727394_0001</v>
      </c>
      <c r="L702" s="13">
        <v>1</v>
      </c>
      <c r="M702" s="13">
        <v>1</v>
      </c>
    </row>
    <row r="703" spans="1:13" s="14" customFormat="1" ht="11.25">
      <c r="A703" s="11">
        <v>43808</v>
      </c>
      <c r="B703" s="12">
        <v>0.63055555555555554</v>
      </c>
      <c r="C703" s="13" t="str">
        <f>"FES1162727372"</f>
        <v>FES1162727372</v>
      </c>
      <c r="D703" s="13" t="s">
        <v>19</v>
      </c>
      <c r="E703" s="13" t="s">
        <v>352</v>
      </c>
      <c r="F703" s="13" t="str">
        <f>"2170720857 "</f>
        <v xml:space="preserve">2170720857 </v>
      </c>
      <c r="G703" s="13" t="str">
        <f t="shared" si="22"/>
        <v>ON1</v>
      </c>
      <c r="H703" s="13" t="s">
        <v>21</v>
      </c>
      <c r="I703" s="13" t="s">
        <v>353</v>
      </c>
      <c r="J703" s="13" t="str">
        <f>""</f>
        <v/>
      </c>
      <c r="K703" s="13" t="str">
        <f>"PFES1162727372_0001"</f>
        <v>PFES1162727372_0001</v>
      </c>
      <c r="L703" s="13">
        <v>1</v>
      </c>
      <c r="M703" s="13">
        <v>1</v>
      </c>
    </row>
    <row r="704" spans="1:13" s="14" customFormat="1" ht="11.25">
      <c r="A704" s="11">
        <v>43808</v>
      </c>
      <c r="B704" s="12">
        <v>0.62986111111111109</v>
      </c>
      <c r="C704" s="13" t="str">
        <f>"FES1162727374"</f>
        <v>FES1162727374</v>
      </c>
      <c r="D704" s="13" t="s">
        <v>19</v>
      </c>
      <c r="E704" s="13" t="s">
        <v>28</v>
      </c>
      <c r="F704" s="13" t="str">
        <f>"2170710859 "</f>
        <v xml:space="preserve">2170710859 </v>
      </c>
      <c r="G704" s="13" t="str">
        <f t="shared" si="22"/>
        <v>ON1</v>
      </c>
      <c r="H704" s="13" t="s">
        <v>21</v>
      </c>
      <c r="I704" s="13" t="s">
        <v>29</v>
      </c>
      <c r="J704" s="13" t="str">
        <f>""</f>
        <v/>
      </c>
      <c r="K704" s="13" t="str">
        <f>"PFES1162727374_0001"</f>
        <v>PFES1162727374_0001</v>
      </c>
      <c r="L704" s="13">
        <v>1</v>
      </c>
      <c r="M704" s="13">
        <v>4</v>
      </c>
    </row>
    <row r="705" spans="1:13" s="14" customFormat="1" ht="11.25">
      <c r="A705" s="11">
        <v>43808</v>
      </c>
      <c r="B705" s="12">
        <v>0.62916666666666665</v>
      </c>
      <c r="C705" s="13" t="str">
        <f>"FES1162727360"</f>
        <v>FES1162727360</v>
      </c>
      <c r="D705" s="13" t="s">
        <v>19</v>
      </c>
      <c r="E705" s="13" t="s">
        <v>443</v>
      </c>
      <c r="F705" s="13" t="str">
        <f>"217710841 "</f>
        <v xml:space="preserve">217710841 </v>
      </c>
      <c r="G705" s="13" t="str">
        <f t="shared" si="22"/>
        <v>ON1</v>
      </c>
      <c r="H705" s="13" t="s">
        <v>21</v>
      </c>
      <c r="I705" s="13" t="s">
        <v>444</v>
      </c>
      <c r="J705" s="13" t="str">
        <f>""</f>
        <v/>
      </c>
      <c r="K705" s="13" t="str">
        <f>"PFES1162727360_0001"</f>
        <v>PFES1162727360_0001</v>
      </c>
      <c r="L705" s="13">
        <v>1</v>
      </c>
      <c r="M705" s="13">
        <v>2</v>
      </c>
    </row>
    <row r="706" spans="1:13" s="14" customFormat="1" ht="11.25">
      <c r="A706" s="11">
        <v>43808</v>
      </c>
      <c r="B706" s="12">
        <v>0.62916666666666665</v>
      </c>
      <c r="C706" s="13" t="str">
        <f>"FES1162727367"</f>
        <v>FES1162727367</v>
      </c>
      <c r="D706" s="13" t="s">
        <v>19</v>
      </c>
      <c r="E706" s="13" t="s">
        <v>480</v>
      </c>
      <c r="F706" s="13" t="str">
        <f>"2170710848 "</f>
        <v xml:space="preserve">2170710848 </v>
      </c>
      <c r="G706" s="13" t="str">
        <f t="shared" si="22"/>
        <v>ON1</v>
      </c>
      <c r="H706" s="13" t="s">
        <v>21</v>
      </c>
      <c r="I706" s="13" t="s">
        <v>113</v>
      </c>
      <c r="J706" s="13" t="str">
        <f>""</f>
        <v/>
      </c>
      <c r="K706" s="13" t="str">
        <f>"PFES1162727367_0001"</f>
        <v>PFES1162727367_0001</v>
      </c>
      <c r="L706" s="13">
        <v>1</v>
      </c>
      <c r="M706" s="13">
        <v>18</v>
      </c>
    </row>
    <row r="707" spans="1:13" s="14" customFormat="1" ht="11.25">
      <c r="A707" s="11">
        <v>43808</v>
      </c>
      <c r="B707" s="12">
        <v>0.62847222222222221</v>
      </c>
      <c r="C707" s="13" t="str">
        <f>"FES1162727378"</f>
        <v>FES1162727378</v>
      </c>
      <c r="D707" s="13" t="s">
        <v>19</v>
      </c>
      <c r="E707" s="13" t="s">
        <v>526</v>
      </c>
      <c r="F707" s="13" t="str">
        <f>"2170710863 "</f>
        <v xml:space="preserve">2170710863 </v>
      </c>
      <c r="G707" s="13" t="str">
        <f t="shared" si="22"/>
        <v>ON1</v>
      </c>
      <c r="H707" s="13" t="s">
        <v>21</v>
      </c>
      <c r="I707" s="13" t="s">
        <v>54</v>
      </c>
      <c r="J707" s="13" t="str">
        <f>""</f>
        <v/>
      </c>
      <c r="K707" s="13" t="str">
        <f>"PFES1162727378_0001"</f>
        <v>PFES1162727378_0001</v>
      </c>
      <c r="L707" s="13">
        <v>1</v>
      </c>
      <c r="M707" s="13">
        <v>5</v>
      </c>
    </row>
    <row r="708" spans="1:13" s="14" customFormat="1" ht="11.25">
      <c r="A708" s="11">
        <v>43808</v>
      </c>
      <c r="B708" s="12">
        <v>0.62847222222222221</v>
      </c>
      <c r="C708" s="13" t="str">
        <f>"FES1162727382"</f>
        <v>FES1162727382</v>
      </c>
      <c r="D708" s="13" t="s">
        <v>19</v>
      </c>
      <c r="E708" s="13" t="s">
        <v>527</v>
      </c>
      <c r="F708" s="13" t="str">
        <f>"2170710867 "</f>
        <v xml:space="preserve">2170710867 </v>
      </c>
      <c r="G708" s="13" t="str">
        <f t="shared" si="22"/>
        <v>ON1</v>
      </c>
      <c r="H708" s="13" t="s">
        <v>21</v>
      </c>
      <c r="I708" s="13" t="s">
        <v>72</v>
      </c>
      <c r="J708" s="13" t="str">
        <f>""</f>
        <v/>
      </c>
      <c r="K708" s="13" t="str">
        <f>"PFES1162727382_0001"</f>
        <v>PFES1162727382_0001</v>
      </c>
      <c r="L708" s="13">
        <v>1</v>
      </c>
      <c r="M708" s="13">
        <v>4</v>
      </c>
    </row>
    <row r="709" spans="1:13" s="14" customFormat="1" ht="11.25">
      <c r="A709" s="11">
        <v>43808</v>
      </c>
      <c r="B709" s="12">
        <v>0.62430555555555556</v>
      </c>
      <c r="C709" s="13" t="str">
        <f>"FES1162727452"</f>
        <v>FES1162727452</v>
      </c>
      <c r="D709" s="13" t="s">
        <v>19</v>
      </c>
      <c r="E709" s="13" t="s">
        <v>456</v>
      </c>
      <c r="F709" s="13" t="str">
        <f>"21707102932 "</f>
        <v xml:space="preserve">21707102932 </v>
      </c>
      <c r="G709" s="13" t="str">
        <f t="shared" si="22"/>
        <v>ON1</v>
      </c>
      <c r="H709" s="13" t="s">
        <v>21</v>
      </c>
      <c r="I709" s="13" t="s">
        <v>457</v>
      </c>
      <c r="J709" s="13" t="str">
        <f>""</f>
        <v/>
      </c>
      <c r="K709" s="13" t="str">
        <f>"PFES1162727452_0001"</f>
        <v>PFES1162727452_0001</v>
      </c>
      <c r="L709" s="13">
        <v>1</v>
      </c>
      <c r="M709" s="13">
        <v>13</v>
      </c>
    </row>
    <row r="710" spans="1:13" s="14" customFormat="1" ht="11.25">
      <c r="A710" s="11">
        <v>43808</v>
      </c>
      <c r="B710" s="12">
        <v>0.62152777777777779</v>
      </c>
      <c r="C710" s="13" t="str">
        <f>"FES1162727425"</f>
        <v>FES1162727425</v>
      </c>
      <c r="D710" s="13" t="s">
        <v>19</v>
      </c>
      <c r="E710" s="13" t="s">
        <v>528</v>
      </c>
      <c r="F710" s="13" t="str">
        <f>"21707102447 "</f>
        <v xml:space="preserve">21707102447 </v>
      </c>
      <c r="G710" s="13" t="str">
        <f t="shared" si="22"/>
        <v>ON1</v>
      </c>
      <c r="H710" s="13" t="s">
        <v>21</v>
      </c>
      <c r="I710" s="13" t="s">
        <v>33</v>
      </c>
      <c r="J710" s="13" t="str">
        <f>""</f>
        <v/>
      </c>
      <c r="K710" s="13" t="str">
        <f>"PFES1162727425_0001"</f>
        <v>PFES1162727425_0001</v>
      </c>
      <c r="L710" s="13">
        <v>1</v>
      </c>
      <c r="M710" s="13">
        <v>17</v>
      </c>
    </row>
    <row r="711" spans="1:13" s="14" customFormat="1" ht="11.25">
      <c r="A711" s="11">
        <v>43808</v>
      </c>
      <c r="B711" s="12">
        <v>0.62083333333333335</v>
      </c>
      <c r="C711" s="13" t="str">
        <f>"FES1162727427"</f>
        <v>FES1162727427</v>
      </c>
      <c r="D711" s="13" t="s">
        <v>19</v>
      </c>
      <c r="E711" s="13" t="s">
        <v>529</v>
      </c>
      <c r="F711" s="13" t="str">
        <f>"21707108522 "</f>
        <v xml:space="preserve">21707108522 </v>
      </c>
      <c r="G711" s="13" t="str">
        <f t="shared" si="22"/>
        <v>ON1</v>
      </c>
      <c r="H711" s="13" t="s">
        <v>21</v>
      </c>
      <c r="I711" s="13" t="s">
        <v>136</v>
      </c>
      <c r="J711" s="13" t="str">
        <f>""</f>
        <v/>
      </c>
      <c r="K711" s="13" t="str">
        <f>"PFES1162727427_0001"</f>
        <v>PFES1162727427_0001</v>
      </c>
      <c r="L711" s="13">
        <v>1</v>
      </c>
      <c r="M711" s="13">
        <v>18</v>
      </c>
    </row>
    <row r="712" spans="1:13" s="14" customFormat="1" ht="11.25">
      <c r="A712" s="11">
        <v>43808</v>
      </c>
      <c r="B712" s="12">
        <v>0.62083333333333335</v>
      </c>
      <c r="C712" s="13" t="str">
        <f>"FES1162727366"</f>
        <v>FES1162727366</v>
      </c>
      <c r="D712" s="13" t="s">
        <v>19</v>
      </c>
      <c r="E712" s="13" t="s">
        <v>530</v>
      </c>
      <c r="F712" s="13" t="str">
        <f>"21707108546 "</f>
        <v xml:space="preserve">21707108546 </v>
      </c>
      <c r="G712" s="13" t="str">
        <f t="shared" si="22"/>
        <v>ON1</v>
      </c>
      <c r="H712" s="13" t="s">
        <v>21</v>
      </c>
      <c r="I712" s="13" t="s">
        <v>132</v>
      </c>
      <c r="J712" s="13" t="str">
        <f>""</f>
        <v/>
      </c>
      <c r="K712" s="13" t="str">
        <f>"PFES1162727366_0001"</f>
        <v>PFES1162727366_0001</v>
      </c>
      <c r="L712" s="13">
        <v>1</v>
      </c>
      <c r="M712" s="13">
        <v>6</v>
      </c>
    </row>
    <row r="713" spans="1:13" s="14" customFormat="1" ht="11.25">
      <c r="A713" s="11">
        <v>43808</v>
      </c>
      <c r="B713" s="12">
        <v>0.62013888888888891</v>
      </c>
      <c r="C713" s="13" t="str">
        <f>"FES1162727362"</f>
        <v>FES1162727362</v>
      </c>
      <c r="D713" s="13" t="s">
        <v>19</v>
      </c>
      <c r="E713" s="13" t="s">
        <v>55</v>
      </c>
      <c r="F713" s="13" t="str">
        <f>"2170720843 "</f>
        <v xml:space="preserve">2170720843 </v>
      </c>
      <c r="G713" s="13" t="str">
        <f>"DBC"</f>
        <v>DBC</v>
      </c>
      <c r="H713" s="13" t="s">
        <v>21</v>
      </c>
      <c r="I713" s="13" t="s">
        <v>56</v>
      </c>
      <c r="J713" s="13" t="str">
        <f>""</f>
        <v/>
      </c>
      <c r="K713" s="13" t="str">
        <f>"PFES1162727362_0001"</f>
        <v>PFES1162727362_0001</v>
      </c>
      <c r="L713" s="13">
        <v>2</v>
      </c>
      <c r="M713" s="13">
        <v>21</v>
      </c>
    </row>
    <row r="714" spans="1:13" s="14" customFormat="1" ht="11.25">
      <c r="A714" s="11">
        <v>43808</v>
      </c>
      <c r="B714" s="12">
        <v>0.62013888888888891</v>
      </c>
      <c r="C714" s="13" t="str">
        <f>"FES1162727362"</f>
        <v>FES1162727362</v>
      </c>
      <c r="D714" s="13" t="s">
        <v>19</v>
      </c>
      <c r="E714" s="13" t="s">
        <v>55</v>
      </c>
      <c r="F714" s="13" t="str">
        <f>"2170720843 "</f>
        <v xml:space="preserve">2170720843 </v>
      </c>
      <c r="G714" s="13" t="str">
        <f>"DBC"</f>
        <v>DBC</v>
      </c>
      <c r="H714" s="13" t="s">
        <v>21</v>
      </c>
      <c r="I714" s="13" t="s">
        <v>56</v>
      </c>
      <c r="J714" s="13"/>
      <c r="K714" s="13" t="str">
        <f>"PFES1162727362_0002"</f>
        <v>PFES1162727362_0002</v>
      </c>
      <c r="L714" s="13">
        <v>2</v>
      </c>
      <c r="M714" s="13">
        <v>21</v>
      </c>
    </row>
    <row r="715" spans="1:13" s="14" customFormat="1" ht="11.25">
      <c r="A715" s="7">
        <v>43809</v>
      </c>
      <c r="B715" s="8">
        <v>0.68333333333333324</v>
      </c>
      <c r="C715" s="10" t="str">
        <f>"FES1162727683"</f>
        <v>FES1162727683</v>
      </c>
      <c r="D715" s="10" t="s">
        <v>19</v>
      </c>
      <c r="E715" s="10" t="s">
        <v>42</v>
      </c>
      <c r="F715" s="10" t="str">
        <f>"2170718582 "</f>
        <v xml:space="preserve">2170718582 </v>
      </c>
      <c r="G715" s="10" t="str">
        <f t="shared" ref="G715:G756" si="23">"ON1"</f>
        <v>ON1</v>
      </c>
      <c r="H715" s="10" t="s">
        <v>21</v>
      </c>
      <c r="I715" s="10" t="s">
        <v>43</v>
      </c>
      <c r="J715" s="10" t="str">
        <f>""</f>
        <v/>
      </c>
      <c r="K715" s="10" t="str">
        <f>"PFES1162727683_0001"</f>
        <v>PFES1162727683_0001</v>
      </c>
      <c r="L715" s="10">
        <v>1</v>
      </c>
      <c r="M715" s="10">
        <v>2</v>
      </c>
    </row>
    <row r="716" spans="1:13" s="14" customFormat="1" ht="11.25">
      <c r="A716" s="7">
        <v>43809</v>
      </c>
      <c r="B716" s="8">
        <v>0.68263888888888891</v>
      </c>
      <c r="C716" s="10" t="str">
        <f>"FES1162727663"</f>
        <v>FES1162727663</v>
      </c>
      <c r="D716" s="10" t="s">
        <v>19</v>
      </c>
      <c r="E716" s="10" t="s">
        <v>531</v>
      </c>
      <c r="F716" s="10" t="str">
        <f>"217071162 "</f>
        <v xml:space="preserve">217071162 </v>
      </c>
      <c r="G716" s="10" t="str">
        <f t="shared" si="23"/>
        <v>ON1</v>
      </c>
      <c r="H716" s="10" t="s">
        <v>21</v>
      </c>
      <c r="I716" s="10" t="s">
        <v>85</v>
      </c>
      <c r="J716" s="10" t="str">
        <f>""</f>
        <v/>
      </c>
      <c r="K716" s="10" t="str">
        <f>"PFES1162727663_0001"</f>
        <v>PFES1162727663_0001</v>
      </c>
      <c r="L716" s="10">
        <v>1</v>
      </c>
      <c r="M716" s="10">
        <v>1</v>
      </c>
    </row>
    <row r="717" spans="1:13" s="14" customFormat="1" ht="11.25">
      <c r="A717" s="7">
        <v>43809</v>
      </c>
      <c r="B717" s="8">
        <v>0.68263888888888891</v>
      </c>
      <c r="C717" s="10" t="str">
        <f>"FES1162727700"</f>
        <v>FES1162727700</v>
      </c>
      <c r="D717" s="10" t="s">
        <v>19</v>
      </c>
      <c r="E717" s="10" t="s">
        <v>61</v>
      </c>
      <c r="F717" s="10" t="str">
        <f>"217071193 "</f>
        <v xml:space="preserve">217071193 </v>
      </c>
      <c r="G717" s="10" t="str">
        <f t="shared" si="23"/>
        <v>ON1</v>
      </c>
      <c r="H717" s="10" t="s">
        <v>21</v>
      </c>
      <c r="I717" s="10" t="s">
        <v>62</v>
      </c>
      <c r="J717" s="10" t="str">
        <f>""</f>
        <v/>
      </c>
      <c r="K717" s="10" t="str">
        <f>"PFES1162727700_0001"</f>
        <v>PFES1162727700_0001</v>
      </c>
      <c r="L717" s="10">
        <v>1</v>
      </c>
      <c r="M717" s="10">
        <v>1</v>
      </c>
    </row>
    <row r="718" spans="1:13" s="14" customFormat="1" ht="11.25">
      <c r="A718" s="7">
        <v>43809</v>
      </c>
      <c r="B718" s="8">
        <v>0.68263888888888891</v>
      </c>
      <c r="C718" s="10" t="str">
        <f>"FES1162727691"</f>
        <v>FES1162727691</v>
      </c>
      <c r="D718" s="10" t="s">
        <v>19</v>
      </c>
      <c r="E718" s="10" t="s">
        <v>335</v>
      </c>
      <c r="F718" s="10" t="str">
        <f>"2170711184 "</f>
        <v xml:space="preserve">2170711184 </v>
      </c>
      <c r="G718" s="10" t="str">
        <f t="shared" si="23"/>
        <v>ON1</v>
      </c>
      <c r="H718" s="10" t="s">
        <v>21</v>
      </c>
      <c r="I718" s="10" t="s">
        <v>336</v>
      </c>
      <c r="J718" s="10" t="str">
        <f>""</f>
        <v/>
      </c>
      <c r="K718" s="10" t="str">
        <f>"PFES1162727691_0001"</f>
        <v>PFES1162727691_0001</v>
      </c>
      <c r="L718" s="10">
        <v>1</v>
      </c>
      <c r="M718" s="10">
        <v>1</v>
      </c>
    </row>
    <row r="719" spans="1:13" s="14" customFormat="1" ht="11.25">
      <c r="A719" s="7">
        <v>43809</v>
      </c>
      <c r="B719" s="8">
        <v>0.68194444444444446</v>
      </c>
      <c r="C719" s="10" t="str">
        <f>"FES1162727616"</f>
        <v>FES1162727616</v>
      </c>
      <c r="D719" s="10" t="s">
        <v>19</v>
      </c>
      <c r="E719" s="10" t="s">
        <v>532</v>
      </c>
      <c r="F719" s="10" t="str">
        <f>"2170711111 "</f>
        <v xml:space="preserve">2170711111 </v>
      </c>
      <c r="G719" s="10" t="str">
        <f t="shared" si="23"/>
        <v>ON1</v>
      </c>
      <c r="H719" s="10" t="s">
        <v>21</v>
      </c>
      <c r="I719" s="10" t="s">
        <v>533</v>
      </c>
      <c r="J719" s="10" t="str">
        <f>""</f>
        <v/>
      </c>
      <c r="K719" s="10" t="str">
        <f>"PFES1162727616_0001"</f>
        <v>PFES1162727616_0001</v>
      </c>
      <c r="L719" s="10">
        <v>1</v>
      </c>
      <c r="M719" s="10">
        <v>1</v>
      </c>
    </row>
    <row r="720" spans="1:13" s="14" customFormat="1" ht="11.25">
      <c r="A720" s="7">
        <v>43809</v>
      </c>
      <c r="B720" s="8">
        <v>0.68194444444444446</v>
      </c>
      <c r="C720" s="10" t="str">
        <f>"FES1162727611"</f>
        <v>FES1162727611</v>
      </c>
      <c r="D720" s="10" t="s">
        <v>19</v>
      </c>
      <c r="E720" s="10" t="s">
        <v>24</v>
      </c>
      <c r="F720" s="10" t="str">
        <f>"217071103 "</f>
        <v xml:space="preserve">217071103 </v>
      </c>
      <c r="G720" s="10" t="str">
        <f t="shared" si="23"/>
        <v>ON1</v>
      </c>
      <c r="H720" s="10" t="s">
        <v>21</v>
      </c>
      <c r="I720" s="10" t="s">
        <v>25</v>
      </c>
      <c r="J720" s="10" t="str">
        <f>""</f>
        <v/>
      </c>
      <c r="K720" s="10" t="str">
        <f>"PFES1162727611_0001"</f>
        <v>PFES1162727611_0001</v>
      </c>
      <c r="L720" s="10">
        <v>1</v>
      </c>
      <c r="M720" s="10">
        <v>1</v>
      </c>
    </row>
    <row r="721" spans="1:13" s="14" customFormat="1" ht="11.25">
      <c r="A721" s="7">
        <v>43809</v>
      </c>
      <c r="B721" s="8">
        <v>0.6791666666666667</v>
      </c>
      <c r="C721" s="10" t="str">
        <f>"FES1162727674"</f>
        <v>FES1162727674</v>
      </c>
      <c r="D721" s="10" t="s">
        <v>19</v>
      </c>
      <c r="E721" s="10" t="s">
        <v>534</v>
      </c>
      <c r="F721" s="10" t="str">
        <f>"2170716503 "</f>
        <v xml:space="preserve">2170716503 </v>
      </c>
      <c r="G721" s="10" t="str">
        <f t="shared" si="23"/>
        <v>ON1</v>
      </c>
      <c r="H721" s="10" t="s">
        <v>21</v>
      </c>
      <c r="I721" s="10" t="s">
        <v>535</v>
      </c>
      <c r="J721" s="10" t="str">
        <f>""</f>
        <v/>
      </c>
      <c r="K721" s="10" t="str">
        <f>"PFES1162727674_0001"</f>
        <v>PFES1162727674_0001</v>
      </c>
      <c r="L721" s="10">
        <v>1</v>
      </c>
      <c r="M721" s="10">
        <v>6</v>
      </c>
    </row>
    <row r="722" spans="1:13" s="14" customFormat="1" ht="11.25">
      <c r="A722" s="7">
        <v>43809</v>
      </c>
      <c r="B722" s="8">
        <v>0.6791666666666667</v>
      </c>
      <c r="C722" s="10" t="str">
        <f>"FES1162727675"</f>
        <v>FES1162727675</v>
      </c>
      <c r="D722" s="10" t="s">
        <v>19</v>
      </c>
      <c r="E722" s="10" t="s">
        <v>534</v>
      </c>
      <c r="F722" s="10" t="str">
        <f>"217071508 "</f>
        <v xml:space="preserve">217071508 </v>
      </c>
      <c r="G722" s="10" t="str">
        <f t="shared" si="23"/>
        <v>ON1</v>
      </c>
      <c r="H722" s="10" t="s">
        <v>21</v>
      </c>
      <c r="I722" s="10" t="s">
        <v>535</v>
      </c>
      <c r="J722" s="10" t="str">
        <f>""</f>
        <v/>
      </c>
      <c r="K722" s="10" t="str">
        <f>"PFES1162727675_0001"</f>
        <v>PFES1162727675_0001</v>
      </c>
      <c r="L722" s="10">
        <v>1</v>
      </c>
      <c r="M722" s="10">
        <v>5</v>
      </c>
    </row>
    <row r="723" spans="1:13" s="14" customFormat="1" ht="11.25">
      <c r="A723" s="7">
        <v>43809</v>
      </c>
      <c r="B723" s="8">
        <v>0.67847222222222225</v>
      </c>
      <c r="C723" s="10" t="str">
        <f>"FES1162727685"</f>
        <v>FES1162727685</v>
      </c>
      <c r="D723" s="10" t="s">
        <v>19</v>
      </c>
      <c r="E723" s="10" t="s">
        <v>536</v>
      </c>
      <c r="F723" s="10" t="str">
        <f>"2170718851 "</f>
        <v xml:space="preserve">2170718851 </v>
      </c>
      <c r="G723" s="10" t="str">
        <f t="shared" si="23"/>
        <v>ON1</v>
      </c>
      <c r="H723" s="10" t="s">
        <v>21</v>
      </c>
      <c r="I723" s="10" t="s">
        <v>223</v>
      </c>
      <c r="J723" s="10" t="str">
        <f>""</f>
        <v/>
      </c>
      <c r="K723" s="10" t="str">
        <f>"PFES1162727685_0001"</f>
        <v>PFES1162727685_0001</v>
      </c>
      <c r="L723" s="10">
        <v>1</v>
      </c>
      <c r="M723" s="10">
        <v>2</v>
      </c>
    </row>
    <row r="724" spans="1:13" s="14" customFormat="1" ht="11.25">
      <c r="A724" s="7">
        <v>43809</v>
      </c>
      <c r="B724" s="8">
        <v>0.67847222222222225</v>
      </c>
      <c r="C724" s="10" t="str">
        <f>"FES1162727688"</f>
        <v>FES1162727688</v>
      </c>
      <c r="D724" s="10" t="s">
        <v>19</v>
      </c>
      <c r="E724" s="10" t="s">
        <v>75</v>
      </c>
      <c r="F724" s="10" t="str">
        <f>"2170719517 "</f>
        <v xml:space="preserve">2170719517 </v>
      </c>
      <c r="G724" s="10" t="str">
        <f t="shared" si="23"/>
        <v>ON1</v>
      </c>
      <c r="H724" s="10" t="s">
        <v>21</v>
      </c>
      <c r="I724" s="10" t="s">
        <v>76</v>
      </c>
      <c r="J724" s="10" t="str">
        <f>""</f>
        <v/>
      </c>
      <c r="K724" s="10" t="str">
        <f>"PFES1162727688_0001"</f>
        <v>PFES1162727688_0001</v>
      </c>
      <c r="L724" s="10">
        <v>1</v>
      </c>
      <c r="M724" s="10">
        <v>2</v>
      </c>
    </row>
    <row r="725" spans="1:13" s="14" customFormat="1" ht="11.25">
      <c r="A725" s="7">
        <v>43809</v>
      </c>
      <c r="B725" s="8">
        <v>0.67847222222222225</v>
      </c>
      <c r="C725" s="10" t="str">
        <f>"FES1162727656"</f>
        <v>FES1162727656</v>
      </c>
      <c r="D725" s="10" t="s">
        <v>19</v>
      </c>
      <c r="E725" s="10" t="s">
        <v>537</v>
      </c>
      <c r="F725" s="10" t="str">
        <f>"217071155 "</f>
        <v xml:space="preserve">217071155 </v>
      </c>
      <c r="G725" s="10" t="str">
        <f t="shared" si="23"/>
        <v>ON1</v>
      </c>
      <c r="H725" s="10" t="s">
        <v>21</v>
      </c>
      <c r="I725" s="10" t="s">
        <v>538</v>
      </c>
      <c r="J725" s="10" t="str">
        <f>""</f>
        <v/>
      </c>
      <c r="K725" s="10" t="str">
        <f>"PFES1162727656_0001"</f>
        <v>PFES1162727656_0001</v>
      </c>
      <c r="L725" s="10">
        <v>1</v>
      </c>
      <c r="M725" s="10">
        <v>1</v>
      </c>
    </row>
    <row r="726" spans="1:13" s="14" customFormat="1" ht="11.25">
      <c r="A726" s="7">
        <v>43809</v>
      </c>
      <c r="B726" s="8">
        <v>0.67569444444444438</v>
      </c>
      <c r="C726" s="10" t="str">
        <f>"FES1162727646"</f>
        <v>FES1162727646</v>
      </c>
      <c r="D726" s="10" t="s">
        <v>19</v>
      </c>
      <c r="E726" s="10" t="s">
        <v>250</v>
      </c>
      <c r="F726" s="10" t="str">
        <f>"2170712059 "</f>
        <v xml:space="preserve">2170712059 </v>
      </c>
      <c r="G726" s="10" t="str">
        <f t="shared" si="23"/>
        <v>ON1</v>
      </c>
      <c r="H726" s="10" t="s">
        <v>21</v>
      </c>
      <c r="I726" s="10" t="s">
        <v>251</v>
      </c>
      <c r="J726" s="10" t="str">
        <f>""</f>
        <v/>
      </c>
      <c r="K726" s="10" t="str">
        <f>"PFES1162727646_0001"</f>
        <v>PFES1162727646_0001</v>
      </c>
      <c r="L726" s="10">
        <v>1</v>
      </c>
      <c r="M726" s="10">
        <v>3</v>
      </c>
    </row>
    <row r="727" spans="1:13" s="14" customFormat="1" ht="11.25">
      <c r="A727" s="7">
        <v>43809</v>
      </c>
      <c r="B727" s="8">
        <v>0.67569444444444438</v>
      </c>
      <c r="C727" s="10" t="str">
        <f>"FES1162727676"</f>
        <v>FES1162727676</v>
      </c>
      <c r="D727" s="10" t="s">
        <v>19</v>
      </c>
      <c r="E727" s="10" t="s">
        <v>42</v>
      </c>
      <c r="F727" s="10" t="str">
        <f>"217071213 "</f>
        <v xml:space="preserve">217071213 </v>
      </c>
      <c r="G727" s="10" t="str">
        <f t="shared" si="23"/>
        <v>ON1</v>
      </c>
      <c r="H727" s="10" t="s">
        <v>21</v>
      </c>
      <c r="I727" s="10" t="s">
        <v>43</v>
      </c>
      <c r="J727" s="10" t="str">
        <f>""</f>
        <v/>
      </c>
      <c r="K727" s="10" t="str">
        <f>"PFES1162727676_0001"</f>
        <v>PFES1162727676_0001</v>
      </c>
      <c r="L727" s="10">
        <v>1</v>
      </c>
      <c r="M727" s="10">
        <v>14</v>
      </c>
    </row>
    <row r="728" spans="1:13" s="14" customFormat="1" ht="11.25">
      <c r="A728" s="7">
        <v>43809</v>
      </c>
      <c r="B728" s="8">
        <v>0.67499999999999993</v>
      </c>
      <c r="C728" s="10" t="str">
        <f>"FES1162727678"</f>
        <v>FES1162727678</v>
      </c>
      <c r="D728" s="10" t="s">
        <v>19</v>
      </c>
      <c r="E728" s="10" t="s">
        <v>507</v>
      </c>
      <c r="F728" s="10" t="str">
        <f>"217071401 "</f>
        <v xml:space="preserve">217071401 </v>
      </c>
      <c r="G728" s="10" t="str">
        <f t="shared" si="23"/>
        <v>ON1</v>
      </c>
      <c r="H728" s="10" t="s">
        <v>21</v>
      </c>
      <c r="I728" s="10" t="s">
        <v>508</v>
      </c>
      <c r="J728" s="10" t="str">
        <f>""</f>
        <v/>
      </c>
      <c r="K728" s="10" t="str">
        <f>"PFES1162727678_0001"</f>
        <v>PFES1162727678_0001</v>
      </c>
      <c r="L728" s="10">
        <v>1</v>
      </c>
      <c r="M728" s="10">
        <v>3</v>
      </c>
    </row>
    <row r="729" spans="1:13" s="14" customFormat="1" ht="11.25">
      <c r="A729" s="7">
        <v>43809</v>
      </c>
      <c r="B729" s="8">
        <v>0.67499999999999993</v>
      </c>
      <c r="C729" s="10" t="str">
        <f>"FES1162727681"</f>
        <v>FES1162727681</v>
      </c>
      <c r="D729" s="10" t="s">
        <v>19</v>
      </c>
      <c r="E729" s="10" t="s">
        <v>520</v>
      </c>
      <c r="F729" s="10" t="str">
        <f>"21707217703 "</f>
        <v xml:space="preserve">21707217703 </v>
      </c>
      <c r="G729" s="10" t="str">
        <f t="shared" si="23"/>
        <v>ON1</v>
      </c>
      <c r="H729" s="10" t="s">
        <v>21</v>
      </c>
      <c r="I729" s="10" t="s">
        <v>521</v>
      </c>
      <c r="J729" s="10" t="str">
        <f>""</f>
        <v/>
      </c>
      <c r="K729" s="10" t="str">
        <f>"PFES1162727681_0001"</f>
        <v>PFES1162727681_0001</v>
      </c>
      <c r="L729" s="10">
        <v>1</v>
      </c>
      <c r="M729" s="10">
        <v>13</v>
      </c>
    </row>
    <row r="730" spans="1:13" s="14" customFormat="1" ht="11.25">
      <c r="A730" s="7">
        <v>43809</v>
      </c>
      <c r="B730" s="8">
        <v>0.67083333333333339</v>
      </c>
      <c r="C730" s="10" t="str">
        <f>"FES1162727642"</f>
        <v>FES1162727642</v>
      </c>
      <c r="D730" s="10" t="s">
        <v>19</v>
      </c>
      <c r="E730" s="10" t="s">
        <v>267</v>
      </c>
      <c r="F730" s="10" t="str">
        <f>"2170721147 "</f>
        <v xml:space="preserve">2170721147 </v>
      </c>
      <c r="G730" s="10" t="str">
        <f t="shared" si="23"/>
        <v>ON1</v>
      </c>
      <c r="H730" s="10" t="s">
        <v>21</v>
      </c>
      <c r="I730" s="10" t="s">
        <v>268</v>
      </c>
      <c r="J730" s="10" t="str">
        <f>""</f>
        <v/>
      </c>
      <c r="K730" s="10" t="str">
        <f>"PFES1162727642_0001"</f>
        <v>PFES1162727642_0001</v>
      </c>
      <c r="L730" s="10">
        <v>1</v>
      </c>
      <c r="M730" s="10">
        <v>1</v>
      </c>
    </row>
    <row r="731" spans="1:13" s="14" customFormat="1" ht="11.25">
      <c r="A731" s="7">
        <v>43809</v>
      </c>
      <c r="B731" s="8">
        <v>0.67013888888888884</v>
      </c>
      <c r="C731" s="10" t="str">
        <f>"FES1162727670"</f>
        <v>FES1162727670</v>
      </c>
      <c r="D731" s="10" t="s">
        <v>19</v>
      </c>
      <c r="E731" s="10" t="s">
        <v>539</v>
      </c>
      <c r="F731" s="10" t="str">
        <f>"217071174 "</f>
        <v xml:space="preserve">217071174 </v>
      </c>
      <c r="G731" s="10" t="str">
        <f t="shared" si="23"/>
        <v>ON1</v>
      </c>
      <c r="H731" s="10" t="s">
        <v>21</v>
      </c>
      <c r="I731" s="10" t="s">
        <v>540</v>
      </c>
      <c r="J731" s="10" t="str">
        <f>""</f>
        <v/>
      </c>
      <c r="K731" s="10" t="str">
        <f>"PFES1162727670_0001"</f>
        <v>PFES1162727670_0001</v>
      </c>
      <c r="L731" s="10">
        <v>1</v>
      </c>
      <c r="M731" s="10">
        <v>2</v>
      </c>
    </row>
    <row r="732" spans="1:13" s="14" customFormat="1" ht="11.25">
      <c r="A732" s="7">
        <v>43809</v>
      </c>
      <c r="B732" s="8">
        <v>0.67013888888888884</v>
      </c>
      <c r="C732" s="10" t="str">
        <f>"FES1162727669"</f>
        <v>FES1162727669</v>
      </c>
      <c r="D732" s="10" t="s">
        <v>19</v>
      </c>
      <c r="E732" s="10" t="s">
        <v>417</v>
      </c>
      <c r="F732" s="10" t="str">
        <f>"2170721170 "</f>
        <v xml:space="preserve">2170721170 </v>
      </c>
      <c r="G732" s="10" t="str">
        <f t="shared" si="23"/>
        <v>ON1</v>
      </c>
      <c r="H732" s="10" t="s">
        <v>21</v>
      </c>
      <c r="I732" s="10" t="s">
        <v>418</v>
      </c>
      <c r="J732" s="10" t="str">
        <f>""</f>
        <v/>
      </c>
      <c r="K732" s="10" t="str">
        <f>"PFES1162727669_0001"</f>
        <v>PFES1162727669_0001</v>
      </c>
      <c r="L732" s="10">
        <v>1</v>
      </c>
      <c r="M732" s="10">
        <v>1</v>
      </c>
    </row>
    <row r="733" spans="1:13" s="14" customFormat="1" ht="11.25">
      <c r="A733" s="7">
        <v>43809</v>
      </c>
      <c r="B733" s="8">
        <v>0.6694444444444444</v>
      </c>
      <c r="C733" s="10" t="str">
        <f>"FES1162727660"</f>
        <v>FES1162727660</v>
      </c>
      <c r="D733" s="10" t="s">
        <v>19</v>
      </c>
      <c r="E733" s="10" t="s">
        <v>513</v>
      </c>
      <c r="F733" s="10" t="str">
        <f>"217071042 "</f>
        <v xml:space="preserve">217071042 </v>
      </c>
      <c r="G733" s="10" t="str">
        <f t="shared" si="23"/>
        <v>ON1</v>
      </c>
      <c r="H733" s="10" t="s">
        <v>21</v>
      </c>
      <c r="I733" s="10" t="s">
        <v>514</v>
      </c>
      <c r="J733" s="10" t="str">
        <f>""</f>
        <v/>
      </c>
      <c r="K733" s="10" t="str">
        <f>"PFES1162727660_0001"</f>
        <v>PFES1162727660_0001</v>
      </c>
      <c r="L733" s="10">
        <v>1</v>
      </c>
      <c r="M733" s="10">
        <v>1</v>
      </c>
    </row>
    <row r="734" spans="1:13" s="14" customFormat="1" ht="11.25">
      <c r="A734" s="7">
        <v>43809</v>
      </c>
      <c r="B734" s="8">
        <v>0.6694444444444444</v>
      </c>
      <c r="C734" s="10" t="str">
        <f>"FES1162727671"</f>
        <v>FES1162727671</v>
      </c>
      <c r="D734" s="10" t="s">
        <v>19</v>
      </c>
      <c r="E734" s="10" t="s">
        <v>38</v>
      </c>
      <c r="F734" s="10" t="str">
        <f>"2170721175 "</f>
        <v xml:space="preserve">2170721175 </v>
      </c>
      <c r="G734" s="10" t="str">
        <f t="shared" si="23"/>
        <v>ON1</v>
      </c>
      <c r="H734" s="10" t="s">
        <v>21</v>
      </c>
      <c r="I734" s="10" t="s">
        <v>39</v>
      </c>
      <c r="J734" s="10" t="str">
        <f>""</f>
        <v/>
      </c>
      <c r="K734" s="10" t="str">
        <f>"PFES1162727671_0001"</f>
        <v>PFES1162727671_0001</v>
      </c>
      <c r="L734" s="10">
        <v>1</v>
      </c>
      <c r="M734" s="10">
        <v>1</v>
      </c>
    </row>
    <row r="735" spans="1:13" s="14" customFormat="1" ht="11.25">
      <c r="A735" s="7">
        <v>43809</v>
      </c>
      <c r="B735" s="8">
        <v>0.66388888888888886</v>
      </c>
      <c r="C735" s="10" t="str">
        <f>"FES1162727695"</f>
        <v>FES1162727695</v>
      </c>
      <c r="D735" s="10" t="s">
        <v>19</v>
      </c>
      <c r="E735" s="10" t="s">
        <v>82</v>
      </c>
      <c r="F735" s="10" t="str">
        <f>"2170721188 "</f>
        <v xml:space="preserve">2170721188 </v>
      </c>
      <c r="G735" s="10" t="str">
        <f t="shared" si="23"/>
        <v>ON1</v>
      </c>
      <c r="H735" s="10" t="s">
        <v>21</v>
      </c>
      <c r="I735" s="10" t="s">
        <v>72</v>
      </c>
      <c r="J735" s="10" t="str">
        <f>""</f>
        <v/>
      </c>
      <c r="K735" s="10" t="str">
        <f>"PFES1162727695_0001"</f>
        <v>PFES1162727695_0001</v>
      </c>
      <c r="L735" s="10">
        <v>1</v>
      </c>
      <c r="M735" s="10">
        <v>1</v>
      </c>
    </row>
    <row r="736" spans="1:13" s="14" customFormat="1" ht="11.25">
      <c r="A736" s="7">
        <v>43809</v>
      </c>
      <c r="B736" s="8">
        <v>0.66319444444444442</v>
      </c>
      <c r="C736" s="10" t="str">
        <f>"FES1162727692"</f>
        <v>FES1162727692</v>
      </c>
      <c r="D736" s="10" t="s">
        <v>19</v>
      </c>
      <c r="E736" s="10" t="s">
        <v>354</v>
      </c>
      <c r="F736" s="10" t="str">
        <f>"2170721185 "</f>
        <v xml:space="preserve">2170721185 </v>
      </c>
      <c r="G736" s="10" t="str">
        <f t="shared" si="23"/>
        <v>ON1</v>
      </c>
      <c r="H736" s="10" t="s">
        <v>21</v>
      </c>
      <c r="I736" s="10" t="s">
        <v>355</v>
      </c>
      <c r="J736" s="10" t="str">
        <f>""</f>
        <v/>
      </c>
      <c r="K736" s="10" t="str">
        <f>"PFES1162727692_0001"</f>
        <v>PFES1162727692_0001</v>
      </c>
      <c r="L736" s="10">
        <v>1</v>
      </c>
      <c r="M736" s="10">
        <v>1</v>
      </c>
    </row>
    <row r="737" spans="1:13" s="14" customFormat="1" ht="11.25">
      <c r="A737" s="7">
        <v>43809</v>
      </c>
      <c r="B737" s="8">
        <v>0.66041666666666665</v>
      </c>
      <c r="C737" s="10" t="str">
        <f>"FES1162727664"</f>
        <v>FES1162727664</v>
      </c>
      <c r="D737" s="10" t="s">
        <v>19</v>
      </c>
      <c r="E737" s="10" t="s">
        <v>541</v>
      </c>
      <c r="F737" s="10" t="str">
        <f>"2170712263 "</f>
        <v xml:space="preserve">2170712263 </v>
      </c>
      <c r="G737" s="10" t="str">
        <f t="shared" si="23"/>
        <v>ON1</v>
      </c>
      <c r="H737" s="10" t="s">
        <v>21</v>
      </c>
      <c r="I737" s="10" t="s">
        <v>204</v>
      </c>
      <c r="J737" s="10" t="str">
        <f>""</f>
        <v/>
      </c>
      <c r="K737" s="10" t="str">
        <f>"PFES1162727664_0001"</f>
        <v>PFES1162727664_0001</v>
      </c>
      <c r="L737" s="10">
        <v>1</v>
      </c>
      <c r="M737" s="10">
        <v>1</v>
      </c>
    </row>
    <row r="738" spans="1:13" s="14" customFormat="1" ht="11.25">
      <c r="A738" s="7">
        <v>43809</v>
      </c>
      <c r="B738" s="8">
        <v>0.66041666666666665</v>
      </c>
      <c r="C738" s="10" t="str">
        <f>"FES1162727658"</f>
        <v>FES1162727658</v>
      </c>
      <c r="D738" s="10" t="s">
        <v>19</v>
      </c>
      <c r="E738" s="10" t="s">
        <v>542</v>
      </c>
      <c r="F738" s="10" t="str">
        <f>"2170718758 "</f>
        <v xml:space="preserve">2170718758 </v>
      </c>
      <c r="G738" s="10" t="str">
        <f t="shared" si="23"/>
        <v>ON1</v>
      </c>
      <c r="H738" s="10" t="s">
        <v>21</v>
      </c>
      <c r="I738" s="10" t="s">
        <v>246</v>
      </c>
      <c r="J738" s="10" t="str">
        <f>""</f>
        <v/>
      </c>
      <c r="K738" s="10" t="str">
        <f>"PFES1162727658_0001"</f>
        <v>PFES1162727658_0001</v>
      </c>
      <c r="L738" s="10">
        <v>1</v>
      </c>
      <c r="M738" s="10">
        <v>19</v>
      </c>
    </row>
    <row r="739" spans="1:13" s="14" customFormat="1" ht="11.25">
      <c r="A739" s="7">
        <v>43809</v>
      </c>
      <c r="B739" s="8">
        <v>0.65972222222222221</v>
      </c>
      <c r="C739" s="10" t="str">
        <f>"FES1162727647"</f>
        <v>FES1162727647</v>
      </c>
      <c r="D739" s="10" t="s">
        <v>19</v>
      </c>
      <c r="E739" s="10" t="s">
        <v>173</v>
      </c>
      <c r="F739" s="10" t="str">
        <f>"21707120150 "</f>
        <v xml:space="preserve">21707120150 </v>
      </c>
      <c r="G739" s="10" t="str">
        <f t="shared" si="23"/>
        <v>ON1</v>
      </c>
      <c r="H739" s="10" t="s">
        <v>21</v>
      </c>
      <c r="I739" s="10" t="s">
        <v>130</v>
      </c>
      <c r="J739" s="10" t="str">
        <f>""</f>
        <v/>
      </c>
      <c r="K739" s="10" t="str">
        <f>"PFES1162727647_0001"</f>
        <v>PFES1162727647_0001</v>
      </c>
      <c r="L739" s="10">
        <v>1</v>
      </c>
      <c r="M739" s="10">
        <v>2</v>
      </c>
    </row>
    <row r="740" spans="1:13" s="14" customFormat="1" ht="11.25">
      <c r="A740" s="7">
        <v>43809</v>
      </c>
      <c r="B740" s="8">
        <v>0.65694444444444444</v>
      </c>
      <c r="C740" s="10" t="str">
        <f>"FES1162727673"</f>
        <v>FES1162727673</v>
      </c>
      <c r="D740" s="10" t="s">
        <v>19</v>
      </c>
      <c r="E740" s="10" t="s">
        <v>99</v>
      </c>
      <c r="F740" s="10" t="str">
        <f>"2170714914 "</f>
        <v xml:space="preserve">2170714914 </v>
      </c>
      <c r="G740" s="10" t="str">
        <f t="shared" si="23"/>
        <v>ON1</v>
      </c>
      <c r="H740" s="10" t="s">
        <v>21</v>
      </c>
      <c r="I740" s="10" t="s">
        <v>100</v>
      </c>
      <c r="J740" s="10" t="str">
        <f>""</f>
        <v/>
      </c>
      <c r="K740" s="10" t="str">
        <f>"PFES1162727673_0001"</f>
        <v>PFES1162727673_0001</v>
      </c>
      <c r="L740" s="10">
        <v>1</v>
      </c>
      <c r="M740" s="10">
        <v>2</v>
      </c>
    </row>
    <row r="741" spans="1:13" s="14" customFormat="1" ht="11.25">
      <c r="A741" s="7">
        <v>43809</v>
      </c>
      <c r="B741" s="8">
        <v>0.65625</v>
      </c>
      <c r="C741" s="10" t="str">
        <f>"FES1162727686"</f>
        <v>FES1162727686</v>
      </c>
      <c r="D741" s="10" t="s">
        <v>19</v>
      </c>
      <c r="E741" s="10" t="s">
        <v>82</v>
      </c>
      <c r="F741" s="10" t="str">
        <f>"2170719188 "</f>
        <v xml:space="preserve">2170719188 </v>
      </c>
      <c r="G741" s="10" t="str">
        <f t="shared" si="23"/>
        <v>ON1</v>
      </c>
      <c r="H741" s="10" t="s">
        <v>21</v>
      </c>
      <c r="I741" s="10" t="s">
        <v>72</v>
      </c>
      <c r="J741" s="10" t="str">
        <f>""</f>
        <v/>
      </c>
      <c r="K741" s="10" t="str">
        <f>"PFES1162727686_0001"</f>
        <v>PFES1162727686_0001</v>
      </c>
      <c r="L741" s="10">
        <v>1</v>
      </c>
      <c r="M741" s="10">
        <v>3</v>
      </c>
    </row>
    <row r="742" spans="1:13" s="14" customFormat="1" ht="11.25">
      <c r="A742" s="7">
        <v>43809</v>
      </c>
      <c r="B742" s="8">
        <v>0.65277777777777779</v>
      </c>
      <c r="C742" s="10" t="str">
        <f>"FES1162727650"</f>
        <v>FES1162727650</v>
      </c>
      <c r="D742" s="10" t="s">
        <v>19</v>
      </c>
      <c r="E742" s="10" t="s">
        <v>59</v>
      </c>
      <c r="F742" s="10" t="str">
        <f>"2170712067 "</f>
        <v xml:space="preserve">2170712067 </v>
      </c>
      <c r="G742" s="10" t="str">
        <f t="shared" si="23"/>
        <v>ON1</v>
      </c>
      <c r="H742" s="10" t="s">
        <v>21</v>
      </c>
      <c r="I742" s="10" t="s">
        <v>60</v>
      </c>
      <c r="J742" s="10" t="str">
        <f>""</f>
        <v/>
      </c>
      <c r="K742" s="10" t="str">
        <f>"PFES1162727650_0001"</f>
        <v>PFES1162727650_0001</v>
      </c>
      <c r="L742" s="10">
        <v>2</v>
      </c>
      <c r="M742" s="10">
        <v>6</v>
      </c>
    </row>
    <row r="743" spans="1:13" s="14" customFormat="1" ht="11.25">
      <c r="A743" s="7">
        <v>43809</v>
      </c>
      <c r="B743" s="8">
        <v>0.65138888888888891</v>
      </c>
      <c r="C743" s="10" t="str">
        <f>"FES1162727636"</f>
        <v>FES1162727636</v>
      </c>
      <c r="D743" s="10" t="s">
        <v>19</v>
      </c>
      <c r="E743" s="10" t="s">
        <v>82</v>
      </c>
      <c r="F743" s="10" t="str">
        <f>"217071137 "</f>
        <v xml:space="preserve">217071137 </v>
      </c>
      <c r="G743" s="10" t="str">
        <f t="shared" si="23"/>
        <v>ON1</v>
      </c>
      <c r="H743" s="10" t="s">
        <v>21</v>
      </c>
      <c r="I743" s="10" t="s">
        <v>72</v>
      </c>
      <c r="J743" s="10" t="str">
        <f>""</f>
        <v/>
      </c>
      <c r="K743" s="10" t="str">
        <f>"PFES1162727636_0001"</f>
        <v>PFES1162727636_0001</v>
      </c>
      <c r="L743" s="10">
        <v>1</v>
      </c>
      <c r="M743" s="10">
        <v>5</v>
      </c>
    </row>
    <row r="744" spans="1:13" s="14" customFormat="1" ht="11.25">
      <c r="A744" s="7">
        <v>43809</v>
      </c>
      <c r="B744" s="8">
        <v>0.65138888888888891</v>
      </c>
      <c r="C744" s="10" t="str">
        <f>"FES1162727654"</f>
        <v>FES1162727654</v>
      </c>
      <c r="D744" s="10" t="s">
        <v>19</v>
      </c>
      <c r="E744" s="10" t="s">
        <v>53</v>
      </c>
      <c r="F744" s="10" t="str">
        <f>"2170715512 "</f>
        <v xml:space="preserve">2170715512 </v>
      </c>
      <c r="G744" s="10" t="str">
        <f t="shared" si="23"/>
        <v>ON1</v>
      </c>
      <c r="H744" s="10" t="s">
        <v>21</v>
      </c>
      <c r="I744" s="10" t="s">
        <v>54</v>
      </c>
      <c r="J744" s="10" t="str">
        <f>""</f>
        <v/>
      </c>
      <c r="K744" s="10" t="str">
        <f>"PFES1162727654_0001"</f>
        <v>PFES1162727654_0001</v>
      </c>
      <c r="L744" s="10">
        <v>1</v>
      </c>
      <c r="M744" s="10">
        <v>1</v>
      </c>
    </row>
    <row r="745" spans="1:13" s="14" customFormat="1" ht="11.25">
      <c r="A745" s="7">
        <v>43809</v>
      </c>
      <c r="B745" s="8">
        <v>0.64374999999999993</v>
      </c>
      <c r="C745" s="10" t="str">
        <f>"FES1162727623"</f>
        <v>FES1162727623</v>
      </c>
      <c r="D745" s="10" t="s">
        <v>19</v>
      </c>
      <c r="E745" s="10" t="s">
        <v>543</v>
      </c>
      <c r="F745" s="10" t="str">
        <f>"217071122 "</f>
        <v xml:space="preserve">217071122 </v>
      </c>
      <c r="G745" s="10" t="str">
        <f t="shared" si="23"/>
        <v>ON1</v>
      </c>
      <c r="H745" s="10" t="s">
        <v>21</v>
      </c>
      <c r="I745" s="10" t="s">
        <v>544</v>
      </c>
      <c r="J745" s="10" t="str">
        <f>""</f>
        <v/>
      </c>
      <c r="K745" s="10" t="str">
        <f>"PFES1162727623_0001"</f>
        <v>PFES1162727623_0001</v>
      </c>
      <c r="L745" s="10">
        <v>1</v>
      </c>
      <c r="M745" s="10">
        <v>1</v>
      </c>
    </row>
    <row r="746" spans="1:13" s="14" customFormat="1" ht="11.25">
      <c r="A746" s="7">
        <v>43809</v>
      </c>
      <c r="B746" s="8">
        <v>0.63888888888888895</v>
      </c>
      <c r="C746" s="10" t="str">
        <f>"FES1162727476"</f>
        <v>FES1162727476</v>
      </c>
      <c r="D746" s="10" t="s">
        <v>19</v>
      </c>
      <c r="E746" s="10" t="s">
        <v>24</v>
      </c>
      <c r="F746" s="10" t="str">
        <f>"2170716075 "</f>
        <v xml:space="preserve">2170716075 </v>
      </c>
      <c r="G746" s="10" t="str">
        <f t="shared" si="23"/>
        <v>ON1</v>
      </c>
      <c r="H746" s="10" t="s">
        <v>21</v>
      </c>
      <c r="I746" s="10" t="s">
        <v>25</v>
      </c>
      <c r="J746" s="10" t="str">
        <f>""</f>
        <v/>
      </c>
      <c r="K746" s="10" t="str">
        <f>"PFES1162727476_0001"</f>
        <v>PFES1162727476_0001</v>
      </c>
      <c r="L746" s="10">
        <v>1</v>
      </c>
      <c r="M746" s="10">
        <v>7</v>
      </c>
    </row>
    <row r="747" spans="1:13" s="14" customFormat="1" ht="11.25">
      <c r="A747" s="7">
        <v>43809</v>
      </c>
      <c r="B747" s="8">
        <v>0.6381944444444444</v>
      </c>
      <c r="C747" s="10" t="str">
        <f>"FES1162727662"</f>
        <v>FES1162727662</v>
      </c>
      <c r="D747" s="10" t="s">
        <v>19</v>
      </c>
      <c r="E747" s="10" t="s">
        <v>480</v>
      </c>
      <c r="F747" s="10" t="str">
        <f>"2170721161 "</f>
        <v xml:space="preserve">2170721161 </v>
      </c>
      <c r="G747" s="10" t="str">
        <f t="shared" si="23"/>
        <v>ON1</v>
      </c>
      <c r="H747" s="10" t="s">
        <v>21</v>
      </c>
      <c r="I747" s="10" t="s">
        <v>481</v>
      </c>
      <c r="J747" s="10" t="str">
        <f>""</f>
        <v/>
      </c>
      <c r="K747" s="10" t="str">
        <f>"PFES1162727662_0001"</f>
        <v>PFES1162727662_0001</v>
      </c>
      <c r="L747" s="10">
        <v>1</v>
      </c>
      <c r="M747" s="10">
        <v>1</v>
      </c>
    </row>
    <row r="748" spans="1:13" s="14" customFormat="1" ht="11.25">
      <c r="A748" s="7">
        <v>43809</v>
      </c>
      <c r="B748" s="8">
        <v>0.63750000000000007</v>
      </c>
      <c r="C748" s="10" t="str">
        <f>"FES1162727627"</f>
        <v>FES1162727627</v>
      </c>
      <c r="D748" s="10" t="s">
        <v>19</v>
      </c>
      <c r="E748" s="10" t="s">
        <v>120</v>
      </c>
      <c r="F748" s="10" t="str">
        <f>"2170721126 "</f>
        <v xml:space="preserve">2170721126 </v>
      </c>
      <c r="G748" s="10" t="str">
        <f t="shared" si="23"/>
        <v>ON1</v>
      </c>
      <c r="H748" s="10" t="s">
        <v>21</v>
      </c>
      <c r="I748" s="10" t="s">
        <v>121</v>
      </c>
      <c r="J748" s="10" t="str">
        <f>""</f>
        <v/>
      </c>
      <c r="K748" s="10" t="str">
        <f>"PFES1162727627_0001"</f>
        <v>PFES1162727627_0001</v>
      </c>
      <c r="L748" s="10">
        <v>1</v>
      </c>
      <c r="M748" s="10">
        <v>6</v>
      </c>
    </row>
    <row r="749" spans="1:13" s="14" customFormat="1" ht="11.25">
      <c r="A749" s="7">
        <v>43809</v>
      </c>
      <c r="B749" s="8">
        <v>0.63611111111111118</v>
      </c>
      <c r="C749" s="10" t="str">
        <f>"FES1162727661"</f>
        <v>FES1162727661</v>
      </c>
      <c r="D749" s="10" t="s">
        <v>19</v>
      </c>
      <c r="E749" s="10" t="s">
        <v>480</v>
      </c>
      <c r="F749" s="10" t="str">
        <f>"2170721160 "</f>
        <v xml:space="preserve">2170721160 </v>
      </c>
      <c r="G749" s="10" t="str">
        <f t="shared" si="23"/>
        <v>ON1</v>
      </c>
      <c r="H749" s="10" t="s">
        <v>21</v>
      </c>
      <c r="I749" s="10" t="s">
        <v>481</v>
      </c>
      <c r="J749" s="10" t="str">
        <f>""</f>
        <v/>
      </c>
      <c r="K749" s="10" t="str">
        <f>"PFES1162727661_0001"</f>
        <v>PFES1162727661_0001</v>
      </c>
      <c r="L749" s="10">
        <v>1</v>
      </c>
      <c r="M749" s="10">
        <v>1</v>
      </c>
    </row>
    <row r="750" spans="1:13" s="14" customFormat="1" ht="11.25">
      <c r="A750" s="7">
        <v>43809</v>
      </c>
      <c r="B750" s="8">
        <v>0.63541666666666663</v>
      </c>
      <c r="C750" s="10" t="str">
        <f>"FES1162727590"</f>
        <v>FES1162727590</v>
      </c>
      <c r="D750" s="10" t="s">
        <v>19</v>
      </c>
      <c r="E750" s="10" t="s">
        <v>545</v>
      </c>
      <c r="F750" s="10" t="str">
        <f>"2170721075 "</f>
        <v xml:space="preserve">2170721075 </v>
      </c>
      <c r="G750" s="10" t="str">
        <f t="shared" si="23"/>
        <v>ON1</v>
      </c>
      <c r="H750" s="10" t="s">
        <v>21</v>
      </c>
      <c r="I750" s="10" t="s">
        <v>546</v>
      </c>
      <c r="J750" s="10" t="str">
        <f>""</f>
        <v/>
      </c>
      <c r="K750" s="10" t="str">
        <f>"PFES1162727590_0001"</f>
        <v>PFES1162727590_0001</v>
      </c>
      <c r="L750" s="10">
        <v>1</v>
      </c>
      <c r="M750" s="10">
        <v>1</v>
      </c>
    </row>
    <row r="751" spans="1:13" s="14" customFormat="1" ht="11.25">
      <c r="A751" s="7">
        <v>43809</v>
      </c>
      <c r="B751" s="8">
        <v>0.63472222222222219</v>
      </c>
      <c r="C751" s="10" t="str">
        <f>"FES1162727561"</f>
        <v>FES1162727561</v>
      </c>
      <c r="D751" s="10" t="s">
        <v>19</v>
      </c>
      <c r="E751" s="10" t="s">
        <v>547</v>
      </c>
      <c r="F751" s="10" t="str">
        <f>"2170710141 "</f>
        <v xml:space="preserve">2170710141 </v>
      </c>
      <c r="G751" s="10" t="str">
        <f t="shared" si="23"/>
        <v>ON1</v>
      </c>
      <c r="H751" s="10" t="s">
        <v>21</v>
      </c>
      <c r="I751" s="10" t="s">
        <v>411</v>
      </c>
      <c r="J751" s="10" t="str">
        <f>""</f>
        <v/>
      </c>
      <c r="K751" s="10" t="str">
        <f>"PFES1162727561_0001"</f>
        <v>PFES1162727561_0001</v>
      </c>
      <c r="L751" s="10">
        <v>1</v>
      </c>
      <c r="M751" s="10">
        <v>1</v>
      </c>
    </row>
    <row r="752" spans="1:13" s="14" customFormat="1" ht="11.25">
      <c r="A752" s="7">
        <v>43809</v>
      </c>
      <c r="B752" s="8">
        <v>0.62361111111111112</v>
      </c>
      <c r="C752" s="10" t="str">
        <f>"FES1162727644"</f>
        <v>FES1162727644</v>
      </c>
      <c r="D752" s="10" t="s">
        <v>19</v>
      </c>
      <c r="E752" s="10" t="s">
        <v>120</v>
      </c>
      <c r="F752" s="10" t="str">
        <f>"2170719190. "</f>
        <v xml:space="preserve">2170719190. </v>
      </c>
      <c r="G752" s="10" t="str">
        <f t="shared" si="23"/>
        <v>ON1</v>
      </c>
      <c r="H752" s="10" t="s">
        <v>21</v>
      </c>
      <c r="I752" s="10" t="s">
        <v>121</v>
      </c>
      <c r="J752" s="10" t="str">
        <f>""</f>
        <v/>
      </c>
      <c r="K752" s="10" t="str">
        <f>"PFES1162727644_0001"</f>
        <v>PFES1162727644_0001</v>
      </c>
      <c r="L752" s="10">
        <v>1</v>
      </c>
      <c r="M752" s="10">
        <v>1</v>
      </c>
    </row>
    <row r="753" spans="1:13" s="14" customFormat="1" ht="11.25">
      <c r="A753" s="7">
        <v>43809</v>
      </c>
      <c r="B753" s="8">
        <v>0.62291666666666667</v>
      </c>
      <c r="C753" s="10" t="str">
        <f>"FES1162727628"</f>
        <v>FES1162727628</v>
      </c>
      <c r="D753" s="10" t="s">
        <v>19</v>
      </c>
      <c r="E753" s="10" t="s">
        <v>271</v>
      </c>
      <c r="F753" s="10" t="str">
        <f>"2170711272 "</f>
        <v xml:space="preserve">2170711272 </v>
      </c>
      <c r="G753" s="10" t="str">
        <f t="shared" si="23"/>
        <v>ON1</v>
      </c>
      <c r="H753" s="10" t="s">
        <v>21</v>
      </c>
      <c r="I753" s="10" t="s">
        <v>272</v>
      </c>
      <c r="J753" s="10" t="str">
        <f>""</f>
        <v/>
      </c>
      <c r="K753" s="10" t="str">
        <f>"PFES1162727628_0001"</f>
        <v>PFES1162727628_0001</v>
      </c>
      <c r="L753" s="10">
        <v>1</v>
      </c>
      <c r="M753" s="10">
        <v>12</v>
      </c>
    </row>
    <row r="754" spans="1:13" s="14" customFormat="1" ht="11.25">
      <c r="A754" s="7">
        <v>43809</v>
      </c>
      <c r="B754" s="8">
        <v>0.62291666666666667</v>
      </c>
      <c r="C754" s="10" t="str">
        <f>"FES1162727626"</f>
        <v>FES1162727626</v>
      </c>
      <c r="D754" s="10" t="s">
        <v>19</v>
      </c>
      <c r="E754" s="10" t="s">
        <v>291</v>
      </c>
      <c r="F754" s="10" t="str">
        <f>"217071125 "</f>
        <v xml:space="preserve">217071125 </v>
      </c>
      <c r="G754" s="10" t="str">
        <f t="shared" si="23"/>
        <v>ON1</v>
      </c>
      <c r="H754" s="10" t="s">
        <v>21</v>
      </c>
      <c r="I754" s="10" t="s">
        <v>41</v>
      </c>
      <c r="J754" s="10" t="str">
        <f>""</f>
        <v/>
      </c>
      <c r="K754" s="10" t="str">
        <f>"PFES1162727626_0001"</f>
        <v>PFES1162727626_0001</v>
      </c>
      <c r="L754" s="10">
        <v>1</v>
      </c>
      <c r="M754" s="10">
        <v>2</v>
      </c>
    </row>
    <row r="755" spans="1:13" s="14" customFormat="1" ht="11.25">
      <c r="A755" s="7">
        <v>43809</v>
      </c>
      <c r="B755" s="8">
        <v>0.62083333333333335</v>
      </c>
      <c r="C755" s="10" t="str">
        <f>"FES1162727648"</f>
        <v>FES1162727648</v>
      </c>
      <c r="D755" s="10" t="s">
        <v>19</v>
      </c>
      <c r="E755" s="10" t="s">
        <v>335</v>
      </c>
      <c r="F755" s="10" t="str">
        <f>"2170719529 "</f>
        <v xml:space="preserve">2170719529 </v>
      </c>
      <c r="G755" s="10" t="str">
        <f t="shared" si="23"/>
        <v>ON1</v>
      </c>
      <c r="H755" s="10" t="s">
        <v>21</v>
      </c>
      <c r="I755" s="10" t="s">
        <v>336</v>
      </c>
      <c r="J755" s="10" t="str">
        <f>""</f>
        <v/>
      </c>
      <c r="K755" s="10" t="str">
        <f>"PFES1162727648_0001"</f>
        <v>PFES1162727648_0001</v>
      </c>
      <c r="L755" s="10">
        <v>1</v>
      </c>
      <c r="M755" s="10">
        <v>1</v>
      </c>
    </row>
    <row r="756" spans="1:13" s="14" customFormat="1" ht="11.25">
      <c r="A756" s="7">
        <v>43809</v>
      </c>
      <c r="B756" s="8">
        <v>0.62013888888888891</v>
      </c>
      <c r="C756" s="10" t="str">
        <f>"FES1162727645"</f>
        <v>FES1162727645</v>
      </c>
      <c r="D756" s="10" t="s">
        <v>19</v>
      </c>
      <c r="E756" s="10" t="s">
        <v>82</v>
      </c>
      <c r="F756" s="10" t="str">
        <f>"2170720672 "</f>
        <v xml:space="preserve">2170720672 </v>
      </c>
      <c r="G756" s="10" t="str">
        <f t="shared" si="23"/>
        <v>ON1</v>
      </c>
      <c r="H756" s="10" t="s">
        <v>21</v>
      </c>
      <c r="I756" s="10" t="s">
        <v>72</v>
      </c>
      <c r="J756" s="10" t="str">
        <f>""</f>
        <v/>
      </c>
      <c r="K756" s="10" t="str">
        <f>"PFES1162727645_0001"</f>
        <v>PFES1162727645_0001</v>
      </c>
      <c r="L756" s="10">
        <v>1</v>
      </c>
      <c r="M756" s="10">
        <v>1</v>
      </c>
    </row>
    <row r="757" spans="1:13" s="14" customFormat="1" ht="11.25">
      <c r="A757" s="7">
        <v>43809</v>
      </c>
      <c r="B757" s="8">
        <v>0.61805555555555558</v>
      </c>
      <c r="C757" s="10" t="str">
        <f>"FES1162727599"</f>
        <v>FES1162727599</v>
      </c>
      <c r="D757" s="10" t="s">
        <v>19</v>
      </c>
      <c r="E757" s="10" t="s">
        <v>431</v>
      </c>
      <c r="F757" s="10" t="str">
        <f>"217071091 "</f>
        <v xml:space="preserve">217071091 </v>
      </c>
      <c r="G757" s="10" t="str">
        <f>"DBC"</f>
        <v>DBC</v>
      </c>
      <c r="H757" s="10" t="s">
        <v>21</v>
      </c>
      <c r="I757" s="10" t="s">
        <v>29</v>
      </c>
      <c r="J757" s="10" t="str">
        <f>""</f>
        <v/>
      </c>
      <c r="K757" s="10" t="str">
        <f>"PFES1162727599_0001"</f>
        <v>PFES1162727599_0001</v>
      </c>
      <c r="L757" s="10">
        <v>1</v>
      </c>
      <c r="M757" s="10">
        <v>21</v>
      </c>
    </row>
    <row r="758" spans="1:13" s="14" customFormat="1" ht="11.25">
      <c r="A758" s="7">
        <v>43809</v>
      </c>
      <c r="B758" s="8">
        <v>0.61736111111111114</v>
      </c>
      <c r="C758" s="10" t="str">
        <f>"FES1162727586"</f>
        <v>FES1162727586</v>
      </c>
      <c r="D758" s="10" t="s">
        <v>19</v>
      </c>
      <c r="E758" s="10" t="s">
        <v>24</v>
      </c>
      <c r="F758" s="10" t="str">
        <f>"2170710701 "</f>
        <v xml:space="preserve">2170710701 </v>
      </c>
      <c r="G758" s="10" t="str">
        <f>"DBC"</f>
        <v>DBC</v>
      </c>
      <c r="H758" s="10" t="s">
        <v>21</v>
      </c>
      <c r="I758" s="10" t="s">
        <v>25</v>
      </c>
      <c r="J758" s="10" t="str">
        <f>""</f>
        <v/>
      </c>
      <c r="K758" s="10" t="str">
        <f>"PFES1162727586_0001"</f>
        <v>PFES1162727586_0001</v>
      </c>
      <c r="L758" s="10">
        <v>2</v>
      </c>
      <c r="M758" s="10">
        <v>27</v>
      </c>
    </row>
    <row r="759" spans="1:13">
      <c r="A759" s="7">
        <v>43809</v>
      </c>
      <c r="B759" s="8">
        <v>0.61736111111111114</v>
      </c>
      <c r="C759" s="10" t="str">
        <f>"FES1162727635"</f>
        <v>FES1162727635</v>
      </c>
      <c r="D759" s="10" t="s">
        <v>19</v>
      </c>
      <c r="E759" s="10" t="s">
        <v>42</v>
      </c>
      <c r="F759" s="10" t="str">
        <f>"217071136 "</f>
        <v xml:space="preserve">217071136 </v>
      </c>
      <c r="G759" s="10" t="str">
        <f t="shared" ref="G759:G822" si="24">"ON1"</f>
        <v>ON1</v>
      </c>
      <c r="H759" s="10" t="s">
        <v>21</v>
      </c>
      <c r="I759" s="10" t="s">
        <v>43</v>
      </c>
      <c r="J759" s="10" t="str">
        <f>""</f>
        <v/>
      </c>
      <c r="K759" s="10" t="str">
        <f>"PFES1162727635_0001"</f>
        <v>PFES1162727635_0001</v>
      </c>
      <c r="L759" s="10">
        <v>1</v>
      </c>
      <c r="M759" s="10">
        <v>1</v>
      </c>
    </row>
    <row r="760" spans="1:13">
      <c r="A760" s="7">
        <v>43809</v>
      </c>
      <c r="B760" s="8">
        <v>0.61736111111111114</v>
      </c>
      <c r="C760" s="10" t="str">
        <f>"FES1162727643"</f>
        <v>FES1162727643</v>
      </c>
      <c r="D760" s="10" t="s">
        <v>19</v>
      </c>
      <c r="E760" s="10" t="s">
        <v>373</v>
      </c>
      <c r="F760" s="10" t="str">
        <f>"217071150 "</f>
        <v xml:space="preserve">217071150 </v>
      </c>
      <c r="G760" s="10" t="str">
        <f t="shared" si="24"/>
        <v>ON1</v>
      </c>
      <c r="H760" s="10" t="s">
        <v>21</v>
      </c>
      <c r="I760" s="10" t="s">
        <v>374</v>
      </c>
      <c r="J760" s="10" t="str">
        <f>""</f>
        <v/>
      </c>
      <c r="K760" s="10" t="str">
        <f>"PFES1162727643_0001"</f>
        <v>PFES1162727643_0001</v>
      </c>
      <c r="L760" s="10">
        <v>1</v>
      </c>
      <c r="M760" s="10">
        <v>1</v>
      </c>
    </row>
    <row r="761" spans="1:13">
      <c r="A761" s="7">
        <v>43809</v>
      </c>
      <c r="B761" s="8">
        <v>0.6166666666666667</v>
      </c>
      <c r="C761" s="10" t="str">
        <f>"FES1162727640"</f>
        <v>FES1162727640</v>
      </c>
      <c r="D761" s="10" t="s">
        <v>19</v>
      </c>
      <c r="E761" s="10" t="s">
        <v>548</v>
      </c>
      <c r="F761" s="10" t="str">
        <f>"217071145 "</f>
        <v xml:space="preserve">217071145 </v>
      </c>
      <c r="G761" s="10" t="str">
        <f t="shared" si="24"/>
        <v>ON1</v>
      </c>
      <c r="H761" s="10" t="s">
        <v>21</v>
      </c>
      <c r="I761" s="10" t="s">
        <v>346</v>
      </c>
      <c r="J761" s="10" t="str">
        <f>""</f>
        <v/>
      </c>
      <c r="K761" s="10" t="str">
        <f>"PFES1162727640_0001"</f>
        <v>PFES1162727640_0001</v>
      </c>
      <c r="L761" s="10">
        <v>1</v>
      </c>
      <c r="M761" s="10">
        <v>1</v>
      </c>
    </row>
    <row r="762" spans="1:13">
      <c r="A762" s="7">
        <v>43809</v>
      </c>
      <c r="B762" s="8">
        <v>0.60763888888888895</v>
      </c>
      <c r="C762" s="10" t="str">
        <f>"FES1162727629"</f>
        <v>FES1162727629</v>
      </c>
      <c r="D762" s="10" t="s">
        <v>19</v>
      </c>
      <c r="E762" s="10" t="s">
        <v>549</v>
      </c>
      <c r="F762" s="10" t="str">
        <f>"2170712118 "</f>
        <v xml:space="preserve">2170712118 </v>
      </c>
      <c r="G762" s="10" t="str">
        <f t="shared" si="24"/>
        <v>ON1</v>
      </c>
      <c r="H762" s="10" t="s">
        <v>21</v>
      </c>
      <c r="I762" s="10" t="s">
        <v>78</v>
      </c>
      <c r="J762" s="10" t="str">
        <f>""</f>
        <v/>
      </c>
      <c r="K762" s="10" t="str">
        <f>"PFES1162727629_0001"</f>
        <v>PFES1162727629_0001</v>
      </c>
      <c r="L762" s="10">
        <v>1</v>
      </c>
      <c r="M762" s="10">
        <v>1</v>
      </c>
    </row>
    <row r="763" spans="1:13">
      <c r="A763" s="7">
        <v>43809</v>
      </c>
      <c r="B763" s="8">
        <v>0.60763888888888895</v>
      </c>
      <c r="C763" s="10" t="str">
        <f>"FES1162727633"</f>
        <v>FES1162727633</v>
      </c>
      <c r="D763" s="10" t="s">
        <v>19</v>
      </c>
      <c r="E763" s="10" t="s">
        <v>44</v>
      </c>
      <c r="F763" s="10" t="str">
        <f>"217071134 "</f>
        <v xml:space="preserve">217071134 </v>
      </c>
      <c r="G763" s="10" t="str">
        <f t="shared" si="24"/>
        <v>ON1</v>
      </c>
      <c r="H763" s="10" t="s">
        <v>21</v>
      </c>
      <c r="I763" s="10" t="s">
        <v>45</v>
      </c>
      <c r="J763" s="10" t="str">
        <f>""</f>
        <v/>
      </c>
      <c r="K763" s="10" t="str">
        <f>"PFES1162727633_0001"</f>
        <v>PFES1162727633_0001</v>
      </c>
      <c r="L763" s="10">
        <v>1</v>
      </c>
      <c r="M763" s="10">
        <v>1</v>
      </c>
    </row>
    <row r="764" spans="1:13">
      <c r="A764" s="7">
        <v>43809</v>
      </c>
      <c r="B764" s="8">
        <v>0.6069444444444444</v>
      </c>
      <c r="C764" s="10" t="str">
        <f>"FES1162727630"</f>
        <v>FES1162727630</v>
      </c>
      <c r="D764" s="10" t="s">
        <v>19</v>
      </c>
      <c r="E764" s="10" t="s">
        <v>549</v>
      </c>
      <c r="F764" s="10" t="str">
        <f>"2170721129 "</f>
        <v xml:space="preserve">2170721129 </v>
      </c>
      <c r="G764" s="10" t="str">
        <f t="shared" si="24"/>
        <v>ON1</v>
      </c>
      <c r="H764" s="10" t="s">
        <v>21</v>
      </c>
      <c r="I764" s="10" t="s">
        <v>78</v>
      </c>
      <c r="J764" s="10" t="str">
        <f>""</f>
        <v/>
      </c>
      <c r="K764" s="10" t="str">
        <f>"PFES1162727630_0001"</f>
        <v>PFES1162727630_0001</v>
      </c>
      <c r="L764" s="10">
        <v>1</v>
      </c>
      <c r="M764" s="10">
        <v>1</v>
      </c>
    </row>
    <row r="765" spans="1:13">
      <c r="A765" s="7">
        <v>43809</v>
      </c>
      <c r="B765" s="8">
        <v>0.60486111111111118</v>
      </c>
      <c r="C765" s="10" t="str">
        <f>"FES1162727607"</f>
        <v>FES1162727607</v>
      </c>
      <c r="D765" s="10" t="s">
        <v>19</v>
      </c>
      <c r="E765" s="10" t="s">
        <v>550</v>
      </c>
      <c r="F765" s="10" t="str">
        <f>"217071100 "</f>
        <v xml:space="preserve">217071100 </v>
      </c>
      <c r="G765" s="10" t="str">
        <f t="shared" si="24"/>
        <v>ON1</v>
      </c>
      <c r="H765" s="10" t="s">
        <v>21</v>
      </c>
      <c r="I765" s="10" t="s">
        <v>70</v>
      </c>
      <c r="J765" s="10" t="str">
        <f>""</f>
        <v/>
      </c>
      <c r="K765" s="10" t="str">
        <f>"PFES1162727607_0001"</f>
        <v>PFES1162727607_0001</v>
      </c>
      <c r="L765" s="10">
        <v>1</v>
      </c>
      <c r="M765" s="10">
        <v>1</v>
      </c>
    </row>
    <row r="766" spans="1:13">
      <c r="A766" s="7">
        <v>43809</v>
      </c>
      <c r="B766" s="8">
        <v>0.60416666666666663</v>
      </c>
      <c r="C766" s="10" t="str">
        <f>"FES1162727568"</f>
        <v>FES1162727568</v>
      </c>
      <c r="D766" s="10" t="s">
        <v>19</v>
      </c>
      <c r="E766" s="10" t="s">
        <v>551</v>
      </c>
      <c r="F766" s="10" t="str">
        <f>"217071049 "</f>
        <v xml:space="preserve">217071049 </v>
      </c>
      <c r="G766" s="10" t="str">
        <f t="shared" si="24"/>
        <v>ON1</v>
      </c>
      <c r="H766" s="10" t="s">
        <v>21</v>
      </c>
      <c r="I766" s="10" t="s">
        <v>119</v>
      </c>
      <c r="J766" s="10" t="str">
        <f>""</f>
        <v/>
      </c>
      <c r="K766" s="10" t="str">
        <f>"PFES1162727568_0001"</f>
        <v>PFES1162727568_0001</v>
      </c>
      <c r="L766" s="10">
        <v>1</v>
      </c>
      <c r="M766" s="10">
        <v>1</v>
      </c>
    </row>
    <row r="767" spans="1:13">
      <c r="A767" s="7">
        <v>43809</v>
      </c>
      <c r="B767" s="8">
        <v>0.60416666666666663</v>
      </c>
      <c r="C767" s="10" t="str">
        <f>"FES1162727606"</f>
        <v>FES1162727606</v>
      </c>
      <c r="D767" s="10" t="s">
        <v>19</v>
      </c>
      <c r="E767" s="10" t="s">
        <v>552</v>
      </c>
      <c r="F767" s="10" t="str">
        <f>"2170710099 "</f>
        <v xml:space="preserve">2170710099 </v>
      </c>
      <c r="G767" s="10" t="str">
        <f t="shared" si="24"/>
        <v>ON1</v>
      </c>
      <c r="H767" s="10" t="s">
        <v>21</v>
      </c>
      <c r="I767" s="10" t="s">
        <v>54</v>
      </c>
      <c r="J767" s="10" t="str">
        <f>""</f>
        <v/>
      </c>
      <c r="K767" s="10" t="str">
        <f>"PFES1162727606_0001"</f>
        <v>PFES1162727606_0001</v>
      </c>
      <c r="L767" s="10">
        <v>1</v>
      </c>
      <c r="M767" s="10">
        <v>6</v>
      </c>
    </row>
    <row r="768" spans="1:13">
      <c r="A768" s="7">
        <v>43809</v>
      </c>
      <c r="B768" s="8">
        <v>0.60416666666666663</v>
      </c>
      <c r="C768" s="10" t="str">
        <f>"FES1162727584"</f>
        <v>FES1162727584</v>
      </c>
      <c r="D768" s="10" t="s">
        <v>19</v>
      </c>
      <c r="E768" s="10" t="s">
        <v>447</v>
      </c>
      <c r="F768" s="10" t="str">
        <f>"21707168 "</f>
        <v xml:space="preserve">21707168 </v>
      </c>
      <c r="G768" s="10" t="str">
        <f t="shared" si="24"/>
        <v>ON1</v>
      </c>
      <c r="H768" s="10" t="s">
        <v>21</v>
      </c>
      <c r="I768" s="10" t="s">
        <v>158</v>
      </c>
      <c r="J768" s="10" t="str">
        <f>""</f>
        <v/>
      </c>
      <c r="K768" s="10" t="str">
        <f>"PFES1162727584_0001"</f>
        <v>PFES1162727584_0001</v>
      </c>
      <c r="L768" s="10">
        <v>1</v>
      </c>
      <c r="M768" s="10">
        <v>3</v>
      </c>
    </row>
    <row r="769" spans="1:13">
      <c r="A769" s="7">
        <v>43809</v>
      </c>
      <c r="B769" s="8">
        <v>0.6</v>
      </c>
      <c r="C769" s="10" t="str">
        <f>"FES1162727632"</f>
        <v>FES1162727632</v>
      </c>
      <c r="D769" s="10" t="s">
        <v>19</v>
      </c>
      <c r="E769" s="10" t="s">
        <v>553</v>
      </c>
      <c r="F769" s="10" t="str">
        <f>"217071132 "</f>
        <v xml:space="preserve">217071132 </v>
      </c>
      <c r="G769" s="10" t="str">
        <f t="shared" si="24"/>
        <v>ON1</v>
      </c>
      <c r="H769" s="10" t="s">
        <v>21</v>
      </c>
      <c r="I769" s="10" t="s">
        <v>342</v>
      </c>
      <c r="J769" s="10" t="str">
        <f>""</f>
        <v/>
      </c>
      <c r="K769" s="10" t="str">
        <f>"PFES1162727632_0001"</f>
        <v>PFES1162727632_0001</v>
      </c>
      <c r="L769" s="10">
        <v>1</v>
      </c>
      <c r="M769" s="10">
        <v>19</v>
      </c>
    </row>
    <row r="770" spans="1:13">
      <c r="A770" s="7">
        <v>43809</v>
      </c>
      <c r="B770" s="8">
        <v>0.59791666666666665</v>
      </c>
      <c r="C770" s="10" t="str">
        <f>"FES1162727571"</f>
        <v>FES1162727571</v>
      </c>
      <c r="D770" s="10" t="s">
        <v>19</v>
      </c>
      <c r="E770" s="10" t="s">
        <v>554</v>
      </c>
      <c r="F770" s="10" t="str">
        <f>"2170871654 "</f>
        <v xml:space="preserve">2170871654 </v>
      </c>
      <c r="G770" s="10" t="str">
        <f t="shared" si="24"/>
        <v>ON1</v>
      </c>
      <c r="H770" s="10" t="s">
        <v>21</v>
      </c>
      <c r="I770" s="10" t="s">
        <v>555</v>
      </c>
      <c r="J770" s="10" t="str">
        <f>""</f>
        <v/>
      </c>
      <c r="K770" s="10" t="str">
        <f>"PFES1162727571_0001"</f>
        <v>PFES1162727571_0001</v>
      </c>
      <c r="L770" s="10">
        <v>1</v>
      </c>
      <c r="M770" s="10">
        <v>2</v>
      </c>
    </row>
    <row r="771" spans="1:13">
      <c r="A771" s="7">
        <v>43809</v>
      </c>
      <c r="B771" s="8">
        <v>0.59652777777777777</v>
      </c>
      <c r="C771" s="10" t="str">
        <f>"FES1162727577"</f>
        <v>FES1162727577</v>
      </c>
      <c r="D771" s="10" t="s">
        <v>19</v>
      </c>
      <c r="E771" s="10" t="s">
        <v>350</v>
      </c>
      <c r="F771" s="10" t="str">
        <f>"217071063 "</f>
        <v xml:space="preserve">217071063 </v>
      </c>
      <c r="G771" s="10" t="str">
        <f t="shared" si="24"/>
        <v>ON1</v>
      </c>
      <c r="H771" s="10" t="s">
        <v>21</v>
      </c>
      <c r="I771" s="10" t="s">
        <v>197</v>
      </c>
      <c r="J771" s="10" t="str">
        <f>""</f>
        <v/>
      </c>
      <c r="K771" s="10" t="str">
        <f>"PFES1162727577_0001"</f>
        <v>PFES1162727577_0001</v>
      </c>
      <c r="L771" s="10">
        <v>1</v>
      </c>
      <c r="M771" s="10">
        <v>3</v>
      </c>
    </row>
    <row r="772" spans="1:13">
      <c r="A772" s="7">
        <v>43809</v>
      </c>
      <c r="B772" s="8">
        <v>0.59652777777777777</v>
      </c>
      <c r="C772" s="10" t="str">
        <f>"FES1162727609"</f>
        <v>FES1162727609</v>
      </c>
      <c r="D772" s="10" t="s">
        <v>19</v>
      </c>
      <c r="E772" s="10" t="s">
        <v>556</v>
      </c>
      <c r="F772" s="10" t="str">
        <f>"217712076 "</f>
        <v xml:space="preserve">217712076 </v>
      </c>
      <c r="G772" s="10" t="str">
        <f t="shared" si="24"/>
        <v>ON1</v>
      </c>
      <c r="H772" s="10" t="s">
        <v>21</v>
      </c>
      <c r="I772" s="10" t="s">
        <v>557</v>
      </c>
      <c r="J772" s="10" t="str">
        <f>""</f>
        <v/>
      </c>
      <c r="K772" s="10" t="str">
        <f>"PFES1162727609_0001"</f>
        <v>PFES1162727609_0001</v>
      </c>
      <c r="L772" s="10">
        <v>1</v>
      </c>
      <c r="M772" s="10">
        <v>6</v>
      </c>
    </row>
    <row r="773" spans="1:13">
      <c r="A773" s="7">
        <v>43809</v>
      </c>
      <c r="B773" s="8">
        <v>0.59583333333333333</v>
      </c>
      <c r="C773" s="10" t="str">
        <f>"FES1162727501"</f>
        <v>FES1162727501</v>
      </c>
      <c r="D773" s="10" t="s">
        <v>19</v>
      </c>
      <c r="E773" s="10" t="s">
        <v>558</v>
      </c>
      <c r="F773" s="10" t="str">
        <f>"21707100663 "</f>
        <v xml:space="preserve">21707100663 </v>
      </c>
      <c r="G773" s="10" t="str">
        <f t="shared" si="24"/>
        <v>ON1</v>
      </c>
      <c r="H773" s="10" t="s">
        <v>21</v>
      </c>
      <c r="I773" s="10" t="s">
        <v>559</v>
      </c>
      <c r="J773" s="10" t="str">
        <f>""</f>
        <v/>
      </c>
      <c r="K773" s="10" t="str">
        <f>"PFES1162727501_0001"</f>
        <v>PFES1162727501_0001</v>
      </c>
      <c r="L773" s="10">
        <v>1</v>
      </c>
      <c r="M773" s="10">
        <v>2</v>
      </c>
    </row>
    <row r="774" spans="1:13">
      <c r="A774" s="7">
        <v>43809</v>
      </c>
      <c r="B774" s="8">
        <v>0.59583333333333333</v>
      </c>
      <c r="C774" s="10" t="str">
        <f>"FES1162727620"</f>
        <v>FES1162727620</v>
      </c>
      <c r="D774" s="10" t="s">
        <v>19</v>
      </c>
      <c r="E774" s="10" t="s">
        <v>560</v>
      </c>
      <c r="F774" s="10" t="str">
        <f>"217071118 "</f>
        <v xml:space="preserve">217071118 </v>
      </c>
      <c r="G774" s="10" t="str">
        <f t="shared" si="24"/>
        <v>ON1</v>
      </c>
      <c r="H774" s="10" t="s">
        <v>21</v>
      </c>
      <c r="I774" s="10" t="s">
        <v>175</v>
      </c>
      <c r="J774" s="10" t="str">
        <f>""</f>
        <v/>
      </c>
      <c r="K774" s="10" t="str">
        <f>"PFES1162727620_0001"</f>
        <v>PFES1162727620_0001</v>
      </c>
      <c r="L774" s="10">
        <v>1</v>
      </c>
      <c r="M774" s="10">
        <v>1</v>
      </c>
    </row>
    <row r="775" spans="1:13">
      <c r="A775" s="7">
        <v>43809</v>
      </c>
      <c r="B775" s="8">
        <v>0.59583333333333333</v>
      </c>
      <c r="C775" s="10" t="str">
        <f>"FES1162727621"</f>
        <v>FES1162727621</v>
      </c>
      <c r="D775" s="10" t="s">
        <v>19</v>
      </c>
      <c r="E775" s="10" t="s">
        <v>262</v>
      </c>
      <c r="F775" s="10" t="str">
        <f>"2170721119 "</f>
        <v xml:space="preserve">2170721119 </v>
      </c>
      <c r="G775" s="10" t="str">
        <f t="shared" si="24"/>
        <v>ON1</v>
      </c>
      <c r="H775" s="10" t="s">
        <v>21</v>
      </c>
      <c r="I775" s="10" t="s">
        <v>235</v>
      </c>
      <c r="J775" s="10" t="str">
        <f>""</f>
        <v/>
      </c>
      <c r="K775" s="10" t="str">
        <f>"PFES1162727621_0001"</f>
        <v>PFES1162727621_0001</v>
      </c>
      <c r="L775" s="10">
        <v>1</v>
      </c>
      <c r="M775" s="10">
        <v>1</v>
      </c>
    </row>
    <row r="776" spans="1:13">
      <c r="A776" s="7">
        <v>43809</v>
      </c>
      <c r="B776" s="8">
        <v>0.59513888888888888</v>
      </c>
      <c r="C776" s="10" t="str">
        <f>"FES1162727557"</f>
        <v>FES1162727557</v>
      </c>
      <c r="D776" s="10" t="s">
        <v>19</v>
      </c>
      <c r="E776" s="10" t="s">
        <v>561</v>
      </c>
      <c r="F776" s="10" t="str">
        <f>"2170712036 "</f>
        <v xml:space="preserve">2170712036 </v>
      </c>
      <c r="G776" s="10" t="str">
        <f t="shared" si="24"/>
        <v>ON1</v>
      </c>
      <c r="H776" s="10" t="s">
        <v>21</v>
      </c>
      <c r="I776" s="10" t="s">
        <v>562</v>
      </c>
      <c r="J776" s="10" t="str">
        <f>""</f>
        <v/>
      </c>
      <c r="K776" s="10" t="str">
        <f>"PFES1162727557_0001"</f>
        <v>PFES1162727557_0001</v>
      </c>
      <c r="L776" s="10">
        <v>1</v>
      </c>
      <c r="M776" s="10">
        <v>1</v>
      </c>
    </row>
    <row r="777" spans="1:13">
      <c r="A777" s="7">
        <v>43809</v>
      </c>
      <c r="B777" s="8">
        <v>0.59166666666666667</v>
      </c>
      <c r="C777" s="10" t="str">
        <f>"FES1162727610"</f>
        <v>FES1162727610</v>
      </c>
      <c r="D777" s="10" t="s">
        <v>19</v>
      </c>
      <c r="E777" s="10" t="s">
        <v>442</v>
      </c>
      <c r="F777" s="10" t="str">
        <f>"217071102 "</f>
        <v xml:space="preserve">217071102 </v>
      </c>
      <c r="G777" s="10" t="str">
        <f t="shared" si="24"/>
        <v>ON1</v>
      </c>
      <c r="H777" s="10" t="s">
        <v>21</v>
      </c>
      <c r="I777" s="10" t="s">
        <v>48</v>
      </c>
      <c r="J777" s="10" t="str">
        <f>""</f>
        <v/>
      </c>
      <c r="K777" s="10" t="str">
        <f>"PFES1162727610_0001"</f>
        <v>PFES1162727610_0001</v>
      </c>
      <c r="L777" s="10">
        <v>1</v>
      </c>
      <c r="M777" s="10">
        <v>1</v>
      </c>
    </row>
    <row r="778" spans="1:13">
      <c r="A778" s="7">
        <v>43809</v>
      </c>
      <c r="B778" s="8">
        <v>0.59166666666666667</v>
      </c>
      <c r="C778" s="10" t="str">
        <f>"FES1162727600"</f>
        <v>FES1162727600</v>
      </c>
      <c r="D778" s="10" t="s">
        <v>19</v>
      </c>
      <c r="E778" s="10" t="s">
        <v>82</v>
      </c>
      <c r="F778" s="10" t="str">
        <f>"217071092 "</f>
        <v xml:space="preserve">217071092 </v>
      </c>
      <c r="G778" s="10" t="str">
        <f t="shared" si="24"/>
        <v>ON1</v>
      </c>
      <c r="H778" s="10" t="s">
        <v>21</v>
      </c>
      <c r="I778" s="10" t="s">
        <v>72</v>
      </c>
      <c r="J778" s="10" t="str">
        <f>""</f>
        <v/>
      </c>
      <c r="K778" s="10" t="str">
        <f>"PFES1162727600_0001"</f>
        <v>PFES1162727600_0001</v>
      </c>
      <c r="L778" s="10">
        <v>1</v>
      </c>
      <c r="M778" s="10">
        <v>1</v>
      </c>
    </row>
    <row r="779" spans="1:13">
      <c r="A779" s="7">
        <v>43809</v>
      </c>
      <c r="B779" s="8">
        <v>0.59166666666666667</v>
      </c>
      <c r="C779" s="10" t="str">
        <f>"FES1162727585"</f>
        <v>FES1162727585</v>
      </c>
      <c r="D779" s="10" t="s">
        <v>19</v>
      </c>
      <c r="E779" s="10" t="s">
        <v>319</v>
      </c>
      <c r="F779" s="10" t="str">
        <f>"217071069 "</f>
        <v xml:space="preserve">217071069 </v>
      </c>
      <c r="G779" s="10" t="str">
        <f t="shared" si="24"/>
        <v>ON1</v>
      </c>
      <c r="H779" s="10" t="s">
        <v>21</v>
      </c>
      <c r="I779" s="10" t="s">
        <v>320</v>
      </c>
      <c r="J779" s="10" t="str">
        <f>""</f>
        <v/>
      </c>
      <c r="K779" s="10" t="str">
        <f>"PFES1162727585_0001"</f>
        <v>PFES1162727585_0001</v>
      </c>
      <c r="L779" s="10">
        <v>1</v>
      </c>
      <c r="M779" s="10">
        <v>1</v>
      </c>
    </row>
    <row r="780" spans="1:13">
      <c r="A780" s="7">
        <v>43809</v>
      </c>
      <c r="B780" s="8">
        <v>0.59097222222222223</v>
      </c>
      <c r="C780" s="10" t="str">
        <f>"FES1162727556"</f>
        <v>FES1162727556</v>
      </c>
      <c r="D780" s="10" t="s">
        <v>19</v>
      </c>
      <c r="E780" s="10" t="s">
        <v>71</v>
      </c>
      <c r="F780" s="10" t="str">
        <f>"2170710347 "</f>
        <v xml:space="preserve">2170710347 </v>
      </c>
      <c r="G780" s="10" t="str">
        <f t="shared" si="24"/>
        <v>ON1</v>
      </c>
      <c r="H780" s="10" t="s">
        <v>21</v>
      </c>
      <c r="I780" s="10" t="s">
        <v>72</v>
      </c>
      <c r="J780" s="10" t="str">
        <f>""</f>
        <v/>
      </c>
      <c r="K780" s="10" t="str">
        <f>"PFES1162727556_0001"</f>
        <v>PFES1162727556_0001</v>
      </c>
      <c r="L780" s="10">
        <v>1</v>
      </c>
      <c r="M780" s="10">
        <v>1</v>
      </c>
    </row>
    <row r="781" spans="1:13">
      <c r="A781" s="7">
        <v>43809</v>
      </c>
      <c r="B781" s="8">
        <v>0.59097222222222223</v>
      </c>
      <c r="C781" s="10" t="str">
        <f>"FES1162727570"</f>
        <v>FES1162727570</v>
      </c>
      <c r="D781" s="10" t="s">
        <v>19</v>
      </c>
      <c r="E781" s="10" t="s">
        <v>563</v>
      </c>
      <c r="F781" s="10" t="str">
        <f>"217071053 "</f>
        <v xml:space="preserve">217071053 </v>
      </c>
      <c r="G781" s="10" t="str">
        <f t="shared" si="24"/>
        <v>ON1</v>
      </c>
      <c r="H781" s="10" t="s">
        <v>21</v>
      </c>
      <c r="I781" s="10" t="s">
        <v>119</v>
      </c>
      <c r="J781" s="10" t="str">
        <f>""</f>
        <v/>
      </c>
      <c r="K781" s="10" t="str">
        <f>"PFES1162727570_0001"</f>
        <v>PFES1162727570_0001</v>
      </c>
      <c r="L781" s="10">
        <v>1</v>
      </c>
      <c r="M781" s="10">
        <v>1</v>
      </c>
    </row>
    <row r="782" spans="1:13">
      <c r="A782" s="7">
        <v>43809</v>
      </c>
      <c r="B782" s="8">
        <v>0.59097222222222223</v>
      </c>
      <c r="C782" s="10" t="str">
        <f>"FES1162727591"</f>
        <v>FES1162727591</v>
      </c>
      <c r="D782" s="10" t="s">
        <v>19</v>
      </c>
      <c r="E782" s="10" t="s">
        <v>71</v>
      </c>
      <c r="F782" s="10" t="str">
        <f>"2170712077 "</f>
        <v xml:space="preserve">2170712077 </v>
      </c>
      <c r="G782" s="10" t="str">
        <f t="shared" si="24"/>
        <v>ON1</v>
      </c>
      <c r="H782" s="10" t="s">
        <v>21</v>
      </c>
      <c r="I782" s="10" t="s">
        <v>72</v>
      </c>
      <c r="J782" s="10" t="str">
        <f>""</f>
        <v/>
      </c>
      <c r="K782" s="10" t="str">
        <f>"PFES1162727591_0001"</f>
        <v>PFES1162727591_0001</v>
      </c>
      <c r="L782" s="10">
        <v>1</v>
      </c>
      <c r="M782" s="10">
        <v>1</v>
      </c>
    </row>
    <row r="783" spans="1:13">
      <c r="A783" s="7">
        <v>43809</v>
      </c>
      <c r="B783" s="8">
        <v>0.59027777777777779</v>
      </c>
      <c r="C783" s="10" t="str">
        <f>"FES1162727567"</f>
        <v>FES1162727567</v>
      </c>
      <c r="D783" s="10" t="s">
        <v>19</v>
      </c>
      <c r="E783" s="10" t="s">
        <v>28</v>
      </c>
      <c r="F783" s="10" t="str">
        <f>"217071048 "</f>
        <v xml:space="preserve">217071048 </v>
      </c>
      <c r="G783" s="10" t="str">
        <f t="shared" si="24"/>
        <v>ON1</v>
      </c>
      <c r="H783" s="10" t="s">
        <v>21</v>
      </c>
      <c r="I783" s="10" t="s">
        <v>29</v>
      </c>
      <c r="J783" s="10" t="str">
        <f>""</f>
        <v/>
      </c>
      <c r="K783" s="10" t="str">
        <f>"PFES1162727567_0001"</f>
        <v>PFES1162727567_0001</v>
      </c>
      <c r="L783" s="10">
        <v>1</v>
      </c>
      <c r="M783" s="10">
        <v>1</v>
      </c>
    </row>
    <row r="784" spans="1:13">
      <c r="A784" s="7">
        <v>43809</v>
      </c>
      <c r="B784" s="8">
        <v>0.59027777777777779</v>
      </c>
      <c r="C784" s="10" t="str">
        <f>"FES1162727582"</f>
        <v>FES1162727582</v>
      </c>
      <c r="D784" s="10" t="s">
        <v>19</v>
      </c>
      <c r="E784" s="10" t="s">
        <v>82</v>
      </c>
      <c r="F784" s="10" t="str">
        <f>"2170710166 "</f>
        <v xml:space="preserve">2170710166 </v>
      </c>
      <c r="G784" s="10" t="str">
        <f t="shared" si="24"/>
        <v>ON1</v>
      </c>
      <c r="H784" s="10" t="s">
        <v>21</v>
      </c>
      <c r="I784" s="10" t="s">
        <v>72</v>
      </c>
      <c r="J784" s="10" t="str">
        <f>""</f>
        <v/>
      </c>
      <c r="K784" s="10" t="str">
        <f>"PFES1162727582_0001"</f>
        <v>PFES1162727582_0001</v>
      </c>
      <c r="L784" s="10">
        <v>1</v>
      </c>
      <c r="M784" s="10">
        <v>1</v>
      </c>
    </row>
    <row r="785" spans="1:13">
      <c r="A785" s="7">
        <v>43809</v>
      </c>
      <c r="B785" s="8">
        <v>0.59027777777777779</v>
      </c>
      <c r="C785" s="10" t="str">
        <f>"FES1162727601"</f>
        <v>FES1162727601</v>
      </c>
      <c r="D785" s="10" t="s">
        <v>19</v>
      </c>
      <c r="E785" s="10" t="s">
        <v>69</v>
      </c>
      <c r="F785" s="10" t="str">
        <f>"2170710904 "</f>
        <v xml:space="preserve">2170710904 </v>
      </c>
      <c r="G785" s="10" t="str">
        <f t="shared" si="24"/>
        <v>ON1</v>
      </c>
      <c r="H785" s="10" t="s">
        <v>21</v>
      </c>
      <c r="I785" s="10" t="s">
        <v>70</v>
      </c>
      <c r="J785" s="10" t="str">
        <f>""</f>
        <v/>
      </c>
      <c r="K785" s="10" t="str">
        <f>"PFES1162727601_0001"</f>
        <v>PFES1162727601_0001</v>
      </c>
      <c r="L785" s="10">
        <v>1</v>
      </c>
      <c r="M785" s="10">
        <v>1</v>
      </c>
    </row>
    <row r="786" spans="1:13">
      <c r="A786" s="7">
        <v>43809</v>
      </c>
      <c r="B786" s="8">
        <v>0.58680555555555558</v>
      </c>
      <c r="C786" s="10" t="str">
        <f>"FES1162727631"</f>
        <v>FES1162727631</v>
      </c>
      <c r="D786" s="10" t="s">
        <v>19</v>
      </c>
      <c r="E786" s="10" t="s">
        <v>564</v>
      </c>
      <c r="F786" s="10" t="str">
        <f>"2170721131 "</f>
        <v xml:space="preserve">2170721131 </v>
      </c>
      <c r="G786" s="10" t="str">
        <f t="shared" si="24"/>
        <v>ON1</v>
      </c>
      <c r="H786" s="10" t="s">
        <v>21</v>
      </c>
      <c r="I786" s="10" t="s">
        <v>565</v>
      </c>
      <c r="J786" s="10" t="str">
        <f>""</f>
        <v/>
      </c>
      <c r="K786" s="10" t="str">
        <f>"PFES1162727631_0001"</f>
        <v>PFES1162727631_0001</v>
      </c>
      <c r="L786" s="10">
        <v>1</v>
      </c>
      <c r="M786" s="10">
        <v>1</v>
      </c>
    </row>
    <row r="787" spans="1:13">
      <c r="A787" s="7">
        <v>43809</v>
      </c>
      <c r="B787" s="8">
        <v>0.58402777777777781</v>
      </c>
      <c r="C787" s="10" t="str">
        <f>"FES1162727581"</f>
        <v>FES1162727581</v>
      </c>
      <c r="D787" s="10" t="s">
        <v>19</v>
      </c>
      <c r="E787" s="10" t="s">
        <v>107</v>
      </c>
      <c r="F787" s="10" t="str">
        <f>"2170720165 "</f>
        <v xml:space="preserve">2170720165 </v>
      </c>
      <c r="G787" s="10" t="str">
        <f t="shared" si="24"/>
        <v>ON1</v>
      </c>
      <c r="H787" s="10" t="s">
        <v>21</v>
      </c>
      <c r="I787" s="10" t="s">
        <v>56</v>
      </c>
      <c r="J787" s="10" t="str">
        <f>""</f>
        <v/>
      </c>
      <c r="K787" s="10" t="str">
        <f>"PFES1162727581_0001"</f>
        <v>PFES1162727581_0001</v>
      </c>
      <c r="L787" s="10">
        <v>1</v>
      </c>
      <c r="M787" s="10">
        <v>3</v>
      </c>
    </row>
    <row r="788" spans="1:13">
      <c r="A788" s="7">
        <v>43809</v>
      </c>
      <c r="B788" s="8">
        <v>0.58402777777777781</v>
      </c>
      <c r="C788" s="10" t="str">
        <f>"FES1162727608"</f>
        <v>FES1162727608</v>
      </c>
      <c r="D788" s="10" t="s">
        <v>19</v>
      </c>
      <c r="E788" s="10" t="s">
        <v>548</v>
      </c>
      <c r="F788" s="10" t="str">
        <f>"217071101 "</f>
        <v xml:space="preserve">217071101 </v>
      </c>
      <c r="G788" s="10" t="str">
        <f t="shared" si="24"/>
        <v>ON1</v>
      </c>
      <c r="H788" s="10" t="s">
        <v>21</v>
      </c>
      <c r="I788" s="10" t="s">
        <v>346</v>
      </c>
      <c r="J788" s="10" t="str">
        <f>""</f>
        <v/>
      </c>
      <c r="K788" s="10" t="str">
        <f>"PFES1162727608_0001"</f>
        <v>PFES1162727608_0001</v>
      </c>
      <c r="L788" s="10">
        <v>1</v>
      </c>
      <c r="M788" s="10">
        <v>3</v>
      </c>
    </row>
    <row r="789" spans="1:13">
      <c r="A789" s="7">
        <v>43809</v>
      </c>
      <c r="B789" s="8">
        <v>0.58333333333333337</v>
      </c>
      <c r="C789" s="10" t="str">
        <f>"FES1162727549"</f>
        <v>FES1162727549</v>
      </c>
      <c r="D789" s="10" t="s">
        <v>19</v>
      </c>
      <c r="E789" s="10" t="s">
        <v>24</v>
      </c>
      <c r="F789" s="10" t="str">
        <f>"21707120981 "</f>
        <v xml:space="preserve">21707120981 </v>
      </c>
      <c r="G789" s="10" t="str">
        <f t="shared" si="24"/>
        <v>ON1</v>
      </c>
      <c r="H789" s="10" t="s">
        <v>21</v>
      </c>
      <c r="I789" s="10" t="s">
        <v>25</v>
      </c>
      <c r="J789" s="10" t="str">
        <f>""</f>
        <v/>
      </c>
      <c r="K789" s="10" t="str">
        <f>"PFES1162727549_0001"</f>
        <v>PFES1162727549_0001</v>
      </c>
      <c r="L789" s="10">
        <v>1</v>
      </c>
      <c r="M789" s="10">
        <v>5</v>
      </c>
    </row>
    <row r="790" spans="1:13">
      <c r="A790" s="7">
        <v>43809</v>
      </c>
      <c r="B790" s="8">
        <v>0.58124999999999993</v>
      </c>
      <c r="C790" s="10" t="str">
        <f>"FES1162727602"</f>
        <v>FES1162727602</v>
      </c>
      <c r="D790" s="10" t="s">
        <v>19</v>
      </c>
      <c r="E790" s="10" t="s">
        <v>290</v>
      </c>
      <c r="F790" s="10" t="str">
        <f>"2170721090 "</f>
        <v xml:space="preserve">2170721090 </v>
      </c>
      <c r="G790" s="10" t="str">
        <f t="shared" si="24"/>
        <v>ON1</v>
      </c>
      <c r="H790" s="10" t="s">
        <v>21</v>
      </c>
      <c r="I790" s="10" t="s">
        <v>123</v>
      </c>
      <c r="J790" s="10" t="str">
        <f>""</f>
        <v/>
      </c>
      <c r="K790" s="10" t="str">
        <f>"PFES1162727602_0001"</f>
        <v>PFES1162727602_0001</v>
      </c>
      <c r="L790" s="10">
        <v>2</v>
      </c>
      <c r="M790" s="10">
        <v>15</v>
      </c>
    </row>
    <row r="791" spans="1:13">
      <c r="A791" s="7">
        <v>43809</v>
      </c>
      <c r="B791" s="8">
        <v>0.58124999999999993</v>
      </c>
      <c r="C791" s="10" t="str">
        <f>"FES1162727602"</f>
        <v>FES1162727602</v>
      </c>
      <c r="D791" s="10" t="s">
        <v>19</v>
      </c>
      <c r="E791" s="10" t="s">
        <v>290</v>
      </c>
      <c r="F791" s="10" t="str">
        <f>"2170721090 "</f>
        <v xml:space="preserve">2170721090 </v>
      </c>
      <c r="G791" s="10" t="str">
        <f t="shared" si="24"/>
        <v>ON1</v>
      </c>
      <c r="H791" s="10" t="s">
        <v>21</v>
      </c>
      <c r="I791" s="10" t="s">
        <v>123</v>
      </c>
      <c r="J791" s="10"/>
      <c r="K791" s="10" t="str">
        <f>"PFES1162727602_0002"</f>
        <v>PFES1162727602_0002</v>
      </c>
      <c r="L791" s="10">
        <v>2</v>
      </c>
      <c r="M791" s="10">
        <v>15</v>
      </c>
    </row>
    <row r="792" spans="1:13">
      <c r="A792" s="7">
        <v>43809</v>
      </c>
      <c r="B792" s="8">
        <v>0.57986111111111105</v>
      </c>
      <c r="C792" s="10" t="str">
        <f>"009935712076"</f>
        <v>009935712076</v>
      </c>
      <c r="D792" s="10" t="s">
        <v>19</v>
      </c>
      <c r="E792" s="10" t="s">
        <v>172</v>
      </c>
      <c r="F792" s="10" t="str">
        <f>"1162725774 "</f>
        <v xml:space="preserve">1162725774 </v>
      </c>
      <c r="G792" s="10" t="str">
        <f t="shared" si="24"/>
        <v>ON1</v>
      </c>
      <c r="H792" s="10" t="s">
        <v>21</v>
      </c>
      <c r="I792" s="10" t="s">
        <v>62</v>
      </c>
      <c r="J792" s="10" t="str">
        <f>"RESEND"</f>
        <v>RESEND</v>
      </c>
      <c r="K792" s="10" t="str">
        <f>"P009935712076_0001"</f>
        <v>P009935712076_0001</v>
      </c>
      <c r="L792" s="10">
        <v>1</v>
      </c>
      <c r="M792" s="10">
        <v>7</v>
      </c>
    </row>
    <row r="793" spans="1:13">
      <c r="A793" s="7">
        <v>43809</v>
      </c>
      <c r="B793" s="8">
        <v>0.56736111111111109</v>
      </c>
      <c r="C793" s="10" t="str">
        <f>"FES1162727598"</f>
        <v>FES1162727598</v>
      </c>
      <c r="D793" s="10" t="s">
        <v>19</v>
      </c>
      <c r="E793" s="10" t="s">
        <v>177</v>
      </c>
      <c r="F793" s="10" t="str">
        <f>"21707120188 "</f>
        <v xml:space="preserve">21707120188 </v>
      </c>
      <c r="G793" s="10" t="str">
        <f t="shared" si="24"/>
        <v>ON1</v>
      </c>
      <c r="H793" s="10" t="s">
        <v>21</v>
      </c>
      <c r="I793" s="10" t="s">
        <v>178</v>
      </c>
      <c r="J793" s="10" t="str">
        <f>""</f>
        <v/>
      </c>
      <c r="K793" s="10" t="str">
        <f>"PFES1162727598_0001"</f>
        <v>PFES1162727598_0001</v>
      </c>
      <c r="L793" s="10">
        <v>1</v>
      </c>
      <c r="M793" s="10">
        <v>1</v>
      </c>
    </row>
    <row r="794" spans="1:13">
      <c r="A794" s="7">
        <v>43809</v>
      </c>
      <c r="B794" s="8">
        <v>0.54791666666666672</v>
      </c>
      <c r="C794" s="10" t="str">
        <f>"FES1162727613"</f>
        <v>FES1162727613</v>
      </c>
      <c r="D794" s="10" t="s">
        <v>19</v>
      </c>
      <c r="E794" s="10" t="s">
        <v>292</v>
      </c>
      <c r="F794" s="10" t="str">
        <f>"21707100474 "</f>
        <v xml:space="preserve">21707100474 </v>
      </c>
      <c r="G794" s="10" t="str">
        <f t="shared" si="24"/>
        <v>ON1</v>
      </c>
      <c r="H794" s="10" t="s">
        <v>21</v>
      </c>
      <c r="I794" s="10" t="s">
        <v>78</v>
      </c>
      <c r="J794" s="10" t="str">
        <f>""</f>
        <v/>
      </c>
      <c r="K794" s="10" t="str">
        <f>"PFES1162727613_0001"</f>
        <v>PFES1162727613_0001</v>
      </c>
      <c r="L794" s="10">
        <v>1</v>
      </c>
      <c r="M794" s="10">
        <v>1</v>
      </c>
    </row>
    <row r="795" spans="1:13">
      <c r="A795" s="7">
        <v>43809</v>
      </c>
      <c r="B795" s="8">
        <v>0.53541666666666665</v>
      </c>
      <c r="C795" s="10" t="str">
        <f>"FES1162727594"</f>
        <v>FES1162727594</v>
      </c>
      <c r="D795" s="10" t="s">
        <v>19</v>
      </c>
      <c r="E795" s="10" t="s">
        <v>566</v>
      </c>
      <c r="F795" s="10" t="str">
        <f>"217071081 "</f>
        <v xml:space="preserve">217071081 </v>
      </c>
      <c r="G795" s="10" t="str">
        <f t="shared" si="24"/>
        <v>ON1</v>
      </c>
      <c r="H795" s="10" t="s">
        <v>21</v>
      </c>
      <c r="I795" s="10" t="s">
        <v>489</v>
      </c>
      <c r="J795" s="10" t="str">
        <f>""</f>
        <v/>
      </c>
      <c r="K795" s="10" t="str">
        <f>"PFES1162727594_0001"</f>
        <v>PFES1162727594_0001</v>
      </c>
      <c r="L795" s="10">
        <v>1</v>
      </c>
      <c r="M795" s="10">
        <v>5</v>
      </c>
    </row>
    <row r="796" spans="1:13">
      <c r="A796" s="7">
        <v>43809</v>
      </c>
      <c r="B796" s="8">
        <v>0.53541666666666665</v>
      </c>
      <c r="C796" s="10" t="str">
        <f>"FES1162727589"</f>
        <v>FES1162727589</v>
      </c>
      <c r="D796" s="10" t="s">
        <v>19</v>
      </c>
      <c r="E796" s="10" t="s">
        <v>292</v>
      </c>
      <c r="F796" s="10" t="str">
        <f>"217071074 "</f>
        <v xml:space="preserve">217071074 </v>
      </c>
      <c r="G796" s="10" t="str">
        <f t="shared" si="24"/>
        <v>ON1</v>
      </c>
      <c r="H796" s="10" t="s">
        <v>21</v>
      </c>
      <c r="I796" s="10" t="s">
        <v>78</v>
      </c>
      <c r="J796" s="10" t="str">
        <f>""</f>
        <v/>
      </c>
      <c r="K796" s="10" t="str">
        <f>"PFES1162727589_0001"</f>
        <v>PFES1162727589_0001</v>
      </c>
      <c r="L796" s="10">
        <v>1</v>
      </c>
      <c r="M796" s="10">
        <v>9</v>
      </c>
    </row>
    <row r="797" spans="1:13">
      <c r="A797" s="7">
        <v>43809</v>
      </c>
      <c r="B797" s="8">
        <v>0.53541666666666665</v>
      </c>
      <c r="C797" s="10" t="str">
        <f>"FES1162727559"</f>
        <v>FES1162727559</v>
      </c>
      <c r="D797" s="10" t="s">
        <v>19</v>
      </c>
      <c r="E797" s="10" t="s">
        <v>292</v>
      </c>
      <c r="F797" s="10" t="str">
        <f>"217071039 "</f>
        <v xml:space="preserve">217071039 </v>
      </c>
      <c r="G797" s="10" t="str">
        <f t="shared" si="24"/>
        <v>ON1</v>
      </c>
      <c r="H797" s="10" t="s">
        <v>21</v>
      </c>
      <c r="I797" s="10" t="s">
        <v>78</v>
      </c>
      <c r="J797" s="10" t="str">
        <f>""</f>
        <v/>
      </c>
      <c r="K797" s="10" t="str">
        <f>"PFES1162727559_0001"</f>
        <v>PFES1162727559_0001</v>
      </c>
      <c r="L797" s="10">
        <v>1</v>
      </c>
      <c r="M797" s="10">
        <v>3</v>
      </c>
    </row>
    <row r="798" spans="1:13">
      <c r="A798" s="7">
        <v>43809</v>
      </c>
      <c r="B798" s="8">
        <v>0.53472222222222221</v>
      </c>
      <c r="C798" s="10" t="str">
        <f>"FES1162727605"</f>
        <v>FES1162727605</v>
      </c>
      <c r="D798" s="10" t="s">
        <v>19</v>
      </c>
      <c r="E798" s="10" t="s">
        <v>407</v>
      </c>
      <c r="F798" s="10" t="str">
        <f>"217071098 "</f>
        <v xml:space="preserve">217071098 </v>
      </c>
      <c r="G798" s="10" t="str">
        <f t="shared" si="24"/>
        <v>ON1</v>
      </c>
      <c r="H798" s="10" t="s">
        <v>21</v>
      </c>
      <c r="I798" s="10" t="s">
        <v>408</v>
      </c>
      <c r="J798" s="10" t="str">
        <f>""</f>
        <v/>
      </c>
      <c r="K798" s="10" t="str">
        <f>"PFES1162727605_0001"</f>
        <v>PFES1162727605_0001</v>
      </c>
      <c r="L798" s="10">
        <v>1</v>
      </c>
      <c r="M798" s="10">
        <v>1</v>
      </c>
    </row>
    <row r="799" spans="1:13">
      <c r="A799" s="7">
        <v>43809</v>
      </c>
      <c r="B799" s="8">
        <v>0.53472222222222221</v>
      </c>
      <c r="C799" s="10" t="str">
        <f>"FES1162727592"</f>
        <v>FES1162727592</v>
      </c>
      <c r="D799" s="10" t="s">
        <v>19</v>
      </c>
      <c r="E799" s="10" t="s">
        <v>566</v>
      </c>
      <c r="F799" s="10" t="str">
        <f>"21707140787 "</f>
        <v xml:space="preserve">21707140787 </v>
      </c>
      <c r="G799" s="10" t="str">
        <f t="shared" si="24"/>
        <v>ON1</v>
      </c>
      <c r="H799" s="10" t="s">
        <v>21</v>
      </c>
      <c r="I799" s="10" t="s">
        <v>489</v>
      </c>
      <c r="J799" s="10" t="str">
        <f>""</f>
        <v/>
      </c>
      <c r="K799" s="10" t="str">
        <f>"PFES1162727592_0001"</f>
        <v>PFES1162727592_0001</v>
      </c>
      <c r="L799" s="10">
        <v>1</v>
      </c>
      <c r="M799" s="10">
        <v>1</v>
      </c>
    </row>
    <row r="800" spans="1:13">
      <c r="A800" s="7">
        <v>43809</v>
      </c>
      <c r="B800" s="8">
        <v>0.53472222222222221</v>
      </c>
      <c r="C800" s="10" t="str">
        <f>"FES1162727595"</f>
        <v>FES1162727595</v>
      </c>
      <c r="D800" s="10" t="s">
        <v>19</v>
      </c>
      <c r="E800" s="10" t="s">
        <v>567</v>
      </c>
      <c r="F800" s="10" t="str">
        <f>"2170712083 "</f>
        <v xml:space="preserve">2170712083 </v>
      </c>
      <c r="G800" s="10" t="str">
        <f t="shared" si="24"/>
        <v>ON1</v>
      </c>
      <c r="H800" s="10" t="s">
        <v>21</v>
      </c>
      <c r="I800" s="10" t="s">
        <v>568</v>
      </c>
      <c r="J800" s="10" t="str">
        <f>""</f>
        <v/>
      </c>
      <c r="K800" s="10" t="str">
        <f>"PFES1162727595_0001"</f>
        <v>PFES1162727595_0001</v>
      </c>
      <c r="L800" s="10">
        <v>1</v>
      </c>
      <c r="M800" s="10">
        <v>1</v>
      </c>
    </row>
    <row r="801" spans="1:13">
      <c r="A801" s="7">
        <v>43809</v>
      </c>
      <c r="B801" s="8">
        <v>0.52847222222222223</v>
      </c>
      <c r="C801" s="10" t="str">
        <f>"FES1162727604"</f>
        <v>FES1162727604</v>
      </c>
      <c r="D801" s="10" t="s">
        <v>19</v>
      </c>
      <c r="E801" s="10" t="s">
        <v>394</v>
      </c>
      <c r="F801" s="10" t="str">
        <f>"217071096 "</f>
        <v xml:space="preserve">217071096 </v>
      </c>
      <c r="G801" s="10" t="str">
        <f t="shared" si="24"/>
        <v>ON1</v>
      </c>
      <c r="H801" s="10" t="s">
        <v>21</v>
      </c>
      <c r="I801" s="10" t="s">
        <v>168</v>
      </c>
      <c r="J801" s="10" t="str">
        <f>""</f>
        <v/>
      </c>
      <c r="K801" s="10" t="str">
        <f>"PFES1162727604_0001"</f>
        <v>PFES1162727604_0001</v>
      </c>
      <c r="L801" s="10">
        <v>1</v>
      </c>
      <c r="M801" s="10">
        <v>1</v>
      </c>
    </row>
    <row r="802" spans="1:13">
      <c r="A802" s="7">
        <v>43809</v>
      </c>
      <c r="B802" s="8">
        <v>0.52847222222222223</v>
      </c>
      <c r="C802" s="10" t="str">
        <f>"FES1162727593"</f>
        <v>FES1162727593</v>
      </c>
      <c r="D802" s="10" t="s">
        <v>19</v>
      </c>
      <c r="E802" s="10" t="s">
        <v>184</v>
      </c>
      <c r="F802" s="10" t="str">
        <f>"2170710726 "</f>
        <v xml:space="preserve">2170710726 </v>
      </c>
      <c r="G802" s="10" t="str">
        <f t="shared" si="24"/>
        <v>ON1</v>
      </c>
      <c r="H802" s="10" t="s">
        <v>21</v>
      </c>
      <c r="I802" s="10" t="s">
        <v>43</v>
      </c>
      <c r="J802" s="10" t="str">
        <f>""</f>
        <v/>
      </c>
      <c r="K802" s="10" t="str">
        <f>"PFES1162727593_0001"</f>
        <v>PFES1162727593_0001</v>
      </c>
      <c r="L802" s="10">
        <v>1</v>
      </c>
      <c r="M802" s="10">
        <v>1</v>
      </c>
    </row>
    <row r="803" spans="1:13">
      <c r="A803" s="7">
        <v>43809</v>
      </c>
      <c r="B803" s="8">
        <v>0.52777777777777779</v>
      </c>
      <c r="C803" s="10" t="str">
        <f>"FES1162727507"</f>
        <v>FES1162727507</v>
      </c>
      <c r="D803" s="10" t="s">
        <v>19</v>
      </c>
      <c r="E803" s="10" t="s">
        <v>163</v>
      </c>
      <c r="F803" s="10" t="str">
        <f>"2170718764 "</f>
        <v xml:space="preserve">2170718764 </v>
      </c>
      <c r="G803" s="10" t="str">
        <f t="shared" si="24"/>
        <v>ON1</v>
      </c>
      <c r="H803" s="10" t="s">
        <v>21</v>
      </c>
      <c r="I803" s="10" t="s">
        <v>164</v>
      </c>
      <c r="J803" s="10" t="str">
        <f>""</f>
        <v/>
      </c>
      <c r="K803" s="10" t="str">
        <f>"PFES1162727507_0001"</f>
        <v>PFES1162727507_0001</v>
      </c>
      <c r="L803" s="10">
        <v>1</v>
      </c>
      <c r="M803" s="10">
        <v>1</v>
      </c>
    </row>
    <row r="804" spans="1:13">
      <c r="A804" s="7">
        <v>43809</v>
      </c>
      <c r="B804" s="8">
        <v>0.52777777777777779</v>
      </c>
      <c r="C804" s="10" t="str">
        <f>"FES1162727017"</f>
        <v>FES1162727017</v>
      </c>
      <c r="D804" s="10" t="s">
        <v>19</v>
      </c>
      <c r="E804" s="10" t="s">
        <v>569</v>
      </c>
      <c r="F804" s="10" t="str">
        <f>"217071123 "</f>
        <v xml:space="preserve">217071123 </v>
      </c>
      <c r="G804" s="10" t="str">
        <f t="shared" si="24"/>
        <v>ON1</v>
      </c>
      <c r="H804" s="10" t="s">
        <v>21</v>
      </c>
      <c r="I804" s="10" t="s">
        <v>521</v>
      </c>
      <c r="J804" s="10" t="str">
        <f>""</f>
        <v/>
      </c>
      <c r="K804" s="10" t="str">
        <f>"PFES1162727017_0001"</f>
        <v>PFES1162727017_0001</v>
      </c>
      <c r="L804" s="10">
        <v>1</v>
      </c>
      <c r="M804" s="10">
        <v>1</v>
      </c>
    </row>
    <row r="805" spans="1:13">
      <c r="A805" s="7">
        <v>43809</v>
      </c>
      <c r="B805" s="8">
        <v>0.5083333333333333</v>
      </c>
      <c r="C805" s="10" t="str">
        <f>"009935712077"</f>
        <v>009935712077</v>
      </c>
      <c r="D805" s="10" t="s">
        <v>19</v>
      </c>
      <c r="E805" s="10" t="s">
        <v>570</v>
      </c>
      <c r="F805" s="10" t="str">
        <f>"1162723401 "</f>
        <v xml:space="preserve">1162723401 </v>
      </c>
      <c r="G805" s="10" t="str">
        <f t="shared" si="24"/>
        <v>ON1</v>
      </c>
      <c r="H805" s="10" t="s">
        <v>21</v>
      </c>
      <c r="I805" s="10" t="s">
        <v>571</v>
      </c>
      <c r="J805" s="10" t="str">
        <f>"RESEND JHB"</f>
        <v>RESEND JHB</v>
      </c>
      <c r="K805" s="10" t="str">
        <f>"P009935712077_0001"</f>
        <v>P009935712077_0001</v>
      </c>
      <c r="L805" s="10">
        <v>1</v>
      </c>
      <c r="M805" s="10">
        <v>19</v>
      </c>
    </row>
    <row r="806" spans="1:13">
      <c r="A806" s="7">
        <v>43809</v>
      </c>
      <c r="B806" s="8">
        <v>0.50694444444444442</v>
      </c>
      <c r="C806" s="10" t="str">
        <f>"FES1162727502"</f>
        <v>FES1162727502</v>
      </c>
      <c r="D806" s="10" t="s">
        <v>19</v>
      </c>
      <c r="E806" s="10" t="s">
        <v>572</v>
      </c>
      <c r="F806" s="10" t="str">
        <f>"21707109877 "</f>
        <v xml:space="preserve">21707109877 </v>
      </c>
      <c r="G806" s="10" t="str">
        <f t="shared" si="24"/>
        <v>ON1</v>
      </c>
      <c r="H806" s="10" t="s">
        <v>21</v>
      </c>
      <c r="I806" s="10" t="s">
        <v>573</v>
      </c>
      <c r="J806" s="10" t="str">
        <f>""</f>
        <v/>
      </c>
      <c r="K806" s="10" t="str">
        <f>"PFES1162727502_0001"</f>
        <v>PFES1162727502_0001</v>
      </c>
      <c r="L806" s="10">
        <v>1</v>
      </c>
      <c r="M806" s="10">
        <v>8</v>
      </c>
    </row>
    <row r="807" spans="1:13">
      <c r="A807" s="7">
        <v>43809</v>
      </c>
      <c r="B807" s="8">
        <v>0.50694444444444442</v>
      </c>
      <c r="C807" s="10" t="str">
        <f>"FES1162727493"</f>
        <v>FES1162727493</v>
      </c>
      <c r="D807" s="10" t="s">
        <v>19</v>
      </c>
      <c r="E807" s="10" t="s">
        <v>71</v>
      </c>
      <c r="F807" s="10" t="str">
        <f>"21707120974 "</f>
        <v xml:space="preserve">21707120974 </v>
      </c>
      <c r="G807" s="10" t="str">
        <f t="shared" si="24"/>
        <v>ON1</v>
      </c>
      <c r="H807" s="10" t="s">
        <v>21</v>
      </c>
      <c r="I807" s="10" t="s">
        <v>72</v>
      </c>
      <c r="J807" s="10" t="str">
        <f>""</f>
        <v/>
      </c>
      <c r="K807" s="10" t="str">
        <f>"PFES1162727493_0001"</f>
        <v>PFES1162727493_0001</v>
      </c>
      <c r="L807" s="10">
        <v>1</v>
      </c>
      <c r="M807" s="10">
        <v>1</v>
      </c>
    </row>
    <row r="808" spans="1:13">
      <c r="A808" s="7">
        <v>43809</v>
      </c>
      <c r="B808" s="8">
        <v>0.50694444444444442</v>
      </c>
      <c r="C808" s="10" t="str">
        <f>"FES1162727539"</f>
        <v>FES1162727539</v>
      </c>
      <c r="D808" s="10" t="s">
        <v>19</v>
      </c>
      <c r="E808" s="10" t="s">
        <v>574</v>
      </c>
      <c r="F808" s="10" t="str">
        <f>"217071212 "</f>
        <v xml:space="preserve">217071212 </v>
      </c>
      <c r="G808" s="10" t="str">
        <f t="shared" si="24"/>
        <v>ON1</v>
      </c>
      <c r="H808" s="10" t="s">
        <v>21</v>
      </c>
      <c r="I808" s="10" t="s">
        <v>575</v>
      </c>
      <c r="J808" s="10" t="str">
        <f>""</f>
        <v/>
      </c>
      <c r="K808" s="10" t="str">
        <f>"PFES1162727539_0001"</f>
        <v>PFES1162727539_0001</v>
      </c>
      <c r="L808" s="10">
        <v>1</v>
      </c>
      <c r="M808" s="10">
        <v>1</v>
      </c>
    </row>
    <row r="809" spans="1:13">
      <c r="A809" s="7">
        <v>43809</v>
      </c>
      <c r="B809" s="8">
        <v>0.50624999999999998</v>
      </c>
      <c r="C809" s="10" t="str">
        <f>"FES1162727538"</f>
        <v>FES1162727538</v>
      </c>
      <c r="D809" s="10" t="s">
        <v>19</v>
      </c>
      <c r="E809" s="10" t="s">
        <v>450</v>
      </c>
      <c r="F809" s="10" t="str">
        <f>"2170712101 "</f>
        <v xml:space="preserve">2170712101 </v>
      </c>
      <c r="G809" s="10" t="str">
        <f t="shared" si="24"/>
        <v>ON1</v>
      </c>
      <c r="H809" s="10" t="s">
        <v>21</v>
      </c>
      <c r="I809" s="10" t="s">
        <v>451</v>
      </c>
      <c r="J809" s="10" t="str">
        <f>""</f>
        <v/>
      </c>
      <c r="K809" s="10" t="str">
        <f>"PFES1162727538_0001"</f>
        <v>PFES1162727538_0001</v>
      </c>
      <c r="L809" s="10">
        <v>1</v>
      </c>
      <c r="M809" s="10">
        <v>1</v>
      </c>
    </row>
    <row r="810" spans="1:13">
      <c r="A810" s="7">
        <v>43809</v>
      </c>
      <c r="B810" s="8">
        <v>0.50624999999999998</v>
      </c>
      <c r="C810" s="10" t="str">
        <f>"FES1162727576"</f>
        <v>FES1162727576</v>
      </c>
      <c r="D810" s="10" t="s">
        <v>19</v>
      </c>
      <c r="E810" s="10" t="s">
        <v>556</v>
      </c>
      <c r="F810" s="10" t="str">
        <f>"217071062 "</f>
        <v xml:space="preserve">217071062 </v>
      </c>
      <c r="G810" s="10" t="str">
        <f t="shared" si="24"/>
        <v>ON1</v>
      </c>
      <c r="H810" s="10" t="s">
        <v>21</v>
      </c>
      <c r="I810" s="10" t="s">
        <v>557</v>
      </c>
      <c r="J810" s="10" t="str">
        <f>""</f>
        <v/>
      </c>
      <c r="K810" s="10" t="str">
        <f>"PFES1162727576_0001"</f>
        <v>PFES1162727576_0001</v>
      </c>
      <c r="L810" s="10">
        <v>1</v>
      </c>
      <c r="M810" s="10">
        <v>1</v>
      </c>
    </row>
    <row r="811" spans="1:13">
      <c r="A811" s="7">
        <v>43809</v>
      </c>
      <c r="B811" s="8">
        <v>0.50347222222222221</v>
      </c>
      <c r="C811" s="10" t="str">
        <f>"FES1162727566"</f>
        <v>FES1162727566</v>
      </c>
      <c r="D811" s="10" t="s">
        <v>19</v>
      </c>
      <c r="E811" s="10" t="s">
        <v>576</v>
      </c>
      <c r="F811" s="10" t="str">
        <f>"217071047 "</f>
        <v xml:space="preserve">217071047 </v>
      </c>
      <c r="G811" s="10" t="str">
        <f t="shared" si="24"/>
        <v>ON1</v>
      </c>
      <c r="H811" s="10" t="s">
        <v>21</v>
      </c>
      <c r="I811" s="10" t="s">
        <v>56</v>
      </c>
      <c r="J811" s="10" t="str">
        <f>""</f>
        <v/>
      </c>
      <c r="K811" s="10" t="str">
        <f>"PFES1162727566_0001"</f>
        <v>PFES1162727566_0001</v>
      </c>
      <c r="L811" s="10">
        <v>1</v>
      </c>
      <c r="M811" s="10">
        <v>12</v>
      </c>
    </row>
    <row r="812" spans="1:13">
      <c r="A812" s="7">
        <v>43809</v>
      </c>
      <c r="B812" s="8">
        <v>0.50347222222222221</v>
      </c>
      <c r="C812" s="10" t="str">
        <f>"FES1162727569"</f>
        <v>FES1162727569</v>
      </c>
      <c r="D812" s="10" t="s">
        <v>19</v>
      </c>
      <c r="E812" s="10" t="s">
        <v>173</v>
      </c>
      <c r="F812" s="10" t="str">
        <f>"217071051 "</f>
        <v xml:space="preserve">217071051 </v>
      </c>
      <c r="G812" s="10" t="str">
        <f t="shared" si="24"/>
        <v>ON1</v>
      </c>
      <c r="H812" s="10" t="s">
        <v>21</v>
      </c>
      <c r="I812" s="10" t="s">
        <v>130</v>
      </c>
      <c r="J812" s="10" t="str">
        <f>""</f>
        <v/>
      </c>
      <c r="K812" s="10" t="str">
        <f>"PFES1162727569_0001"</f>
        <v>PFES1162727569_0001</v>
      </c>
      <c r="L812" s="10">
        <v>1</v>
      </c>
      <c r="M812" s="10">
        <v>4</v>
      </c>
    </row>
    <row r="813" spans="1:13">
      <c r="A813" s="7">
        <v>43809</v>
      </c>
      <c r="B813" s="8">
        <v>0.50277777777777777</v>
      </c>
      <c r="C813" s="10" t="str">
        <f>"FES1162727543"</f>
        <v>FES1162727543</v>
      </c>
      <c r="D813" s="10" t="s">
        <v>19</v>
      </c>
      <c r="E813" s="10" t="s">
        <v>319</v>
      </c>
      <c r="F813" s="10" t="str">
        <f>"2170710687 "</f>
        <v xml:space="preserve">2170710687 </v>
      </c>
      <c r="G813" s="10" t="str">
        <f t="shared" si="24"/>
        <v>ON1</v>
      </c>
      <c r="H813" s="10" t="s">
        <v>21</v>
      </c>
      <c r="I813" s="10" t="s">
        <v>320</v>
      </c>
      <c r="J813" s="10" t="str">
        <f>""</f>
        <v/>
      </c>
      <c r="K813" s="10" t="str">
        <f>"PFES1162727543_0001"</f>
        <v>PFES1162727543_0001</v>
      </c>
      <c r="L813" s="10">
        <v>1</v>
      </c>
      <c r="M813" s="10">
        <v>8</v>
      </c>
    </row>
    <row r="814" spans="1:13">
      <c r="A814" s="7">
        <v>43809</v>
      </c>
      <c r="B814" s="8">
        <v>0.50277777777777777</v>
      </c>
      <c r="C814" s="10" t="str">
        <f>"FES1162727572"</f>
        <v>FES1162727572</v>
      </c>
      <c r="D814" s="10" t="s">
        <v>19</v>
      </c>
      <c r="E814" s="10" t="s">
        <v>173</v>
      </c>
      <c r="F814" s="10" t="str">
        <f>"217071057 "</f>
        <v xml:space="preserve">217071057 </v>
      </c>
      <c r="G814" s="10" t="str">
        <f t="shared" si="24"/>
        <v>ON1</v>
      </c>
      <c r="H814" s="10" t="s">
        <v>21</v>
      </c>
      <c r="I814" s="10" t="s">
        <v>130</v>
      </c>
      <c r="J814" s="10" t="str">
        <f>""</f>
        <v/>
      </c>
      <c r="K814" s="10" t="str">
        <f>"PFES1162727572_0001"</f>
        <v>PFES1162727572_0001</v>
      </c>
      <c r="L814" s="10">
        <v>1</v>
      </c>
      <c r="M814" s="10">
        <v>13</v>
      </c>
    </row>
    <row r="815" spans="1:13">
      <c r="A815" s="7">
        <v>43809</v>
      </c>
      <c r="B815" s="8">
        <v>0.50138888888888888</v>
      </c>
      <c r="C815" s="10" t="str">
        <f>"FES1162727477"</f>
        <v>FES1162727477</v>
      </c>
      <c r="D815" s="10" t="s">
        <v>19</v>
      </c>
      <c r="E815" s="10" t="s">
        <v>577</v>
      </c>
      <c r="F815" s="10" t="str">
        <f>"217071690 "</f>
        <v xml:space="preserve">217071690 </v>
      </c>
      <c r="G815" s="10" t="str">
        <f t="shared" si="24"/>
        <v>ON1</v>
      </c>
      <c r="H815" s="10" t="s">
        <v>21</v>
      </c>
      <c r="I815" s="10" t="s">
        <v>578</v>
      </c>
      <c r="J815" s="10" t="str">
        <f>""</f>
        <v/>
      </c>
      <c r="K815" s="10" t="str">
        <f>"PFES1162727477_0001"</f>
        <v>PFES1162727477_0001</v>
      </c>
      <c r="L815" s="10">
        <v>1</v>
      </c>
      <c r="M815" s="10">
        <v>1</v>
      </c>
    </row>
    <row r="816" spans="1:13">
      <c r="A816" s="7">
        <v>43809</v>
      </c>
      <c r="B816" s="8">
        <v>0.50138888888888888</v>
      </c>
      <c r="C816" s="10" t="str">
        <f>"FES1162727449"</f>
        <v>FES1162727449</v>
      </c>
      <c r="D816" s="10" t="s">
        <v>19</v>
      </c>
      <c r="E816" s="10" t="s">
        <v>352</v>
      </c>
      <c r="F816" s="10" t="str">
        <f>"2170710414 "</f>
        <v xml:space="preserve">2170710414 </v>
      </c>
      <c r="G816" s="10" t="str">
        <f t="shared" si="24"/>
        <v>ON1</v>
      </c>
      <c r="H816" s="10" t="s">
        <v>21</v>
      </c>
      <c r="I816" s="10" t="s">
        <v>353</v>
      </c>
      <c r="J816" s="10" t="str">
        <f>""</f>
        <v/>
      </c>
      <c r="K816" s="10" t="str">
        <f>"PFES1162727449_0001"</f>
        <v>PFES1162727449_0001</v>
      </c>
      <c r="L816" s="10">
        <v>1</v>
      </c>
      <c r="M816" s="10">
        <v>3</v>
      </c>
    </row>
    <row r="817" spans="1:13">
      <c r="A817" s="7">
        <v>43809</v>
      </c>
      <c r="B817" s="8">
        <v>0.50138888888888888</v>
      </c>
      <c r="C817" s="10" t="str">
        <f>"FES1162727535"</f>
        <v>FES1162727535</v>
      </c>
      <c r="D817" s="10" t="s">
        <v>19</v>
      </c>
      <c r="E817" s="10" t="s">
        <v>53</v>
      </c>
      <c r="F817" s="10" t="str">
        <f>"217071005 "</f>
        <v xml:space="preserve">217071005 </v>
      </c>
      <c r="G817" s="10" t="str">
        <f t="shared" si="24"/>
        <v>ON1</v>
      </c>
      <c r="H817" s="10" t="s">
        <v>21</v>
      </c>
      <c r="I817" s="10" t="s">
        <v>54</v>
      </c>
      <c r="J817" s="10" t="str">
        <f>""</f>
        <v/>
      </c>
      <c r="K817" s="10" t="str">
        <f>"PFES1162727535_0001"</f>
        <v>PFES1162727535_0001</v>
      </c>
      <c r="L817" s="10">
        <v>1</v>
      </c>
      <c r="M817" s="10">
        <v>3</v>
      </c>
    </row>
    <row r="818" spans="1:13">
      <c r="A818" s="7">
        <v>43809</v>
      </c>
      <c r="B818" s="8">
        <v>0.50069444444444444</v>
      </c>
      <c r="C818" s="10" t="str">
        <f>"FES1162727528"</f>
        <v>FES1162727528</v>
      </c>
      <c r="D818" s="10" t="s">
        <v>19</v>
      </c>
      <c r="E818" s="10" t="s">
        <v>443</v>
      </c>
      <c r="F818" s="10" t="str">
        <f>"21707120100 "</f>
        <v xml:space="preserve">21707120100 </v>
      </c>
      <c r="G818" s="10" t="str">
        <f t="shared" si="24"/>
        <v>ON1</v>
      </c>
      <c r="H818" s="10" t="s">
        <v>21</v>
      </c>
      <c r="I818" s="10" t="s">
        <v>444</v>
      </c>
      <c r="J818" s="10" t="str">
        <f>""</f>
        <v/>
      </c>
      <c r="K818" s="10" t="str">
        <f>"PFES1162727528_0001"</f>
        <v>PFES1162727528_0001</v>
      </c>
      <c r="L818" s="10">
        <v>1</v>
      </c>
      <c r="M818" s="10">
        <v>2</v>
      </c>
    </row>
    <row r="819" spans="1:13">
      <c r="A819" s="7">
        <v>43809</v>
      </c>
      <c r="B819" s="8">
        <v>0.50069444444444444</v>
      </c>
      <c r="C819" s="10" t="str">
        <f>"FES1162727488"</f>
        <v>FES1162727488</v>
      </c>
      <c r="D819" s="10" t="s">
        <v>19</v>
      </c>
      <c r="E819" s="10" t="s">
        <v>63</v>
      </c>
      <c r="F819" s="10" t="str">
        <f>"2170720752 "</f>
        <v xml:space="preserve">2170720752 </v>
      </c>
      <c r="G819" s="10" t="str">
        <f t="shared" si="24"/>
        <v>ON1</v>
      </c>
      <c r="H819" s="10" t="s">
        <v>21</v>
      </c>
      <c r="I819" s="10" t="s">
        <v>64</v>
      </c>
      <c r="J819" s="10" t="str">
        <f>""</f>
        <v/>
      </c>
      <c r="K819" s="10" t="str">
        <f>"PFES1162727488_0001"</f>
        <v>PFES1162727488_0001</v>
      </c>
      <c r="L819" s="10">
        <v>1</v>
      </c>
      <c r="M819" s="10">
        <v>3</v>
      </c>
    </row>
    <row r="820" spans="1:13">
      <c r="A820" s="7">
        <v>43809</v>
      </c>
      <c r="B820" s="8">
        <v>0.4993055555555555</v>
      </c>
      <c r="C820" s="10" t="str">
        <f>"FES1162727519"</f>
        <v>FES1162727519</v>
      </c>
      <c r="D820" s="10" t="s">
        <v>19</v>
      </c>
      <c r="E820" s="10" t="s">
        <v>118</v>
      </c>
      <c r="F820" s="10" t="str">
        <f>"2170720870 "</f>
        <v xml:space="preserve">2170720870 </v>
      </c>
      <c r="G820" s="10" t="str">
        <f t="shared" si="24"/>
        <v>ON1</v>
      </c>
      <c r="H820" s="10" t="s">
        <v>21</v>
      </c>
      <c r="I820" s="10" t="s">
        <v>119</v>
      </c>
      <c r="J820" s="10" t="str">
        <f>""</f>
        <v/>
      </c>
      <c r="K820" s="10" t="str">
        <f>"PFES1162727519_0001"</f>
        <v>PFES1162727519_0001</v>
      </c>
      <c r="L820" s="10">
        <v>1</v>
      </c>
      <c r="M820" s="10">
        <v>2</v>
      </c>
    </row>
    <row r="821" spans="1:13">
      <c r="A821" s="7">
        <v>43809</v>
      </c>
      <c r="B821" s="8">
        <v>0.49861111111111112</v>
      </c>
      <c r="C821" s="10" t="str">
        <f>"FES1162727456"</f>
        <v>FES1162727456</v>
      </c>
      <c r="D821" s="10" t="s">
        <v>19</v>
      </c>
      <c r="E821" s="10" t="s">
        <v>28</v>
      </c>
      <c r="F821" s="10" t="str">
        <f>"2170710941 "</f>
        <v xml:space="preserve">2170710941 </v>
      </c>
      <c r="G821" s="10" t="str">
        <f t="shared" si="24"/>
        <v>ON1</v>
      </c>
      <c r="H821" s="10" t="s">
        <v>21</v>
      </c>
      <c r="I821" s="10" t="s">
        <v>29</v>
      </c>
      <c r="J821" s="10" t="str">
        <f>""</f>
        <v/>
      </c>
      <c r="K821" s="10" t="str">
        <f>"PFES1162727456_0001"</f>
        <v>PFES1162727456_0001</v>
      </c>
      <c r="L821" s="10">
        <v>1</v>
      </c>
      <c r="M821" s="10">
        <v>10</v>
      </c>
    </row>
    <row r="822" spans="1:13">
      <c r="A822" s="7">
        <v>43809</v>
      </c>
      <c r="B822" s="8">
        <v>0.48888888888888887</v>
      </c>
      <c r="C822" s="10" t="str">
        <f>"FES1162724891"</f>
        <v>FES1162724891</v>
      </c>
      <c r="D822" s="10" t="s">
        <v>19</v>
      </c>
      <c r="E822" s="10" t="s">
        <v>363</v>
      </c>
      <c r="F822" s="10" t="str">
        <f>"2177108263 "</f>
        <v xml:space="preserve">2177108263 </v>
      </c>
      <c r="G822" s="10" t="str">
        <f t="shared" si="24"/>
        <v>ON1</v>
      </c>
      <c r="H822" s="10" t="s">
        <v>21</v>
      </c>
      <c r="I822" s="10" t="s">
        <v>220</v>
      </c>
      <c r="J822" s="10" t="str">
        <f>""</f>
        <v/>
      </c>
      <c r="K822" s="10" t="str">
        <f>"PFES1162724891_0001"</f>
        <v>PFES1162724891_0001</v>
      </c>
      <c r="L822" s="10">
        <v>1</v>
      </c>
      <c r="M822" s="10">
        <v>1</v>
      </c>
    </row>
    <row r="823" spans="1:13">
      <c r="A823" s="7">
        <v>43809</v>
      </c>
      <c r="B823" s="8">
        <v>0.48888888888888887</v>
      </c>
      <c r="C823" s="10" t="str">
        <f>"FES1162726675"</f>
        <v>FES1162726675</v>
      </c>
      <c r="D823" s="10" t="s">
        <v>19</v>
      </c>
      <c r="E823" s="10" t="s">
        <v>363</v>
      </c>
      <c r="F823" s="10" t="str">
        <f>"2170710832 "</f>
        <v xml:space="preserve">2170710832 </v>
      </c>
      <c r="G823" s="10" t="str">
        <f t="shared" ref="G823:G879" si="25">"ON1"</f>
        <v>ON1</v>
      </c>
      <c r="H823" s="10" t="s">
        <v>21</v>
      </c>
      <c r="I823" s="10" t="s">
        <v>220</v>
      </c>
      <c r="J823" s="10" t="str">
        <f>""</f>
        <v/>
      </c>
      <c r="K823" s="10" t="str">
        <f>"PFES1162726675_0001"</f>
        <v>PFES1162726675_0001</v>
      </c>
      <c r="L823" s="10">
        <v>1</v>
      </c>
      <c r="M823" s="10">
        <v>1</v>
      </c>
    </row>
    <row r="824" spans="1:13">
      <c r="A824" s="7">
        <v>43809</v>
      </c>
      <c r="B824" s="8">
        <v>0.48888888888888887</v>
      </c>
      <c r="C824" s="10" t="str">
        <f>"FES1162727545"</f>
        <v>FES1162727545</v>
      </c>
      <c r="D824" s="10" t="s">
        <v>19</v>
      </c>
      <c r="E824" s="10" t="s">
        <v>579</v>
      </c>
      <c r="F824" s="10" t="str">
        <f>"2170712161 "</f>
        <v xml:space="preserve">2170712161 </v>
      </c>
      <c r="G824" s="10" t="str">
        <f t="shared" si="25"/>
        <v>ON1</v>
      </c>
      <c r="H824" s="10" t="s">
        <v>21</v>
      </c>
      <c r="I824" s="10" t="s">
        <v>580</v>
      </c>
      <c r="J824" s="10" t="str">
        <f>""</f>
        <v/>
      </c>
      <c r="K824" s="10" t="str">
        <f>"PFES1162727545_0001"</f>
        <v>PFES1162727545_0001</v>
      </c>
      <c r="L824" s="10">
        <v>1</v>
      </c>
      <c r="M824" s="10">
        <v>1</v>
      </c>
    </row>
    <row r="825" spans="1:13">
      <c r="A825" s="7">
        <v>43809</v>
      </c>
      <c r="B825" s="8">
        <v>0.48819444444444443</v>
      </c>
      <c r="C825" s="10" t="str">
        <f>"FES1162727562"</f>
        <v>FES1162727562</v>
      </c>
      <c r="D825" s="10" t="s">
        <v>19</v>
      </c>
      <c r="E825" s="10" t="s">
        <v>513</v>
      </c>
      <c r="F825" s="10" t="str">
        <f>"217071042 "</f>
        <v xml:space="preserve">217071042 </v>
      </c>
      <c r="G825" s="10" t="str">
        <f t="shared" si="25"/>
        <v>ON1</v>
      </c>
      <c r="H825" s="10" t="s">
        <v>21</v>
      </c>
      <c r="I825" s="10" t="s">
        <v>514</v>
      </c>
      <c r="J825" s="10" t="str">
        <f>""</f>
        <v/>
      </c>
      <c r="K825" s="10" t="str">
        <f>"PFES1162727562_0001"</f>
        <v>PFES1162727562_0001</v>
      </c>
      <c r="L825" s="10">
        <v>1</v>
      </c>
      <c r="M825" s="10">
        <v>1</v>
      </c>
    </row>
    <row r="826" spans="1:13">
      <c r="A826" s="7">
        <v>43809</v>
      </c>
      <c r="B826" s="8">
        <v>0.48819444444444443</v>
      </c>
      <c r="C826" s="10" t="str">
        <f>"FES1162727548"</f>
        <v>FES1162727548</v>
      </c>
      <c r="D826" s="10" t="s">
        <v>19</v>
      </c>
      <c r="E826" s="10" t="s">
        <v>343</v>
      </c>
      <c r="F826" s="10" t="str">
        <f>"217071204 "</f>
        <v xml:space="preserve">217071204 </v>
      </c>
      <c r="G826" s="10" t="str">
        <f t="shared" si="25"/>
        <v>ON1</v>
      </c>
      <c r="H826" s="10" t="s">
        <v>21</v>
      </c>
      <c r="I826" s="10" t="s">
        <v>145</v>
      </c>
      <c r="J826" s="10" t="str">
        <f>""</f>
        <v/>
      </c>
      <c r="K826" s="10" t="str">
        <f>"PFES1162727548_0001"</f>
        <v>PFES1162727548_0001</v>
      </c>
      <c r="L826" s="10">
        <v>1</v>
      </c>
      <c r="M826" s="10">
        <v>1</v>
      </c>
    </row>
    <row r="827" spans="1:13">
      <c r="A827" s="7">
        <v>43809</v>
      </c>
      <c r="B827" s="8">
        <v>0.48819444444444443</v>
      </c>
      <c r="C827" s="10" t="str">
        <f>"FES1162727530"</f>
        <v>FES1162727530</v>
      </c>
      <c r="D827" s="10" t="s">
        <v>19</v>
      </c>
      <c r="E827" s="10" t="s">
        <v>59</v>
      </c>
      <c r="F827" s="10" t="str">
        <f>"2170712001 "</f>
        <v xml:space="preserve">2170712001 </v>
      </c>
      <c r="G827" s="10" t="str">
        <f t="shared" si="25"/>
        <v>ON1</v>
      </c>
      <c r="H827" s="10" t="s">
        <v>21</v>
      </c>
      <c r="I827" s="10" t="s">
        <v>60</v>
      </c>
      <c r="J827" s="10" t="str">
        <f>""</f>
        <v/>
      </c>
      <c r="K827" s="10" t="str">
        <f>"PFES1162727530_0001"</f>
        <v>PFES1162727530_0001</v>
      </c>
      <c r="L827" s="10">
        <v>1</v>
      </c>
      <c r="M827" s="10">
        <v>1</v>
      </c>
    </row>
    <row r="828" spans="1:13">
      <c r="A828" s="7">
        <v>43809</v>
      </c>
      <c r="B828" s="8">
        <v>0.48749999999999999</v>
      </c>
      <c r="C828" s="10" t="str">
        <f>"FES1162727573"</f>
        <v>FES1162727573</v>
      </c>
      <c r="D828" s="10" t="s">
        <v>19</v>
      </c>
      <c r="E828" s="10" t="s">
        <v>34</v>
      </c>
      <c r="F828" s="10" t="str">
        <f>"2170712058 "</f>
        <v xml:space="preserve">2170712058 </v>
      </c>
      <c r="G828" s="10" t="str">
        <f t="shared" si="25"/>
        <v>ON1</v>
      </c>
      <c r="H828" s="10" t="s">
        <v>21</v>
      </c>
      <c r="I828" s="10" t="s">
        <v>35</v>
      </c>
      <c r="J828" s="10" t="str">
        <f>""</f>
        <v/>
      </c>
      <c r="K828" s="10" t="str">
        <f>"PFES1162727573_0001"</f>
        <v>PFES1162727573_0001</v>
      </c>
      <c r="L828" s="10">
        <v>1</v>
      </c>
      <c r="M828" s="10">
        <v>1</v>
      </c>
    </row>
    <row r="829" spans="1:13">
      <c r="A829" s="7">
        <v>43809</v>
      </c>
      <c r="B829" s="8">
        <v>0.48749999999999999</v>
      </c>
      <c r="C829" s="10" t="str">
        <f>"FES1162727588"</f>
        <v>FES1162727588</v>
      </c>
      <c r="D829" s="10" t="s">
        <v>19</v>
      </c>
      <c r="E829" s="10" t="s">
        <v>84</v>
      </c>
      <c r="F829" s="10" t="str">
        <f>"2170712073 "</f>
        <v xml:space="preserve">2170712073 </v>
      </c>
      <c r="G829" s="10" t="str">
        <f t="shared" si="25"/>
        <v>ON1</v>
      </c>
      <c r="H829" s="10" t="s">
        <v>21</v>
      </c>
      <c r="I829" s="10" t="s">
        <v>85</v>
      </c>
      <c r="J829" s="10" t="str">
        <f>""</f>
        <v/>
      </c>
      <c r="K829" s="10" t="str">
        <f>"PFES1162727588_0001"</f>
        <v>PFES1162727588_0001</v>
      </c>
      <c r="L829" s="10">
        <v>1</v>
      </c>
      <c r="M829" s="10">
        <v>4</v>
      </c>
    </row>
    <row r="830" spans="1:13">
      <c r="A830" s="7">
        <v>43809</v>
      </c>
      <c r="B830" s="8">
        <v>0.48680555555555555</v>
      </c>
      <c r="C830" s="10" t="str">
        <f>"FES1162727563"</f>
        <v>FES1162727563</v>
      </c>
      <c r="D830" s="10" t="s">
        <v>19</v>
      </c>
      <c r="E830" s="10" t="s">
        <v>529</v>
      </c>
      <c r="F830" s="10" t="str">
        <f>"2170712043 "</f>
        <v xml:space="preserve">2170712043 </v>
      </c>
      <c r="G830" s="10" t="str">
        <f t="shared" si="25"/>
        <v>ON1</v>
      </c>
      <c r="H830" s="10" t="s">
        <v>21</v>
      </c>
      <c r="I830" s="10" t="s">
        <v>136</v>
      </c>
      <c r="J830" s="10" t="str">
        <f>""</f>
        <v/>
      </c>
      <c r="K830" s="10" t="str">
        <f>"PFES1162727563_0001"</f>
        <v>PFES1162727563_0001</v>
      </c>
      <c r="L830" s="10">
        <v>1</v>
      </c>
      <c r="M830" s="10">
        <v>14</v>
      </c>
    </row>
    <row r="831" spans="1:13">
      <c r="A831" s="7">
        <v>43809</v>
      </c>
      <c r="B831" s="8">
        <v>0.47569444444444442</v>
      </c>
      <c r="C831" s="10" t="str">
        <f>"FES1162727564"</f>
        <v>FES1162727564</v>
      </c>
      <c r="D831" s="10" t="s">
        <v>19</v>
      </c>
      <c r="E831" s="10" t="s">
        <v>124</v>
      </c>
      <c r="F831" s="10" t="str">
        <f>"2170712044 "</f>
        <v xml:space="preserve">2170712044 </v>
      </c>
      <c r="G831" s="10" t="str">
        <f t="shared" si="25"/>
        <v>ON1</v>
      </c>
      <c r="H831" s="10" t="s">
        <v>21</v>
      </c>
      <c r="I831" s="10" t="s">
        <v>125</v>
      </c>
      <c r="J831" s="10" t="str">
        <f>""</f>
        <v/>
      </c>
      <c r="K831" s="10" t="str">
        <f>"PFES1162727564_0001"</f>
        <v>PFES1162727564_0001</v>
      </c>
      <c r="L831" s="10">
        <v>1</v>
      </c>
      <c r="M831" s="10">
        <v>1</v>
      </c>
    </row>
    <row r="832" spans="1:13">
      <c r="A832" s="7">
        <v>43809</v>
      </c>
      <c r="B832" s="8">
        <v>0.47569444444444442</v>
      </c>
      <c r="C832" s="10" t="str">
        <f>"FES1162727526"</f>
        <v>FES1162727526</v>
      </c>
      <c r="D832" s="10" t="s">
        <v>19</v>
      </c>
      <c r="E832" s="10" t="s">
        <v>221</v>
      </c>
      <c r="F832" s="10" t="str">
        <f>"2170710997 "</f>
        <v xml:space="preserve">2170710997 </v>
      </c>
      <c r="G832" s="10" t="str">
        <f t="shared" si="25"/>
        <v>ON1</v>
      </c>
      <c r="H832" s="10" t="s">
        <v>21</v>
      </c>
      <c r="I832" s="10" t="s">
        <v>56</v>
      </c>
      <c r="J832" s="10" t="str">
        <f>""</f>
        <v/>
      </c>
      <c r="K832" s="10" t="str">
        <f>"PFES1162727526_0001"</f>
        <v>PFES1162727526_0001</v>
      </c>
      <c r="L832" s="10">
        <v>1</v>
      </c>
      <c r="M832" s="10">
        <v>1</v>
      </c>
    </row>
    <row r="833" spans="1:13">
      <c r="A833" s="7">
        <v>43809</v>
      </c>
      <c r="B833" s="8">
        <v>0.47569444444444442</v>
      </c>
      <c r="C833" s="10" t="str">
        <f>"FES1162727512"</f>
        <v>FES1162727512</v>
      </c>
      <c r="D833" s="10" t="s">
        <v>19</v>
      </c>
      <c r="E833" s="10" t="s">
        <v>581</v>
      </c>
      <c r="F833" s="10" t="str">
        <f>"21707120307 "</f>
        <v xml:space="preserve">21707120307 </v>
      </c>
      <c r="G833" s="10" t="str">
        <f t="shared" si="25"/>
        <v>ON1</v>
      </c>
      <c r="H833" s="10" t="s">
        <v>21</v>
      </c>
      <c r="I833" s="10" t="s">
        <v>183</v>
      </c>
      <c r="J833" s="10" t="str">
        <f>""</f>
        <v/>
      </c>
      <c r="K833" s="10" t="str">
        <f>"PFES1162727512_0001"</f>
        <v>PFES1162727512_0001</v>
      </c>
      <c r="L833" s="10">
        <v>1</v>
      </c>
      <c r="M833" s="10">
        <v>1</v>
      </c>
    </row>
    <row r="834" spans="1:13">
      <c r="A834" s="7">
        <v>43809</v>
      </c>
      <c r="B834" s="8">
        <v>0.47500000000000003</v>
      </c>
      <c r="C834" s="10" t="str">
        <f>"FES1162727515"</f>
        <v>FES1162727515</v>
      </c>
      <c r="D834" s="10" t="s">
        <v>19</v>
      </c>
      <c r="E834" s="10" t="s">
        <v>582</v>
      </c>
      <c r="F834" s="10" t="str">
        <f>"2170710643 "</f>
        <v xml:space="preserve">2170710643 </v>
      </c>
      <c r="G834" s="10" t="str">
        <f t="shared" si="25"/>
        <v>ON1</v>
      </c>
      <c r="H834" s="10" t="s">
        <v>21</v>
      </c>
      <c r="I834" s="10" t="s">
        <v>506</v>
      </c>
      <c r="J834" s="10" t="str">
        <f>""</f>
        <v/>
      </c>
      <c r="K834" s="10" t="str">
        <f>"PFES1162727515_0001"</f>
        <v>PFES1162727515_0001</v>
      </c>
      <c r="L834" s="10">
        <v>1</v>
      </c>
      <c r="M834" s="10">
        <v>1</v>
      </c>
    </row>
    <row r="835" spans="1:13">
      <c r="A835" s="7">
        <v>43809</v>
      </c>
      <c r="B835" s="8">
        <v>0.47500000000000003</v>
      </c>
      <c r="C835" s="10" t="str">
        <f>"FES1162727470"</f>
        <v>FES1162727470</v>
      </c>
      <c r="D835" s="10" t="s">
        <v>19</v>
      </c>
      <c r="E835" s="10" t="s">
        <v>360</v>
      </c>
      <c r="F835" s="10" t="str">
        <f>"21707120955 "</f>
        <v xml:space="preserve">21707120955 </v>
      </c>
      <c r="G835" s="10" t="str">
        <f t="shared" si="25"/>
        <v>ON1</v>
      </c>
      <c r="H835" s="10" t="s">
        <v>21</v>
      </c>
      <c r="I835" s="10" t="s">
        <v>361</v>
      </c>
      <c r="J835" s="10" t="str">
        <f>""</f>
        <v/>
      </c>
      <c r="K835" s="10" t="str">
        <f>"PFES1162727470_0001"</f>
        <v>PFES1162727470_0001</v>
      </c>
      <c r="L835" s="10">
        <v>1</v>
      </c>
      <c r="M835" s="10">
        <v>1</v>
      </c>
    </row>
    <row r="836" spans="1:13">
      <c r="A836" s="7">
        <v>43809</v>
      </c>
      <c r="B836" s="8">
        <v>0.47430555555555554</v>
      </c>
      <c r="C836" s="10" t="str">
        <f>"FES1162727527"</f>
        <v>FES1162727527</v>
      </c>
      <c r="D836" s="10" t="s">
        <v>19</v>
      </c>
      <c r="E836" s="10" t="s">
        <v>345</v>
      </c>
      <c r="F836" s="10" t="str">
        <f>"2170712099 "</f>
        <v xml:space="preserve">2170712099 </v>
      </c>
      <c r="G836" s="10" t="str">
        <f t="shared" si="25"/>
        <v>ON1</v>
      </c>
      <c r="H836" s="10" t="s">
        <v>21</v>
      </c>
      <c r="I836" s="10" t="s">
        <v>346</v>
      </c>
      <c r="J836" s="10" t="str">
        <f>""</f>
        <v/>
      </c>
      <c r="K836" s="10" t="str">
        <f>"PFES1162727527_0001"</f>
        <v>PFES1162727527_0001</v>
      </c>
      <c r="L836" s="10">
        <v>1</v>
      </c>
      <c r="M836" s="10">
        <v>1</v>
      </c>
    </row>
    <row r="837" spans="1:13">
      <c r="A837" s="7">
        <v>43809</v>
      </c>
      <c r="B837" s="8">
        <v>0.47430555555555554</v>
      </c>
      <c r="C837" s="10" t="str">
        <f>"FES1162727495"</f>
        <v>FES1162727495</v>
      </c>
      <c r="D837" s="10" t="s">
        <v>19</v>
      </c>
      <c r="E837" s="10" t="s">
        <v>350</v>
      </c>
      <c r="F837" s="10" t="str">
        <f>"2170710980 "</f>
        <v xml:space="preserve">2170710980 </v>
      </c>
      <c r="G837" s="10" t="str">
        <f t="shared" si="25"/>
        <v>ON1</v>
      </c>
      <c r="H837" s="10" t="s">
        <v>21</v>
      </c>
      <c r="I837" s="10" t="s">
        <v>197</v>
      </c>
      <c r="J837" s="10" t="str">
        <f>""</f>
        <v/>
      </c>
      <c r="K837" s="10" t="str">
        <f>"PFES1162727495_0001"</f>
        <v>PFES1162727495_0001</v>
      </c>
      <c r="L837" s="10">
        <v>1</v>
      </c>
      <c r="M837" s="10">
        <v>1</v>
      </c>
    </row>
    <row r="838" spans="1:13">
      <c r="A838" s="7">
        <v>43809</v>
      </c>
      <c r="B838" s="8">
        <v>0.47430555555555554</v>
      </c>
      <c r="C838" s="10" t="str">
        <f>"FES1162727510"</f>
        <v>FES1162727510</v>
      </c>
      <c r="D838" s="10" t="s">
        <v>19</v>
      </c>
      <c r="E838" s="10" t="s">
        <v>583</v>
      </c>
      <c r="F838" s="10" t="str">
        <f>"217071006 "</f>
        <v xml:space="preserve">217071006 </v>
      </c>
      <c r="G838" s="10" t="str">
        <f t="shared" si="25"/>
        <v>ON1</v>
      </c>
      <c r="H838" s="10" t="s">
        <v>21</v>
      </c>
      <c r="I838" s="10" t="s">
        <v>197</v>
      </c>
      <c r="J838" s="10" t="str">
        <f>""</f>
        <v/>
      </c>
      <c r="K838" s="10" t="str">
        <f>"PFES1162727510_0001"</f>
        <v>PFES1162727510_0001</v>
      </c>
      <c r="L838" s="10">
        <v>1</v>
      </c>
      <c r="M838" s="10">
        <v>1</v>
      </c>
    </row>
    <row r="839" spans="1:13">
      <c r="A839" s="7">
        <v>43809</v>
      </c>
      <c r="B839" s="8">
        <v>0.47361111111111115</v>
      </c>
      <c r="C839" s="10" t="str">
        <f>"FES1162727435"</f>
        <v>FES1162727435</v>
      </c>
      <c r="D839" s="10" t="s">
        <v>19</v>
      </c>
      <c r="E839" s="10" t="s">
        <v>73</v>
      </c>
      <c r="F839" s="10" t="str">
        <f>"21707120925 "</f>
        <v xml:space="preserve">21707120925 </v>
      </c>
      <c r="G839" s="10" t="str">
        <f t="shared" si="25"/>
        <v>ON1</v>
      </c>
      <c r="H839" s="10" t="s">
        <v>21</v>
      </c>
      <c r="I839" s="10" t="s">
        <v>74</v>
      </c>
      <c r="J839" s="10" t="str">
        <f>""</f>
        <v/>
      </c>
      <c r="K839" s="10" t="str">
        <f>"PFES1162727435_0001"</f>
        <v>PFES1162727435_0001</v>
      </c>
      <c r="L839" s="10">
        <v>1</v>
      </c>
      <c r="M839" s="10">
        <v>1</v>
      </c>
    </row>
    <row r="840" spans="1:13">
      <c r="A840" s="7">
        <v>43809</v>
      </c>
      <c r="B840" s="8">
        <v>0.47361111111111115</v>
      </c>
      <c r="C840" s="10" t="str">
        <f>"FES1162727558"</f>
        <v>FES1162727558</v>
      </c>
      <c r="D840" s="10" t="s">
        <v>19</v>
      </c>
      <c r="E840" s="10" t="s">
        <v>84</v>
      </c>
      <c r="F840" s="10" t="str">
        <f>"2170712038 "</f>
        <v xml:space="preserve">2170712038 </v>
      </c>
      <c r="G840" s="10" t="str">
        <f t="shared" si="25"/>
        <v>ON1</v>
      </c>
      <c r="H840" s="10" t="s">
        <v>21</v>
      </c>
      <c r="I840" s="10" t="s">
        <v>85</v>
      </c>
      <c r="J840" s="10" t="str">
        <f>""</f>
        <v/>
      </c>
      <c r="K840" s="10" t="str">
        <f>"PFES1162727558_0001"</f>
        <v>PFES1162727558_0001</v>
      </c>
      <c r="L840" s="10">
        <v>1</v>
      </c>
      <c r="M840" s="10">
        <v>1</v>
      </c>
    </row>
    <row r="841" spans="1:13">
      <c r="A841" s="7">
        <v>43809</v>
      </c>
      <c r="B841" s="8">
        <v>0.47361111111111115</v>
      </c>
      <c r="C841" s="10" t="str">
        <f>"FES1162727550"</f>
        <v>FES1162727550</v>
      </c>
      <c r="D841" s="10" t="s">
        <v>19</v>
      </c>
      <c r="E841" s="10" t="s">
        <v>584</v>
      </c>
      <c r="F841" s="10" t="str">
        <f>"2170710986 "</f>
        <v xml:space="preserve">2170710986 </v>
      </c>
      <c r="G841" s="10" t="str">
        <f t="shared" si="25"/>
        <v>ON1</v>
      </c>
      <c r="H841" s="10" t="s">
        <v>21</v>
      </c>
      <c r="I841" s="10" t="s">
        <v>585</v>
      </c>
      <c r="J841" s="10" t="str">
        <f>""</f>
        <v/>
      </c>
      <c r="K841" s="10" t="str">
        <f>"PFES1162727550_0001"</f>
        <v>PFES1162727550_0001</v>
      </c>
      <c r="L841" s="10">
        <v>1</v>
      </c>
      <c r="M841" s="10">
        <v>1</v>
      </c>
    </row>
    <row r="842" spans="1:13">
      <c r="A842" s="7">
        <v>43809</v>
      </c>
      <c r="B842" s="8">
        <v>0.47291666666666665</v>
      </c>
      <c r="C842" s="10" t="str">
        <f>"FES1162727554"</f>
        <v>FES1162727554</v>
      </c>
      <c r="D842" s="10" t="s">
        <v>19</v>
      </c>
      <c r="E842" s="10" t="s">
        <v>586</v>
      </c>
      <c r="F842" s="10" t="str">
        <f>"2170712030 "</f>
        <v xml:space="preserve">2170712030 </v>
      </c>
      <c r="G842" s="10" t="str">
        <f t="shared" si="25"/>
        <v>ON1</v>
      </c>
      <c r="H842" s="10" t="s">
        <v>21</v>
      </c>
      <c r="I842" s="10" t="s">
        <v>136</v>
      </c>
      <c r="J842" s="10" t="str">
        <f>""</f>
        <v/>
      </c>
      <c r="K842" s="10" t="str">
        <f>"PFES1162727554_0001"</f>
        <v>PFES1162727554_0001</v>
      </c>
      <c r="L842" s="10">
        <v>1</v>
      </c>
      <c r="M842" s="10">
        <v>1</v>
      </c>
    </row>
    <row r="843" spans="1:13">
      <c r="A843" s="7">
        <v>43809</v>
      </c>
      <c r="B843" s="8">
        <v>0.47291666666666665</v>
      </c>
      <c r="C843" s="10" t="str">
        <f>"FES1162727486"</f>
        <v>FES1162727486</v>
      </c>
      <c r="D843" s="10" t="s">
        <v>19</v>
      </c>
      <c r="E843" s="10" t="s">
        <v>55</v>
      </c>
      <c r="F843" s="10" t="str">
        <f>"21707120962 "</f>
        <v xml:space="preserve">21707120962 </v>
      </c>
      <c r="G843" s="10" t="str">
        <f t="shared" si="25"/>
        <v>ON1</v>
      </c>
      <c r="H843" s="10" t="s">
        <v>21</v>
      </c>
      <c r="I843" s="10" t="s">
        <v>56</v>
      </c>
      <c r="J843" s="10" t="str">
        <f>""</f>
        <v/>
      </c>
      <c r="K843" s="10" t="str">
        <f>"PFES1162727486_0001"</f>
        <v>PFES1162727486_0001</v>
      </c>
      <c r="L843" s="10">
        <v>1</v>
      </c>
      <c r="M843" s="10">
        <v>1</v>
      </c>
    </row>
    <row r="844" spans="1:13">
      <c r="A844" s="7">
        <v>43809</v>
      </c>
      <c r="B844" s="8">
        <v>0.47222222222222227</v>
      </c>
      <c r="C844" s="10" t="str">
        <f>"FES1162727551"</f>
        <v>FES1162727551</v>
      </c>
      <c r="D844" s="10" t="s">
        <v>19</v>
      </c>
      <c r="E844" s="10" t="s">
        <v>587</v>
      </c>
      <c r="F844" s="10" t="str">
        <f>"2170712026 "</f>
        <v xml:space="preserve">2170712026 </v>
      </c>
      <c r="G844" s="10" t="str">
        <f t="shared" si="25"/>
        <v>ON1</v>
      </c>
      <c r="H844" s="10" t="s">
        <v>21</v>
      </c>
      <c r="I844" s="10" t="s">
        <v>330</v>
      </c>
      <c r="J844" s="10" t="str">
        <f>""</f>
        <v/>
      </c>
      <c r="K844" s="10" t="str">
        <f>"PFES1162727551_0001"</f>
        <v>PFES1162727551_0001</v>
      </c>
      <c r="L844" s="10">
        <v>1</v>
      </c>
      <c r="M844" s="10">
        <v>1</v>
      </c>
    </row>
    <row r="845" spans="1:13">
      <c r="A845" s="7">
        <v>43809</v>
      </c>
      <c r="B845" s="8">
        <v>0.47222222222222227</v>
      </c>
      <c r="C845" s="10" t="str">
        <f>"FES1162727553"</f>
        <v>FES1162727553</v>
      </c>
      <c r="D845" s="10" t="s">
        <v>19</v>
      </c>
      <c r="E845" s="10" t="s">
        <v>331</v>
      </c>
      <c r="F845" s="10" t="str">
        <f>"1162721028 "</f>
        <v xml:space="preserve">1162721028 </v>
      </c>
      <c r="G845" s="10" t="str">
        <f t="shared" si="25"/>
        <v>ON1</v>
      </c>
      <c r="H845" s="10" t="s">
        <v>21</v>
      </c>
      <c r="I845" s="10" t="s">
        <v>332</v>
      </c>
      <c r="J845" s="10" t="str">
        <f>""</f>
        <v/>
      </c>
      <c r="K845" s="10" t="str">
        <f>"PFES1162727553_0001"</f>
        <v>PFES1162727553_0001</v>
      </c>
      <c r="L845" s="10">
        <v>1</v>
      </c>
      <c r="M845" s="10">
        <v>1</v>
      </c>
    </row>
    <row r="846" spans="1:13">
      <c r="A846" s="7">
        <v>43809</v>
      </c>
      <c r="B846" s="8">
        <v>0.47222222222222227</v>
      </c>
      <c r="C846" s="10" t="str">
        <f>"FES1162726615"</f>
        <v>FES1162726615</v>
      </c>
      <c r="D846" s="10" t="s">
        <v>19</v>
      </c>
      <c r="E846" s="10" t="s">
        <v>225</v>
      </c>
      <c r="F846" s="10" t="str">
        <f>"2170712093 "</f>
        <v xml:space="preserve">2170712093 </v>
      </c>
      <c r="G846" s="10" t="str">
        <f t="shared" si="25"/>
        <v>ON1</v>
      </c>
      <c r="H846" s="10" t="s">
        <v>21</v>
      </c>
      <c r="I846" s="10" t="s">
        <v>76</v>
      </c>
      <c r="J846" s="10" t="str">
        <f>""</f>
        <v/>
      </c>
      <c r="K846" s="10" t="str">
        <f>"PFES1162726615_0001"</f>
        <v>PFES1162726615_0001</v>
      </c>
      <c r="L846" s="10">
        <v>1</v>
      </c>
      <c r="M846" s="10">
        <v>1</v>
      </c>
    </row>
    <row r="847" spans="1:13">
      <c r="A847" s="7">
        <v>43809</v>
      </c>
      <c r="B847" s="8">
        <v>0.47152777777777777</v>
      </c>
      <c r="C847" s="10" t="str">
        <f>"FES1162727565"</f>
        <v>FES1162727565</v>
      </c>
      <c r="D847" s="10" t="s">
        <v>19</v>
      </c>
      <c r="E847" s="10" t="s">
        <v>373</v>
      </c>
      <c r="F847" s="10" t="str">
        <f>"217071045 "</f>
        <v xml:space="preserve">217071045 </v>
      </c>
      <c r="G847" s="10" t="str">
        <f t="shared" si="25"/>
        <v>ON1</v>
      </c>
      <c r="H847" s="10" t="s">
        <v>21</v>
      </c>
      <c r="I847" s="10" t="s">
        <v>374</v>
      </c>
      <c r="J847" s="10" t="str">
        <f>""</f>
        <v/>
      </c>
      <c r="K847" s="10" t="str">
        <f>"PFES1162727565_0001"</f>
        <v>PFES1162727565_0001</v>
      </c>
      <c r="L847" s="10">
        <v>1</v>
      </c>
      <c r="M847" s="10">
        <v>1</v>
      </c>
    </row>
    <row r="848" spans="1:13">
      <c r="A848" s="7">
        <v>43809</v>
      </c>
      <c r="B848" s="8">
        <v>0.47152777777777777</v>
      </c>
      <c r="C848" s="10" t="str">
        <f>"FES1162727524"</f>
        <v>FES1162727524</v>
      </c>
      <c r="D848" s="10" t="s">
        <v>19</v>
      </c>
      <c r="E848" s="10" t="s">
        <v>572</v>
      </c>
      <c r="F848" s="10" t="str">
        <f>"2170710992 "</f>
        <v xml:space="preserve">2170710992 </v>
      </c>
      <c r="G848" s="10" t="str">
        <f t="shared" si="25"/>
        <v>ON1</v>
      </c>
      <c r="H848" s="10" t="s">
        <v>21</v>
      </c>
      <c r="I848" s="10" t="s">
        <v>573</v>
      </c>
      <c r="J848" s="10" t="str">
        <f>""</f>
        <v/>
      </c>
      <c r="K848" s="10" t="str">
        <f>"PFES1162727524_0001"</f>
        <v>PFES1162727524_0001</v>
      </c>
      <c r="L848" s="10">
        <v>1</v>
      </c>
      <c r="M848" s="10">
        <v>3</v>
      </c>
    </row>
    <row r="849" spans="1:13">
      <c r="A849" s="7">
        <v>43809</v>
      </c>
      <c r="B849" s="8">
        <v>0.47083333333333338</v>
      </c>
      <c r="C849" s="10" t="str">
        <f>"FES1162727497"</f>
        <v>FES1162727497</v>
      </c>
      <c r="D849" s="10" t="s">
        <v>19</v>
      </c>
      <c r="E849" s="10" t="s">
        <v>103</v>
      </c>
      <c r="F849" s="10" t="str">
        <f>"2170710983 "</f>
        <v xml:space="preserve">2170710983 </v>
      </c>
      <c r="G849" s="10" t="str">
        <f t="shared" si="25"/>
        <v>ON1</v>
      </c>
      <c r="H849" s="10" t="s">
        <v>21</v>
      </c>
      <c r="I849" s="10" t="s">
        <v>104</v>
      </c>
      <c r="J849" s="10" t="str">
        <f>""</f>
        <v/>
      </c>
      <c r="K849" s="10" t="str">
        <f>"PFES1162727497_0001"</f>
        <v>PFES1162727497_0001</v>
      </c>
      <c r="L849" s="10">
        <v>1</v>
      </c>
      <c r="M849" s="10">
        <v>2</v>
      </c>
    </row>
    <row r="850" spans="1:13">
      <c r="A850" s="7">
        <v>43809</v>
      </c>
      <c r="B850" s="8">
        <v>0.47013888888888888</v>
      </c>
      <c r="C850" s="10" t="str">
        <f>"FES1162727506"</f>
        <v>FES1162727506</v>
      </c>
      <c r="D850" s="10" t="s">
        <v>19</v>
      </c>
      <c r="E850" s="10" t="s">
        <v>176</v>
      </c>
      <c r="F850" s="10" t="str">
        <f>"217071742 "</f>
        <v xml:space="preserve">217071742 </v>
      </c>
      <c r="G850" s="10" t="str">
        <f t="shared" si="25"/>
        <v>ON1</v>
      </c>
      <c r="H850" s="10" t="s">
        <v>21</v>
      </c>
      <c r="I850" s="10" t="s">
        <v>76</v>
      </c>
      <c r="J850" s="10" t="str">
        <f>""</f>
        <v/>
      </c>
      <c r="K850" s="10" t="str">
        <f>"PFES1162727506_0001"</f>
        <v>PFES1162727506_0001</v>
      </c>
      <c r="L850" s="10">
        <v>1</v>
      </c>
      <c r="M850" s="10">
        <v>9</v>
      </c>
    </row>
    <row r="851" spans="1:13">
      <c r="A851" s="7">
        <v>43809</v>
      </c>
      <c r="B851" s="8">
        <v>0.47013888888888888</v>
      </c>
      <c r="C851" s="10" t="str">
        <f>"FES1162727450"</f>
        <v>FES1162727450</v>
      </c>
      <c r="D851" s="10" t="s">
        <v>19</v>
      </c>
      <c r="E851" s="10" t="s">
        <v>24</v>
      </c>
      <c r="F851" s="10" t="str">
        <f>"21707120675 "</f>
        <v xml:space="preserve">21707120675 </v>
      </c>
      <c r="G851" s="10" t="str">
        <f t="shared" si="25"/>
        <v>ON1</v>
      </c>
      <c r="H851" s="10" t="s">
        <v>21</v>
      </c>
      <c r="I851" s="10" t="s">
        <v>25</v>
      </c>
      <c r="J851" s="10" t="str">
        <f>""</f>
        <v/>
      </c>
      <c r="K851" s="10" t="str">
        <f>"PFES1162727450_0001"</f>
        <v>PFES1162727450_0001</v>
      </c>
      <c r="L851" s="10">
        <v>1</v>
      </c>
      <c r="M851" s="10">
        <v>3</v>
      </c>
    </row>
    <row r="852" spans="1:13">
      <c r="A852" s="7">
        <v>43809</v>
      </c>
      <c r="B852" s="8">
        <v>0.4694444444444445</v>
      </c>
      <c r="C852" s="10" t="str">
        <f>"FES1162727481"</f>
        <v>FES1162727481</v>
      </c>
      <c r="D852" s="10" t="s">
        <v>19</v>
      </c>
      <c r="E852" s="10" t="s">
        <v>588</v>
      </c>
      <c r="F852" s="10" t="str">
        <f>"21707120960 "</f>
        <v xml:space="preserve">21707120960 </v>
      </c>
      <c r="G852" s="10" t="str">
        <f t="shared" si="25"/>
        <v>ON1</v>
      </c>
      <c r="H852" s="10" t="s">
        <v>21</v>
      </c>
      <c r="I852" s="10" t="s">
        <v>589</v>
      </c>
      <c r="J852" s="10" t="str">
        <f>""</f>
        <v/>
      </c>
      <c r="K852" s="10" t="str">
        <f>"PFES1162727481_0001"</f>
        <v>PFES1162727481_0001</v>
      </c>
      <c r="L852" s="10">
        <v>1</v>
      </c>
      <c r="M852" s="10">
        <v>5</v>
      </c>
    </row>
    <row r="853" spans="1:13">
      <c r="A853" s="7">
        <v>43809</v>
      </c>
      <c r="B853" s="8">
        <v>0.46875</v>
      </c>
      <c r="C853" s="10" t="str">
        <f>"FES1162727504"</f>
        <v>FES1162727504</v>
      </c>
      <c r="D853" s="10" t="s">
        <v>19</v>
      </c>
      <c r="E853" s="10" t="s">
        <v>24</v>
      </c>
      <c r="F853" s="10" t="str">
        <f>"2170718365 "</f>
        <v xml:space="preserve">2170718365 </v>
      </c>
      <c r="G853" s="10" t="str">
        <f t="shared" si="25"/>
        <v>ON1</v>
      </c>
      <c r="H853" s="10" t="s">
        <v>21</v>
      </c>
      <c r="I853" s="10" t="s">
        <v>25</v>
      </c>
      <c r="J853" s="10" t="str">
        <f>""</f>
        <v/>
      </c>
      <c r="K853" s="10" t="str">
        <f>"PFES1162727504_0001"</f>
        <v>PFES1162727504_0001</v>
      </c>
      <c r="L853" s="10">
        <v>1</v>
      </c>
      <c r="M853" s="10">
        <v>1</v>
      </c>
    </row>
    <row r="854" spans="1:13">
      <c r="A854" s="7">
        <v>43809</v>
      </c>
      <c r="B854" s="8">
        <v>0.46875</v>
      </c>
      <c r="C854" s="10" t="str">
        <f>"FES1162727537"</f>
        <v>FES1162727537</v>
      </c>
      <c r="D854" s="10" t="s">
        <v>19</v>
      </c>
      <c r="E854" s="10" t="s">
        <v>590</v>
      </c>
      <c r="F854" s="10" t="str">
        <f>"2170721008 "</f>
        <v xml:space="preserve">2170721008 </v>
      </c>
      <c r="G854" s="10" t="str">
        <f t="shared" si="25"/>
        <v>ON1</v>
      </c>
      <c r="H854" s="10" t="s">
        <v>21</v>
      </c>
      <c r="I854" s="10" t="s">
        <v>80</v>
      </c>
      <c r="J854" s="10" t="str">
        <f>""</f>
        <v/>
      </c>
      <c r="K854" s="10" t="str">
        <f>"PFES1162727537_0001"</f>
        <v>PFES1162727537_0001</v>
      </c>
      <c r="L854" s="10">
        <v>1</v>
      </c>
      <c r="M854" s="10">
        <v>20</v>
      </c>
    </row>
    <row r="855" spans="1:13">
      <c r="A855" s="7">
        <v>43809</v>
      </c>
      <c r="B855" s="8">
        <v>0.44236111111111115</v>
      </c>
      <c r="C855" s="10" t="str">
        <f>"FES1162727520"</f>
        <v>FES1162727520</v>
      </c>
      <c r="D855" s="10" t="s">
        <v>19</v>
      </c>
      <c r="E855" s="10" t="s">
        <v>279</v>
      </c>
      <c r="F855" s="10" t="str">
        <f>"21707209+22 "</f>
        <v xml:space="preserve">21707209+22 </v>
      </c>
      <c r="G855" s="10" t="str">
        <f t="shared" si="25"/>
        <v>ON1</v>
      </c>
      <c r="H855" s="10" t="s">
        <v>21</v>
      </c>
      <c r="I855" s="10" t="s">
        <v>70</v>
      </c>
      <c r="J855" s="10" t="str">
        <f>""</f>
        <v/>
      </c>
      <c r="K855" s="10" t="str">
        <f>"PFES1162727520_0001"</f>
        <v>PFES1162727520_0001</v>
      </c>
      <c r="L855" s="10">
        <v>1</v>
      </c>
      <c r="M855" s="10">
        <v>1</v>
      </c>
    </row>
    <row r="856" spans="1:13">
      <c r="A856" s="7">
        <v>43809</v>
      </c>
      <c r="B856" s="8">
        <v>0.44166666666666665</v>
      </c>
      <c r="C856" s="10" t="str">
        <f>"FES1162727499"</f>
        <v>FES1162727499</v>
      </c>
      <c r="D856" s="10" t="s">
        <v>19</v>
      </c>
      <c r="E856" s="10" t="s">
        <v>215</v>
      </c>
      <c r="F856" s="10" t="str">
        <f>"2170719809 "</f>
        <v xml:space="preserve">2170719809 </v>
      </c>
      <c r="G856" s="10" t="str">
        <f t="shared" si="25"/>
        <v>ON1</v>
      </c>
      <c r="H856" s="10" t="s">
        <v>21</v>
      </c>
      <c r="I856" s="10" t="s">
        <v>216</v>
      </c>
      <c r="J856" s="10" t="str">
        <f>""</f>
        <v/>
      </c>
      <c r="K856" s="10" t="str">
        <f>"PFES1162727499_0001"</f>
        <v>PFES1162727499_0001</v>
      </c>
      <c r="L856" s="10">
        <v>1</v>
      </c>
      <c r="M856" s="10">
        <v>1</v>
      </c>
    </row>
    <row r="857" spans="1:13">
      <c r="A857" s="7">
        <v>43809</v>
      </c>
      <c r="B857" s="8">
        <v>0.44166666666666665</v>
      </c>
      <c r="C857" s="10" t="str">
        <f>"FES1162727491"</f>
        <v>FES1162727491</v>
      </c>
      <c r="D857" s="10" t="s">
        <v>19</v>
      </c>
      <c r="E857" s="10" t="s">
        <v>71</v>
      </c>
      <c r="F857" s="10" t="str">
        <f>"2170719271 "</f>
        <v xml:space="preserve">2170719271 </v>
      </c>
      <c r="G857" s="10" t="str">
        <f t="shared" si="25"/>
        <v>ON1</v>
      </c>
      <c r="H857" s="10" t="s">
        <v>21</v>
      </c>
      <c r="I857" s="10" t="s">
        <v>72</v>
      </c>
      <c r="J857" s="10" t="str">
        <f>""</f>
        <v/>
      </c>
      <c r="K857" s="10" t="str">
        <f>"PFES1162727491_0001"</f>
        <v>PFES1162727491_0001</v>
      </c>
      <c r="L857" s="10">
        <v>1</v>
      </c>
      <c r="M857" s="10">
        <v>1</v>
      </c>
    </row>
    <row r="858" spans="1:13">
      <c r="A858" s="7">
        <v>43809</v>
      </c>
      <c r="B858" s="8">
        <v>0.44166666666666665</v>
      </c>
      <c r="C858" s="10" t="str">
        <f>"FES1162727525"</f>
        <v>FES1162727525</v>
      </c>
      <c r="D858" s="10" t="s">
        <v>19</v>
      </c>
      <c r="E858" s="10" t="s">
        <v>71</v>
      </c>
      <c r="F858" s="10" t="str">
        <f>"21707120993 "</f>
        <v xml:space="preserve">21707120993 </v>
      </c>
      <c r="G858" s="10" t="str">
        <f t="shared" si="25"/>
        <v>ON1</v>
      </c>
      <c r="H858" s="10" t="s">
        <v>21</v>
      </c>
      <c r="I858" s="10" t="s">
        <v>72</v>
      </c>
      <c r="J858" s="10" t="str">
        <f>""</f>
        <v/>
      </c>
      <c r="K858" s="10" t="str">
        <f>"PFES1162727525_0001"</f>
        <v>PFES1162727525_0001</v>
      </c>
      <c r="L858" s="10">
        <v>1</v>
      </c>
      <c r="M858" s="10">
        <v>1</v>
      </c>
    </row>
    <row r="859" spans="1:13">
      <c r="A859" s="7">
        <v>43809</v>
      </c>
      <c r="B859" s="8">
        <v>0.44097222222222227</v>
      </c>
      <c r="C859" s="10" t="str">
        <f>"FES1162727522"</f>
        <v>FES1162727522</v>
      </c>
      <c r="D859" s="10" t="s">
        <v>19</v>
      </c>
      <c r="E859" s="10" t="s">
        <v>71</v>
      </c>
      <c r="F859" s="10" t="str">
        <f>"21707120989 "</f>
        <v xml:space="preserve">21707120989 </v>
      </c>
      <c r="G859" s="10" t="str">
        <f t="shared" si="25"/>
        <v>ON1</v>
      </c>
      <c r="H859" s="10" t="s">
        <v>21</v>
      </c>
      <c r="I859" s="10" t="s">
        <v>72</v>
      </c>
      <c r="J859" s="10" t="str">
        <f>""</f>
        <v/>
      </c>
      <c r="K859" s="10" t="str">
        <f>"PFES1162727522_0001"</f>
        <v>PFES1162727522_0001</v>
      </c>
      <c r="L859" s="10">
        <v>1</v>
      </c>
      <c r="M859" s="10">
        <v>1</v>
      </c>
    </row>
    <row r="860" spans="1:13">
      <c r="A860" s="7">
        <v>43809</v>
      </c>
      <c r="B860" s="8">
        <v>0.44097222222222227</v>
      </c>
      <c r="C860" s="10" t="str">
        <f>"FES1162727500"</f>
        <v>FES1162727500</v>
      </c>
      <c r="D860" s="10" t="s">
        <v>19</v>
      </c>
      <c r="E860" s="10" t="s">
        <v>215</v>
      </c>
      <c r="F860" s="10" t="str">
        <f>"2170719817 "</f>
        <v xml:space="preserve">2170719817 </v>
      </c>
      <c r="G860" s="10" t="str">
        <f t="shared" si="25"/>
        <v>ON1</v>
      </c>
      <c r="H860" s="10" t="s">
        <v>21</v>
      </c>
      <c r="I860" s="10" t="s">
        <v>216</v>
      </c>
      <c r="J860" s="10" t="str">
        <f>""</f>
        <v/>
      </c>
      <c r="K860" s="10" t="str">
        <f>"PFES1162727500_0001"</f>
        <v>PFES1162727500_0001</v>
      </c>
      <c r="L860" s="10">
        <v>1</v>
      </c>
      <c r="M860" s="10">
        <v>1</v>
      </c>
    </row>
    <row r="861" spans="1:13">
      <c r="A861" s="7">
        <v>43809</v>
      </c>
      <c r="B861" s="8">
        <v>0.44027777777777777</v>
      </c>
      <c r="C861" s="10" t="str">
        <f>"FES1162727468"</f>
        <v>FES1162727468</v>
      </c>
      <c r="D861" s="10" t="s">
        <v>19</v>
      </c>
      <c r="E861" s="10" t="s">
        <v>71</v>
      </c>
      <c r="F861" s="10" t="str">
        <f>"2170710952 "</f>
        <v xml:space="preserve">2170710952 </v>
      </c>
      <c r="G861" s="10" t="str">
        <f t="shared" si="25"/>
        <v>ON1</v>
      </c>
      <c r="H861" s="10" t="s">
        <v>21</v>
      </c>
      <c r="I861" s="10" t="s">
        <v>72</v>
      </c>
      <c r="J861" s="10" t="str">
        <f>""</f>
        <v/>
      </c>
      <c r="K861" s="10" t="str">
        <f>"PFES1162727468_0001"</f>
        <v>PFES1162727468_0001</v>
      </c>
      <c r="L861" s="10">
        <v>1</v>
      </c>
      <c r="M861" s="10">
        <v>1</v>
      </c>
    </row>
    <row r="862" spans="1:13">
      <c r="A862" s="7">
        <v>43809</v>
      </c>
      <c r="B862" s="8">
        <v>0.43958333333333338</v>
      </c>
      <c r="C862" s="10" t="str">
        <f>"FES1162727473"</f>
        <v>FES1162727473</v>
      </c>
      <c r="D862" s="10" t="s">
        <v>19</v>
      </c>
      <c r="E862" s="10" t="s">
        <v>215</v>
      </c>
      <c r="F862" s="10" t="str">
        <f>"2170719180 "</f>
        <v xml:space="preserve">2170719180 </v>
      </c>
      <c r="G862" s="10" t="str">
        <f t="shared" si="25"/>
        <v>ON1</v>
      </c>
      <c r="H862" s="10" t="s">
        <v>21</v>
      </c>
      <c r="I862" s="10" t="s">
        <v>216</v>
      </c>
      <c r="J862" s="10" t="str">
        <f>""</f>
        <v/>
      </c>
      <c r="K862" s="10" t="str">
        <f>"PFES1162727473_0001"</f>
        <v>PFES1162727473_0001</v>
      </c>
      <c r="L862" s="10">
        <v>1</v>
      </c>
      <c r="M862" s="10">
        <v>1</v>
      </c>
    </row>
    <row r="863" spans="1:13">
      <c r="A863" s="7">
        <v>43809</v>
      </c>
      <c r="B863" s="8">
        <v>0.43958333333333338</v>
      </c>
      <c r="C863" s="10" t="str">
        <f>"FES1162727474"</f>
        <v>FES1162727474</v>
      </c>
      <c r="D863" s="10" t="s">
        <v>19</v>
      </c>
      <c r="E863" s="10" t="s">
        <v>215</v>
      </c>
      <c r="F863" s="10" t="str">
        <f>"2170871952 "</f>
        <v xml:space="preserve">2170871952 </v>
      </c>
      <c r="G863" s="10" t="str">
        <f t="shared" si="25"/>
        <v>ON1</v>
      </c>
      <c r="H863" s="10" t="s">
        <v>21</v>
      </c>
      <c r="I863" s="10" t="s">
        <v>216</v>
      </c>
      <c r="J863" s="10" t="str">
        <f>""</f>
        <v/>
      </c>
      <c r="K863" s="10" t="str">
        <f>"PFES1162727474_0001"</f>
        <v>PFES1162727474_0001</v>
      </c>
      <c r="L863" s="10">
        <v>1</v>
      </c>
      <c r="M863" s="10">
        <v>1</v>
      </c>
    </row>
    <row r="864" spans="1:13">
      <c r="A864" s="7">
        <v>43809</v>
      </c>
      <c r="B864" s="8">
        <v>0.43888888888888888</v>
      </c>
      <c r="C864" s="10" t="str">
        <f>"FES1162727536"</f>
        <v>FES1162727536</v>
      </c>
      <c r="D864" s="10" t="s">
        <v>19</v>
      </c>
      <c r="E864" s="10" t="s">
        <v>124</v>
      </c>
      <c r="F864" s="10" t="str">
        <f>"21707120100 "</f>
        <v xml:space="preserve">21707120100 </v>
      </c>
      <c r="G864" s="10" t="str">
        <f t="shared" si="25"/>
        <v>ON1</v>
      </c>
      <c r="H864" s="10" t="s">
        <v>21</v>
      </c>
      <c r="I864" s="10" t="s">
        <v>125</v>
      </c>
      <c r="J864" s="10" t="str">
        <f>""</f>
        <v/>
      </c>
      <c r="K864" s="10" t="str">
        <f>"PFES1162727536_0001"</f>
        <v>PFES1162727536_0001</v>
      </c>
      <c r="L864" s="10">
        <v>1</v>
      </c>
      <c r="M864" s="10">
        <v>1</v>
      </c>
    </row>
    <row r="865" spans="1:13">
      <c r="A865" s="7">
        <v>43809</v>
      </c>
      <c r="B865" s="8">
        <v>0.43888888888888888</v>
      </c>
      <c r="C865" s="10" t="str">
        <f>"FES1162727513"</f>
        <v>FES1162727513</v>
      </c>
      <c r="D865" s="10" t="s">
        <v>19</v>
      </c>
      <c r="E865" s="10" t="s">
        <v>105</v>
      </c>
      <c r="F865" s="10" t="str">
        <f>"2170710374 "</f>
        <v xml:space="preserve">2170710374 </v>
      </c>
      <c r="G865" s="10" t="str">
        <f t="shared" si="25"/>
        <v>ON1</v>
      </c>
      <c r="H865" s="10" t="s">
        <v>21</v>
      </c>
      <c r="I865" s="10" t="s">
        <v>106</v>
      </c>
      <c r="J865" s="10" t="str">
        <f>""</f>
        <v/>
      </c>
      <c r="K865" s="10" t="str">
        <f>"PFES1162727513_0001"</f>
        <v>PFES1162727513_0001</v>
      </c>
      <c r="L865" s="10">
        <v>1</v>
      </c>
      <c r="M865" s="10">
        <v>1</v>
      </c>
    </row>
    <row r="866" spans="1:13">
      <c r="A866" s="7">
        <v>43809</v>
      </c>
      <c r="B866" s="8">
        <v>0.43888888888888888</v>
      </c>
      <c r="C866" s="10" t="str">
        <f>"FES1162727518"</f>
        <v>FES1162727518</v>
      </c>
      <c r="D866" s="10" t="s">
        <v>19</v>
      </c>
      <c r="E866" s="10" t="s">
        <v>77</v>
      </c>
      <c r="F866" s="10" t="str">
        <f>"21707140847 "</f>
        <v xml:space="preserve">21707140847 </v>
      </c>
      <c r="G866" s="10" t="str">
        <f t="shared" si="25"/>
        <v>ON1</v>
      </c>
      <c r="H866" s="10" t="s">
        <v>21</v>
      </c>
      <c r="I866" s="10" t="s">
        <v>78</v>
      </c>
      <c r="J866" s="10" t="str">
        <f>""</f>
        <v/>
      </c>
      <c r="K866" s="10" t="str">
        <f>"PFES1162727518_0001"</f>
        <v>PFES1162727518_0001</v>
      </c>
      <c r="L866" s="10">
        <v>1</v>
      </c>
      <c r="M866" s="10">
        <v>1</v>
      </c>
    </row>
    <row r="867" spans="1:13">
      <c r="A867" s="7">
        <v>43809</v>
      </c>
      <c r="B867" s="8">
        <v>0.4381944444444445</v>
      </c>
      <c r="C867" s="10" t="str">
        <f>"FES1162727516"</f>
        <v>FES1162727516</v>
      </c>
      <c r="D867" s="10" t="s">
        <v>19</v>
      </c>
      <c r="E867" s="10" t="s">
        <v>591</v>
      </c>
      <c r="F867" s="10" t="str">
        <f>"2170710647 "</f>
        <v xml:space="preserve">2170710647 </v>
      </c>
      <c r="G867" s="10" t="str">
        <f t="shared" si="25"/>
        <v>ON1</v>
      </c>
      <c r="H867" s="10" t="s">
        <v>21</v>
      </c>
      <c r="I867" s="10" t="s">
        <v>592</v>
      </c>
      <c r="J867" s="10" t="str">
        <f>""</f>
        <v/>
      </c>
      <c r="K867" s="10" t="str">
        <f>"PFES1162727516_0001"</f>
        <v>PFES1162727516_0001</v>
      </c>
      <c r="L867" s="10">
        <v>1</v>
      </c>
      <c r="M867" s="10">
        <v>1</v>
      </c>
    </row>
    <row r="868" spans="1:13">
      <c r="A868" s="7">
        <v>43809</v>
      </c>
      <c r="B868" s="8">
        <v>0.4381944444444445</v>
      </c>
      <c r="C868" s="10" t="str">
        <f>"FES1162727505"</f>
        <v>FES1162727505</v>
      </c>
      <c r="D868" s="10" t="s">
        <v>19</v>
      </c>
      <c r="E868" s="10" t="s">
        <v>259</v>
      </c>
      <c r="F868" s="10" t="str">
        <f>"2170710507 "</f>
        <v xml:space="preserve">2170710507 </v>
      </c>
      <c r="G868" s="10" t="str">
        <f t="shared" si="25"/>
        <v>ON1</v>
      </c>
      <c r="H868" s="10" t="s">
        <v>21</v>
      </c>
      <c r="I868" s="10" t="s">
        <v>45</v>
      </c>
      <c r="J868" s="10" t="str">
        <f>""</f>
        <v/>
      </c>
      <c r="K868" s="10" t="str">
        <f>"PFES1162727505_0001"</f>
        <v>PFES1162727505_0001</v>
      </c>
      <c r="L868" s="10">
        <v>1</v>
      </c>
      <c r="M868" s="10">
        <v>1</v>
      </c>
    </row>
    <row r="869" spans="1:13">
      <c r="A869" s="7">
        <v>43809</v>
      </c>
      <c r="B869" s="8">
        <v>0.4381944444444445</v>
      </c>
      <c r="C869" s="10" t="str">
        <f>"FES1162727532"</f>
        <v>FES1162727532</v>
      </c>
      <c r="D869" s="10" t="s">
        <v>19</v>
      </c>
      <c r="E869" s="10" t="s">
        <v>124</v>
      </c>
      <c r="F869" s="10" t="str">
        <f>"2170721003 "</f>
        <v xml:space="preserve">2170721003 </v>
      </c>
      <c r="G869" s="10" t="str">
        <f t="shared" si="25"/>
        <v>ON1</v>
      </c>
      <c r="H869" s="10" t="s">
        <v>21</v>
      </c>
      <c r="I869" s="10" t="s">
        <v>125</v>
      </c>
      <c r="J869" s="10" t="str">
        <f>""</f>
        <v/>
      </c>
      <c r="K869" s="10" t="str">
        <f>"PFES1162727532_0001"</f>
        <v>PFES1162727532_0001</v>
      </c>
      <c r="L869" s="10">
        <v>1</v>
      </c>
      <c r="M869" s="10">
        <v>1</v>
      </c>
    </row>
    <row r="870" spans="1:13">
      <c r="A870" s="7">
        <v>43809</v>
      </c>
      <c r="B870" s="8">
        <v>0.4375</v>
      </c>
      <c r="C870" s="10" t="str">
        <f>"FES1162727511"</f>
        <v>FES1162727511</v>
      </c>
      <c r="D870" s="10" t="s">
        <v>19</v>
      </c>
      <c r="E870" s="10" t="s">
        <v>139</v>
      </c>
      <c r="F870" s="10" t="str">
        <f>"2170712040 "</f>
        <v xml:space="preserve">2170712040 </v>
      </c>
      <c r="G870" s="10" t="str">
        <f t="shared" si="25"/>
        <v>ON1</v>
      </c>
      <c r="H870" s="10" t="s">
        <v>21</v>
      </c>
      <c r="I870" s="10" t="s">
        <v>123</v>
      </c>
      <c r="J870" s="10" t="str">
        <f>""</f>
        <v/>
      </c>
      <c r="K870" s="10" t="str">
        <f>"PFES1162727511_0001"</f>
        <v>PFES1162727511_0001</v>
      </c>
      <c r="L870" s="10">
        <v>1</v>
      </c>
      <c r="M870" s="10">
        <v>1</v>
      </c>
    </row>
    <row r="871" spans="1:13">
      <c r="A871" s="7">
        <v>43809</v>
      </c>
      <c r="B871" s="8">
        <v>0.4375</v>
      </c>
      <c r="C871" s="10" t="str">
        <f>"FES1162727494"</f>
        <v>FES1162727494</v>
      </c>
      <c r="D871" s="10" t="s">
        <v>19</v>
      </c>
      <c r="E871" s="10" t="s">
        <v>519</v>
      </c>
      <c r="F871" s="10" t="str">
        <f>"21707097 "</f>
        <v xml:space="preserve">21707097 </v>
      </c>
      <c r="G871" s="10" t="str">
        <f t="shared" si="25"/>
        <v>ON1</v>
      </c>
      <c r="H871" s="10" t="s">
        <v>21</v>
      </c>
      <c r="I871" s="10" t="s">
        <v>119</v>
      </c>
      <c r="J871" s="10" t="str">
        <f>""</f>
        <v/>
      </c>
      <c r="K871" s="10" t="str">
        <f>"PFES1162727494_0001"</f>
        <v>PFES1162727494_0001</v>
      </c>
      <c r="L871" s="10">
        <v>1</v>
      </c>
      <c r="M871" s="10">
        <v>1</v>
      </c>
    </row>
    <row r="872" spans="1:13">
      <c r="A872" s="7">
        <v>43809</v>
      </c>
      <c r="B872" s="8">
        <v>0.43541666666666662</v>
      </c>
      <c r="C872" s="10" t="str">
        <f>"FES1162727484"</f>
        <v>FES1162727484</v>
      </c>
      <c r="D872" s="10" t="s">
        <v>19</v>
      </c>
      <c r="E872" s="10" t="s">
        <v>310</v>
      </c>
      <c r="F872" s="10" t="str">
        <f>"2170740284 "</f>
        <v xml:space="preserve">2170740284 </v>
      </c>
      <c r="G872" s="10" t="str">
        <f t="shared" si="25"/>
        <v>ON1</v>
      </c>
      <c r="H872" s="10" t="s">
        <v>21</v>
      </c>
      <c r="I872" s="10" t="s">
        <v>294</v>
      </c>
      <c r="J872" s="10" t="str">
        <f>"GREASE"</f>
        <v>GREASE</v>
      </c>
      <c r="K872" s="10" t="str">
        <f>"PFES1162727484_0001"</f>
        <v>PFES1162727484_0001</v>
      </c>
      <c r="L872" s="10">
        <v>1</v>
      </c>
      <c r="M872" s="10">
        <v>3</v>
      </c>
    </row>
    <row r="873" spans="1:13">
      <c r="A873" s="7">
        <v>43809</v>
      </c>
      <c r="B873" s="8">
        <v>0.43472222222222223</v>
      </c>
      <c r="C873" s="10" t="str">
        <f>"FES1162725944"</f>
        <v>FES1162725944</v>
      </c>
      <c r="D873" s="10" t="s">
        <v>19</v>
      </c>
      <c r="E873" s="10" t="s">
        <v>82</v>
      </c>
      <c r="F873" s="10" t="str">
        <f>"2170711254 "</f>
        <v xml:space="preserve">2170711254 </v>
      </c>
      <c r="G873" s="10" t="str">
        <f t="shared" si="25"/>
        <v>ON1</v>
      </c>
      <c r="H873" s="10" t="s">
        <v>21</v>
      </c>
      <c r="I873" s="10" t="s">
        <v>72</v>
      </c>
      <c r="J873" s="10" t="str">
        <f>""</f>
        <v/>
      </c>
      <c r="K873" s="10" t="str">
        <f>"PFES1162725944_0001"</f>
        <v>PFES1162725944_0001</v>
      </c>
      <c r="L873" s="10">
        <v>1</v>
      </c>
      <c r="M873" s="10">
        <v>5</v>
      </c>
    </row>
    <row r="874" spans="1:13">
      <c r="A874" s="7">
        <v>43809</v>
      </c>
      <c r="B874" s="8">
        <v>0.43472222222222223</v>
      </c>
      <c r="C874" s="10" t="str">
        <f>"FES1162727514"</f>
        <v>FES1162727514</v>
      </c>
      <c r="D874" s="10" t="s">
        <v>19</v>
      </c>
      <c r="E874" s="10" t="s">
        <v>198</v>
      </c>
      <c r="F874" s="10" t="str">
        <f>"2170710521 "</f>
        <v xml:space="preserve">2170710521 </v>
      </c>
      <c r="G874" s="10" t="str">
        <f t="shared" si="25"/>
        <v>ON1</v>
      </c>
      <c r="H874" s="10" t="s">
        <v>21</v>
      </c>
      <c r="I874" s="10" t="s">
        <v>288</v>
      </c>
      <c r="J874" s="10" t="str">
        <f>""</f>
        <v/>
      </c>
      <c r="K874" s="10" t="str">
        <f>"PFES1162727514_0001"</f>
        <v>PFES1162727514_0001</v>
      </c>
      <c r="L874" s="10">
        <v>1</v>
      </c>
      <c r="M874" s="10">
        <v>7</v>
      </c>
    </row>
    <row r="875" spans="1:13">
      <c r="A875" s="7">
        <v>43809</v>
      </c>
      <c r="B875" s="8">
        <v>0.43333333333333335</v>
      </c>
      <c r="C875" s="10" t="str">
        <f>"FES1162727529"</f>
        <v>FES1162727529</v>
      </c>
      <c r="D875" s="10" t="s">
        <v>19</v>
      </c>
      <c r="E875" s="10" t="s">
        <v>124</v>
      </c>
      <c r="F875" s="10" t="str">
        <f>"2170712001 "</f>
        <v xml:space="preserve">2170712001 </v>
      </c>
      <c r="G875" s="10" t="str">
        <f t="shared" si="25"/>
        <v>ON1</v>
      </c>
      <c r="H875" s="10" t="s">
        <v>21</v>
      </c>
      <c r="I875" s="10" t="s">
        <v>125</v>
      </c>
      <c r="J875" s="10" t="str">
        <f>""</f>
        <v/>
      </c>
      <c r="K875" s="10" t="str">
        <f>"PFES1162727529_0001"</f>
        <v>PFES1162727529_0001</v>
      </c>
      <c r="L875" s="10">
        <v>1</v>
      </c>
      <c r="M875" s="10">
        <v>8</v>
      </c>
    </row>
    <row r="876" spans="1:13">
      <c r="A876" s="7">
        <v>43809</v>
      </c>
      <c r="B876" s="8">
        <v>0.4291666666666667</v>
      </c>
      <c r="C876" s="10" t="str">
        <f>"FES1162727521"</f>
        <v>FES1162727521</v>
      </c>
      <c r="D876" s="10" t="s">
        <v>19</v>
      </c>
      <c r="E876" s="10" t="s">
        <v>84</v>
      </c>
      <c r="F876" s="10" t="str">
        <f>"2170710956 "</f>
        <v xml:space="preserve">2170710956 </v>
      </c>
      <c r="G876" s="10" t="str">
        <f t="shared" si="25"/>
        <v>ON1</v>
      </c>
      <c r="H876" s="10" t="s">
        <v>21</v>
      </c>
      <c r="I876" s="10" t="s">
        <v>85</v>
      </c>
      <c r="J876" s="10" t="str">
        <f>""</f>
        <v/>
      </c>
      <c r="K876" s="10" t="str">
        <f>"PFES1162727521_0001"</f>
        <v>PFES1162727521_0001</v>
      </c>
      <c r="L876" s="10">
        <v>1</v>
      </c>
      <c r="M876" s="10">
        <v>1</v>
      </c>
    </row>
    <row r="877" spans="1:13">
      <c r="A877" s="7">
        <v>43809</v>
      </c>
      <c r="B877" s="8">
        <v>0.4284722222222222</v>
      </c>
      <c r="C877" s="10" t="str">
        <f>"FES1162727509"</f>
        <v>FES1162727509</v>
      </c>
      <c r="D877" s="10" t="s">
        <v>19</v>
      </c>
      <c r="E877" s="10" t="s">
        <v>139</v>
      </c>
      <c r="F877" s="10" t="str">
        <f>"2170719917 "</f>
        <v xml:space="preserve">2170719917 </v>
      </c>
      <c r="G877" s="10" t="str">
        <f t="shared" si="25"/>
        <v>ON1</v>
      </c>
      <c r="H877" s="10" t="s">
        <v>21</v>
      </c>
      <c r="I877" s="10" t="s">
        <v>123</v>
      </c>
      <c r="J877" s="10" t="str">
        <f>""</f>
        <v/>
      </c>
      <c r="K877" s="10" t="str">
        <f>"PFES1162727509_0001"</f>
        <v>PFES1162727509_0001</v>
      </c>
      <c r="L877" s="10">
        <v>1</v>
      </c>
      <c r="M877" s="10">
        <v>7</v>
      </c>
    </row>
    <row r="878" spans="1:13">
      <c r="A878" s="7">
        <v>43809</v>
      </c>
      <c r="B878" s="8">
        <v>0.42777777777777781</v>
      </c>
      <c r="C878" s="10" t="str">
        <f>"FES1162727503"</f>
        <v>FES1162727503</v>
      </c>
      <c r="D878" s="10" t="s">
        <v>19</v>
      </c>
      <c r="E878" s="10" t="s">
        <v>593</v>
      </c>
      <c r="F878" s="10" t="str">
        <f>"2170717671 "</f>
        <v xml:space="preserve">2170717671 </v>
      </c>
      <c r="G878" s="10" t="str">
        <f t="shared" si="25"/>
        <v>ON1</v>
      </c>
      <c r="H878" s="10" t="s">
        <v>21</v>
      </c>
      <c r="I878" s="10" t="s">
        <v>594</v>
      </c>
      <c r="J878" s="10" t="str">
        <f>""</f>
        <v/>
      </c>
      <c r="K878" s="10" t="str">
        <f>"PFES1162727503_0001"</f>
        <v>PFES1162727503_0001</v>
      </c>
      <c r="L878" s="10">
        <v>1</v>
      </c>
      <c r="M878" s="10">
        <v>1</v>
      </c>
    </row>
    <row r="879" spans="1:13">
      <c r="A879" s="7">
        <v>43809</v>
      </c>
      <c r="B879" s="8">
        <v>0.42777777777777781</v>
      </c>
      <c r="C879" s="10" t="str">
        <f>"FES1162727544"</f>
        <v>FES1162727544</v>
      </c>
      <c r="D879" s="10" t="s">
        <v>19</v>
      </c>
      <c r="E879" s="10" t="s">
        <v>57</v>
      </c>
      <c r="F879" s="10" t="str">
        <f>"2177124015 "</f>
        <v xml:space="preserve">2177124015 </v>
      </c>
      <c r="G879" s="10" t="str">
        <f t="shared" si="25"/>
        <v>ON1</v>
      </c>
      <c r="H879" s="10" t="s">
        <v>21</v>
      </c>
      <c r="I879" s="10" t="s">
        <v>58</v>
      </c>
      <c r="J879" s="10" t="str">
        <f>""</f>
        <v/>
      </c>
      <c r="K879" s="10" t="str">
        <f>"PFES1162727544_0001"</f>
        <v>PFES1162727544_0001</v>
      </c>
      <c r="L879" s="10">
        <v>1</v>
      </c>
      <c r="M879" s="10">
        <v>1</v>
      </c>
    </row>
    <row r="880" spans="1:13">
      <c r="A880" s="7">
        <v>43810</v>
      </c>
      <c r="B880" s="8">
        <v>0.55902777777777779</v>
      </c>
      <c r="C880" s="15" t="str">
        <f>"FES1162727741"</f>
        <v>FES1162727741</v>
      </c>
      <c r="D880" s="15" t="s">
        <v>19</v>
      </c>
      <c r="E880" s="15" t="s">
        <v>427</v>
      </c>
      <c r="F880" s="15" t="str">
        <f>"2170721220 "</f>
        <v xml:space="preserve">2170721220 </v>
      </c>
      <c r="G880" s="15" t="str">
        <f>"ON1"</f>
        <v>ON1</v>
      </c>
      <c r="H880" s="15" t="s">
        <v>21</v>
      </c>
      <c r="I880" s="15" t="s">
        <v>158</v>
      </c>
      <c r="J880" s="15" t="str">
        <f>""</f>
        <v/>
      </c>
      <c r="K880" s="15" t="str">
        <f>"PFES1162727741_0001"</f>
        <v>PFES1162727741_0001</v>
      </c>
      <c r="L880" s="15">
        <v>1</v>
      </c>
      <c r="M880" s="15">
        <v>5</v>
      </c>
    </row>
    <row r="881" spans="1:13">
      <c r="A881" s="7">
        <v>43810</v>
      </c>
      <c r="B881" s="8">
        <v>0.55833333333333335</v>
      </c>
      <c r="C881" s="15" t="str">
        <f>"FES1162727729"</f>
        <v>FES1162727729</v>
      </c>
      <c r="D881" s="15" t="s">
        <v>19</v>
      </c>
      <c r="E881" s="15" t="s">
        <v>505</v>
      </c>
      <c r="F881" s="15" t="str">
        <f>"217021020 "</f>
        <v xml:space="preserve">217021020 </v>
      </c>
      <c r="G881" s="15" t="str">
        <f>"DBC"</f>
        <v>DBC</v>
      </c>
      <c r="H881" s="15" t="s">
        <v>21</v>
      </c>
      <c r="I881" s="15" t="s">
        <v>506</v>
      </c>
      <c r="J881" s="15" t="str">
        <f>"OIL"</f>
        <v>OIL</v>
      </c>
      <c r="K881" s="15" t="str">
        <f>"PFES1162727729_0001"</f>
        <v>PFES1162727729_0001</v>
      </c>
      <c r="L881" s="15">
        <v>1</v>
      </c>
      <c r="M881" s="15">
        <v>1</v>
      </c>
    </row>
    <row r="882" spans="1:13">
      <c r="A882" s="7">
        <v>43810</v>
      </c>
      <c r="B882" s="8">
        <v>0.55763888888888891</v>
      </c>
      <c r="C882" s="15" t="str">
        <f>"FES1162727759"</f>
        <v>FES1162727759</v>
      </c>
      <c r="D882" s="15" t="s">
        <v>19</v>
      </c>
      <c r="E882" s="15" t="s">
        <v>595</v>
      </c>
      <c r="F882" s="15" t="str">
        <f>"2170721243 "</f>
        <v xml:space="preserve">2170721243 </v>
      </c>
      <c r="G882" s="15" t="str">
        <f t="shared" ref="G882:G944" si="26">"ON1"</f>
        <v>ON1</v>
      </c>
      <c r="H882" s="15" t="s">
        <v>21</v>
      </c>
      <c r="I882" s="15" t="s">
        <v>72</v>
      </c>
      <c r="J882" s="15" t="str">
        <f>""</f>
        <v/>
      </c>
      <c r="K882" s="15" t="str">
        <f>"PFES1162727759_0001"</f>
        <v>PFES1162727759_0001</v>
      </c>
      <c r="L882" s="15">
        <v>1</v>
      </c>
      <c r="M882" s="15">
        <v>1</v>
      </c>
    </row>
    <row r="883" spans="1:13">
      <c r="A883" s="7">
        <v>43810</v>
      </c>
      <c r="B883" s="8">
        <v>0.55763888888888891</v>
      </c>
      <c r="C883" s="15" t="str">
        <f>"FES1162727827"</f>
        <v>FES1162727827</v>
      </c>
      <c r="D883" s="15" t="s">
        <v>19</v>
      </c>
      <c r="E883" s="15" t="s">
        <v>24</v>
      </c>
      <c r="F883" s="15" t="str">
        <f>"2170721276 "</f>
        <v xml:space="preserve">2170721276 </v>
      </c>
      <c r="G883" s="15" t="str">
        <f t="shared" si="26"/>
        <v>ON1</v>
      </c>
      <c r="H883" s="15" t="s">
        <v>21</v>
      </c>
      <c r="I883" s="15" t="s">
        <v>25</v>
      </c>
      <c r="J883" s="15" t="str">
        <f>""</f>
        <v/>
      </c>
      <c r="K883" s="15" t="str">
        <f>"PFES1162727827_0001"</f>
        <v>PFES1162727827_0001</v>
      </c>
      <c r="L883" s="15">
        <v>1</v>
      </c>
      <c r="M883" s="15">
        <v>1</v>
      </c>
    </row>
    <row r="884" spans="1:13">
      <c r="A884" s="7">
        <v>43810</v>
      </c>
      <c r="B884" s="8">
        <v>0.55694444444444446</v>
      </c>
      <c r="C884" s="15" t="str">
        <f>"FES1162727731"</f>
        <v>FES1162727731</v>
      </c>
      <c r="D884" s="15" t="s">
        <v>19</v>
      </c>
      <c r="E884" s="15" t="s">
        <v>596</v>
      </c>
      <c r="F884" s="15" t="str">
        <f>"2170721172 "</f>
        <v xml:space="preserve">2170721172 </v>
      </c>
      <c r="G884" s="15" t="str">
        <f t="shared" si="26"/>
        <v>ON1</v>
      </c>
      <c r="H884" s="15" t="s">
        <v>21</v>
      </c>
      <c r="I884" s="15" t="s">
        <v>246</v>
      </c>
      <c r="J884" s="15" t="str">
        <f>""</f>
        <v/>
      </c>
      <c r="K884" s="15" t="str">
        <f>"PFES1162727731_0001"</f>
        <v>PFES1162727731_0001</v>
      </c>
      <c r="L884" s="15">
        <v>1</v>
      </c>
      <c r="M884" s="15">
        <v>1</v>
      </c>
    </row>
    <row r="885" spans="1:13">
      <c r="A885" s="7">
        <v>43810</v>
      </c>
      <c r="B885" s="8">
        <v>0.55625000000000002</v>
      </c>
      <c r="C885" s="15" t="str">
        <f>"FES1162727848"</f>
        <v>FES1162727848</v>
      </c>
      <c r="D885" s="15" t="s">
        <v>19</v>
      </c>
      <c r="E885" s="15" t="s">
        <v>524</v>
      </c>
      <c r="F885" s="15" t="str">
        <f>"2170721306 "</f>
        <v xml:space="preserve">2170721306 </v>
      </c>
      <c r="G885" s="15" t="str">
        <f t="shared" si="26"/>
        <v>ON1</v>
      </c>
      <c r="H885" s="15" t="s">
        <v>21</v>
      </c>
      <c r="I885" s="15" t="s">
        <v>248</v>
      </c>
      <c r="J885" s="15" t="str">
        <f>""</f>
        <v/>
      </c>
      <c r="K885" s="15" t="str">
        <f>"PFES1162727848_0001"</f>
        <v>PFES1162727848_0001</v>
      </c>
      <c r="L885" s="15">
        <v>1</v>
      </c>
      <c r="M885" s="15">
        <v>1</v>
      </c>
    </row>
    <row r="886" spans="1:13">
      <c r="A886" s="7">
        <v>43810</v>
      </c>
      <c r="B886" s="8">
        <v>0.55555555555555558</v>
      </c>
      <c r="C886" s="15" t="str">
        <f>"FES1162726616"</f>
        <v>FES1162726616</v>
      </c>
      <c r="D886" s="15" t="s">
        <v>19</v>
      </c>
      <c r="E886" s="15" t="s">
        <v>239</v>
      </c>
      <c r="F886" s="15" t="str">
        <f>"2170720095 "</f>
        <v xml:space="preserve">2170720095 </v>
      </c>
      <c r="G886" s="15" t="str">
        <f t="shared" si="26"/>
        <v>ON1</v>
      </c>
      <c r="H886" s="15" t="s">
        <v>21</v>
      </c>
      <c r="I886" s="15" t="s">
        <v>175</v>
      </c>
      <c r="J886" s="15" t="str">
        <f>""</f>
        <v/>
      </c>
      <c r="K886" s="15" t="str">
        <f>"PFES1162726616_0001"</f>
        <v>PFES1162726616_0001</v>
      </c>
      <c r="L886" s="15">
        <v>1</v>
      </c>
      <c r="M886" s="15">
        <v>1</v>
      </c>
    </row>
    <row r="887" spans="1:13">
      <c r="A887" s="7">
        <v>43810</v>
      </c>
      <c r="B887" s="8">
        <v>0.55555555555555558</v>
      </c>
      <c r="C887" s="15" t="str">
        <f>"FES1162727767"</f>
        <v>FES1162727767</v>
      </c>
      <c r="D887" s="15" t="s">
        <v>19</v>
      </c>
      <c r="E887" s="15" t="s">
        <v>196</v>
      </c>
      <c r="F887" s="15" t="str">
        <f>"2170721254 "</f>
        <v xml:space="preserve">2170721254 </v>
      </c>
      <c r="G887" s="15" t="str">
        <f t="shared" si="26"/>
        <v>ON1</v>
      </c>
      <c r="H887" s="15" t="s">
        <v>21</v>
      </c>
      <c r="I887" s="15" t="s">
        <v>197</v>
      </c>
      <c r="J887" s="15" t="str">
        <f>""</f>
        <v/>
      </c>
      <c r="K887" s="15" t="str">
        <f>"PFES1162727767_0001"</f>
        <v>PFES1162727767_0001</v>
      </c>
      <c r="L887" s="15">
        <v>1</v>
      </c>
      <c r="M887" s="15">
        <v>1</v>
      </c>
    </row>
    <row r="888" spans="1:13">
      <c r="A888" s="7">
        <v>43810</v>
      </c>
      <c r="B888" s="8">
        <v>0.5541666666666667</v>
      </c>
      <c r="C888" s="15" t="str">
        <f>"FES1162727772"</f>
        <v>FES1162727772</v>
      </c>
      <c r="D888" s="15" t="s">
        <v>19</v>
      </c>
      <c r="E888" s="15" t="s">
        <v>107</v>
      </c>
      <c r="F888" s="15" t="str">
        <f>"2170721260 "</f>
        <v xml:space="preserve">2170721260 </v>
      </c>
      <c r="G888" s="15" t="str">
        <f t="shared" si="26"/>
        <v>ON1</v>
      </c>
      <c r="H888" s="15" t="s">
        <v>21</v>
      </c>
      <c r="I888" s="15" t="s">
        <v>56</v>
      </c>
      <c r="J888" s="15" t="str">
        <f>""</f>
        <v/>
      </c>
      <c r="K888" s="15" t="str">
        <f>"PFES1162727772_0001"</f>
        <v>PFES1162727772_0001</v>
      </c>
      <c r="L888" s="15">
        <v>1</v>
      </c>
      <c r="M888" s="15">
        <v>1</v>
      </c>
    </row>
    <row r="889" spans="1:13">
      <c r="A889" s="7">
        <v>43810</v>
      </c>
      <c r="B889" s="8">
        <v>0.5541666666666667</v>
      </c>
      <c r="C889" s="15" t="str">
        <f>"FES1162727841"</f>
        <v>FES1162727841</v>
      </c>
      <c r="D889" s="15" t="s">
        <v>19</v>
      </c>
      <c r="E889" s="15" t="s">
        <v>597</v>
      </c>
      <c r="F889" s="15" t="str">
        <f>"2170721291 "</f>
        <v xml:space="preserve">2170721291 </v>
      </c>
      <c r="G889" s="15" t="str">
        <f t="shared" si="26"/>
        <v>ON1</v>
      </c>
      <c r="H889" s="15" t="s">
        <v>21</v>
      </c>
      <c r="I889" s="15" t="s">
        <v>270</v>
      </c>
      <c r="J889" s="15" t="str">
        <f>""</f>
        <v/>
      </c>
      <c r="K889" s="15" t="str">
        <f>"PFES1162727841_0001"</f>
        <v>PFES1162727841_0001</v>
      </c>
      <c r="L889" s="15">
        <v>1</v>
      </c>
      <c r="M889" s="15">
        <v>1</v>
      </c>
    </row>
    <row r="890" spans="1:13">
      <c r="A890" s="7">
        <v>43810</v>
      </c>
      <c r="B890" s="8">
        <v>0.55347222222222225</v>
      </c>
      <c r="C890" s="15" t="str">
        <f>"FES1162727815"</f>
        <v>FES1162727815</v>
      </c>
      <c r="D890" s="15" t="s">
        <v>19</v>
      </c>
      <c r="E890" s="15" t="s">
        <v>470</v>
      </c>
      <c r="F890" s="15" t="str">
        <f>"2170719293 "</f>
        <v xml:space="preserve">2170719293 </v>
      </c>
      <c r="G890" s="15" t="str">
        <f t="shared" si="26"/>
        <v>ON1</v>
      </c>
      <c r="H890" s="15" t="s">
        <v>21</v>
      </c>
      <c r="I890" s="15" t="s">
        <v>204</v>
      </c>
      <c r="J890" s="15" t="str">
        <f>""</f>
        <v/>
      </c>
      <c r="K890" s="15" t="str">
        <f>"PFES1162727815_0001"</f>
        <v>PFES1162727815_0001</v>
      </c>
      <c r="L890" s="15">
        <v>1</v>
      </c>
      <c r="M890" s="15">
        <v>1</v>
      </c>
    </row>
    <row r="891" spans="1:13">
      <c r="A891" s="7">
        <v>43810</v>
      </c>
      <c r="B891" s="8">
        <v>0.55138888888888882</v>
      </c>
      <c r="C891" s="15" t="str">
        <f>"FES1162727811"</f>
        <v>FES1162727811</v>
      </c>
      <c r="D891" s="15" t="s">
        <v>19</v>
      </c>
      <c r="E891" s="15" t="s">
        <v>598</v>
      </c>
      <c r="F891" s="15" t="str">
        <f>"2170719216 "</f>
        <v xml:space="preserve">2170719216 </v>
      </c>
      <c r="G891" s="15" t="str">
        <f t="shared" si="26"/>
        <v>ON1</v>
      </c>
      <c r="H891" s="15" t="s">
        <v>21</v>
      </c>
      <c r="I891" s="15" t="s">
        <v>599</v>
      </c>
      <c r="J891" s="15" t="str">
        <f>""</f>
        <v/>
      </c>
      <c r="K891" s="15" t="str">
        <f>"PFES1162727811_0001"</f>
        <v>PFES1162727811_0001</v>
      </c>
      <c r="L891" s="15">
        <v>1</v>
      </c>
      <c r="M891" s="15">
        <v>1</v>
      </c>
    </row>
    <row r="892" spans="1:13">
      <c r="A892" s="7">
        <v>43810</v>
      </c>
      <c r="B892" s="8">
        <v>0.55138888888888882</v>
      </c>
      <c r="C892" s="15" t="str">
        <f>"FES1162727253"</f>
        <v>FES1162727253</v>
      </c>
      <c r="D892" s="15" t="s">
        <v>19</v>
      </c>
      <c r="E892" s="15" t="s">
        <v>24</v>
      </c>
      <c r="F892" s="15" t="str">
        <f>"2170720742 "</f>
        <v xml:space="preserve">2170720742 </v>
      </c>
      <c r="G892" s="15" t="str">
        <f t="shared" si="26"/>
        <v>ON1</v>
      </c>
      <c r="H892" s="15" t="s">
        <v>21</v>
      </c>
      <c r="I892" s="15" t="s">
        <v>25</v>
      </c>
      <c r="J892" s="15" t="str">
        <f>""</f>
        <v/>
      </c>
      <c r="K892" s="15" t="str">
        <f>"PFES1162727253_0001"</f>
        <v>PFES1162727253_0001</v>
      </c>
      <c r="L892" s="15">
        <v>1</v>
      </c>
      <c r="M892" s="15">
        <v>1</v>
      </c>
    </row>
    <row r="893" spans="1:13">
      <c r="A893" s="7">
        <v>43810</v>
      </c>
      <c r="B893" s="8">
        <v>0.55138888888888882</v>
      </c>
      <c r="C893" s="15" t="str">
        <f>"FES1162727834"</f>
        <v>FES1162727834</v>
      </c>
      <c r="D893" s="15" t="s">
        <v>19</v>
      </c>
      <c r="E893" s="15" t="s">
        <v>373</v>
      </c>
      <c r="F893" s="15" t="str">
        <f>"2170721284 "</f>
        <v xml:space="preserve">2170721284 </v>
      </c>
      <c r="G893" s="15" t="str">
        <f t="shared" si="26"/>
        <v>ON1</v>
      </c>
      <c r="H893" s="15" t="s">
        <v>21</v>
      </c>
      <c r="I893" s="15" t="s">
        <v>374</v>
      </c>
      <c r="J893" s="15" t="str">
        <f>""</f>
        <v/>
      </c>
      <c r="K893" s="15" t="str">
        <f>"PFES1162727834_0001"</f>
        <v>PFES1162727834_0001</v>
      </c>
      <c r="L893" s="15">
        <v>1</v>
      </c>
      <c r="M893" s="15">
        <v>1</v>
      </c>
    </row>
    <row r="894" spans="1:13">
      <c r="A894" s="7">
        <v>43810</v>
      </c>
      <c r="B894" s="8">
        <v>0.55069444444444449</v>
      </c>
      <c r="C894" s="15" t="str">
        <f>"FES1162727723"</f>
        <v>FES1162727723</v>
      </c>
      <c r="D894" s="15" t="s">
        <v>19</v>
      </c>
      <c r="E894" s="15" t="s">
        <v>262</v>
      </c>
      <c r="F894" s="15" t="str">
        <f>"2170719242 "</f>
        <v xml:space="preserve">2170719242 </v>
      </c>
      <c r="G894" s="15" t="str">
        <f t="shared" si="26"/>
        <v>ON1</v>
      </c>
      <c r="H894" s="15" t="s">
        <v>21</v>
      </c>
      <c r="I894" s="15" t="s">
        <v>235</v>
      </c>
      <c r="J894" s="15" t="str">
        <f>""</f>
        <v/>
      </c>
      <c r="K894" s="15" t="str">
        <f>"PFES1162727723_0001"</f>
        <v>PFES1162727723_0001</v>
      </c>
      <c r="L894" s="15">
        <v>1</v>
      </c>
      <c r="M894" s="15">
        <v>1</v>
      </c>
    </row>
    <row r="895" spans="1:13">
      <c r="A895" s="7">
        <v>43810</v>
      </c>
      <c r="B895" s="8">
        <v>0.55069444444444449</v>
      </c>
      <c r="C895" s="15" t="str">
        <f>"FES1162727725"</f>
        <v>FES1162727725</v>
      </c>
      <c r="D895" s="15" t="s">
        <v>19</v>
      </c>
      <c r="E895" s="15" t="s">
        <v>159</v>
      </c>
      <c r="F895" s="15" t="str">
        <f>"2170719896 "</f>
        <v xml:space="preserve">2170719896 </v>
      </c>
      <c r="G895" s="15" t="str">
        <f t="shared" si="26"/>
        <v>ON1</v>
      </c>
      <c r="H895" s="15" t="s">
        <v>21</v>
      </c>
      <c r="I895" s="15" t="s">
        <v>54</v>
      </c>
      <c r="J895" s="15" t="str">
        <f>""</f>
        <v/>
      </c>
      <c r="K895" s="15" t="str">
        <f>"PFES1162727725_0001"</f>
        <v>PFES1162727725_0001</v>
      </c>
      <c r="L895" s="15">
        <v>1</v>
      </c>
      <c r="M895" s="15">
        <v>1</v>
      </c>
    </row>
    <row r="896" spans="1:13">
      <c r="A896" s="7">
        <v>43810</v>
      </c>
      <c r="B896" s="8">
        <v>0.55069444444444449</v>
      </c>
      <c r="C896" s="15" t="str">
        <f>"FES1162727831"</f>
        <v>FES1162727831</v>
      </c>
      <c r="D896" s="15" t="s">
        <v>19</v>
      </c>
      <c r="E896" s="15" t="s">
        <v>82</v>
      </c>
      <c r="F896" s="15" t="str">
        <f>"2170721278 "</f>
        <v xml:space="preserve">2170721278 </v>
      </c>
      <c r="G896" s="15" t="str">
        <f t="shared" si="26"/>
        <v>ON1</v>
      </c>
      <c r="H896" s="15" t="s">
        <v>21</v>
      </c>
      <c r="I896" s="15" t="s">
        <v>72</v>
      </c>
      <c r="J896" s="15" t="str">
        <f>""</f>
        <v/>
      </c>
      <c r="K896" s="15" t="str">
        <f>"PFES1162727831_0001"</f>
        <v>PFES1162727831_0001</v>
      </c>
      <c r="L896" s="15">
        <v>1</v>
      </c>
      <c r="M896" s="15">
        <v>1</v>
      </c>
    </row>
    <row r="897" spans="1:13">
      <c r="A897" s="7">
        <v>43810</v>
      </c>
      <c r="B897" s="8">
        <v>0.54999999999999993</v>
      </c>
      <c r="C897" s="15" t="str">
        <f>"FES1162727726"</f>
        <v>FES1162727726</v>
      </c>
      <c r="D897" s="15" t="s">
        <v>19</v>
      </c>
      <c r="E897" s="15" t="s">
        <v>203</v>
      </c>
      <c r="F897" s="15" t="str">
        <f>"2170720578 "</f>
        <v xml:space="preserve">2170720578 </v>
      </c>
      <c r="G897" s="15" t="str">
        <f t="shared" si="26"/>
        <v>ON1</v>
      </c>
      <c r="H897" s="15" t="s">
        <v>21</v>
      </c>
      <c r="I897" s="15" t="s">
        <v>158</v>
      </c>
      <c r="J897" s="15" t="str">
        <f>""</f>
        <v/>
      </c>
      <c r="K897" s="15" t="str">
        <f>"PFES1162727726_0001"</f>
        <v>PFES1162727726_0001</v>
      </c>
      <c r="L897" s="15">
        <v>1</v>
      </c>
      <c r="M897" s="15">
        <v>1</v>
      </c>
    </row>
    <row r="898" spans="1:13">
      <c r="A898" s="7">
        <v>43810</v>
      </c>
      <c r="B898" s="8">
        <v>0.54999999999999993</v>
      </c>
      <c r="C898" s="15" t="str">
        <f>"FES1162727727"</f>
        <v>FES1162727727</v>
      </c>
      <c r="D898" s="15" t="s">
        <v>19</v>
      </c>
      <c r="E898" s="15" t="s">
        <v>600</v>
      </c>
      <c r="F898" s="15" t="str">
        <f>"21707120593 "</f>
        <v xml:space="preserve">21707120593 </v>
      </c>
      <c r="G898" s="15" t="str">
        <f t="shared" si="26"/>
        <v>ON1</v>
      </c>
      <c r="H898" s="15" t="s">
        <v>21</v>
      </c>
      <c r="I898" s="15" t="s">
        <v>191</v>
      </c>
      <c r="J898" s="15" t="str">
        <f>""</f>
        <v/>
      </c>
      <c r="K898" s="15" t="str">
        <f>"PFES1162727727_0001"</f>
        <v>PFES1162727727_0001</v>
      </c>
      <c r="L898" s="15">
        <v>1</v>
      </c>
      <c r="M898" s="15">
        <v>1</v>
      </c>
    </row>
    <row r="899" spans="1:13">
      <c r="A899" s="7">
        <v>43810</v>
      </c>
      <c r="B899" s="8">
        <v>0.5493055555555556</v>
      </c>
      <c r="C899" s="15" t="str">
        <f>"FES1162727839"</f>
        <v>FES1162727839</v>
      </c>
      <c r="D899" s="15" t="s">
        <v>19</v>
      </c>
      <c r="E899" s="15" t="s">
        <v>82</v>
      </c>
      <c r="F899" s="15" t="str">
        <f>"217071289 "</f>
        <v xml:space="preserve">217071289 </v>
      </c>
      <c r="G899" s="15" t="str">
        <f t="shared" si="26"/>
        <v>ON1</v>
      </c>
      <c r="H899" s="15" t="s">
        <v>21</v>
      </c>
      <c r="I899" s="15" t="s">
        <v>72</v>
      </c>
      <c r="J899" s="15" t="str">
        <f>""</f>
        <v/>
      </c>
      <c r="K899" s="15" t="str">
        <f>"PFES1162727839_0001"</f>
        <v>PFES1162727839_0001</v>
      </c>
      <c r="L899" s="15">
        <v>1</v>
      </c>
      <c r="M899" s="15">
        <v>1</v>
      </c>
    </row>
    <row r="900" spans="1:13">
      <c r="A900" s="7">
        <v>43810</v>
      </c>
      <c r="B900" s="8">
        <v>0.5493055555555556</v>
      </c>
      <c r="C900" s="15" t="str">
        <f>"FES1162727734"</f>
        <v>FES1162727734</v>
      </c>
      <c r="D900" s="15" t="s">
        <v>19</v>
      </c>
      <c r="E900" s="15" t="s">
        <v>601</v>
      </c>
      <c r="F900" s="15" t="str">
        <f>"21707121209 "</f>
        <v xml:space="preserve">21707121209 </v>
      </c>
      <c r="G900" s="15" t="str">
        <f t="shared" si="26"/>
        <v>ON1</v>
      </c>
      <c r="H900" s="15" t="s">
        <v>21</v>
      </c>
      <c r="I900" s="15" t="s">
        <v>186</v>
      </c>
      <c r="J900" s="15" t="str">
        <f>""</f>
        <v/>
      </c>
      <c r="K900" s="15" t="str">
        <f>"PFES1162727734_0001"</f>
        <v>PFES1162727734_0001</v>
      </c>
      <c r="L900" s="15">
        <v>1</v>
      </c>
      <c r="M900" s="15">
        <v>1</v>
      </c>
    </row>
    <row r="901" spans="1:13">
      <c r="A901" s="7">
        <v>43810</v>
      </c>
      <c r="B901" s="8">
        <v>0.5493055555555556</v>
      </c>
      <c r="C901" s="15" t="str">
        <f>"FES1162727720"</f>
        <v>FES1162727720</v>
      </c>
      <c r="D901" s="15" t="s">
        <v>19</v>
      </c>
      <c r="E901" s="15" t="s">
        <v>82</v>
      </c>
      <c r="F901" s="15" t="str">
        <f>"2170719186 "</f>
        <v xml:space="preserve">2170719186 </v>
      </c>
      <c r="G901" s="15" t="str">
        <f t="shared" si="26"/>
        <v>ON1</v>
      </c>
      <c r="H901" s="15" t="s">
        <v>21</v>
      </c>
      <c r="I901" s="15" t="s">
        <v>72</v>
      </c>
      <c r="J901" s="15" t="str">
        <f>""</f>
        <v/>
      </c>
      <c r="K901" s="15" t="str">
        <f>"PFES1162727720_0001"</f>
        <v>PFES1162727720_0001</v>
      </c>
      <c r="L901" s="15">
        <v>1</v>
      </c>
      <c r="M901" s="15">
        <v>1</v>
      </c>
    </row>
    <row r="902" spans="1:13">
      <c r="A902" s="7">
        <v>43810</v>
      </c>
      <c r="B902" s="8">
        <v>0.54861111111111105</v>
      </c>
      <c r="C902" s="15" t="str">
        <f>"FES1162727838"</f>
        <v>FES1162727838</v>
      </c>
      <c r="D902" s="15" t="s">
        <v>19</v>
      </c>
      <c r="E902" s="15" t="s">
        <v>71</v>
      </c>
      <c r="F902" s="15" t="str">
        <f>"21707121288 "</f>
        <v xml:space="preserve">21707121288 </v>
      </c>
      <c r="G902" s="15" t="str">
        <f t="shared" si="26"/>
        <v>ON1</v>
      </c>
      <c r="H902" s="15" t="s">
        <v>21</v>
      </c>
      <c r="I902" s="15" t="s">
        <v>72</v>
      </c>
      <c r="J902" s="15" t="str">
        <f>""</f>
        <v/>
      </c>
      <c r="K902" s="15" t="str">
        <f>"PFES1162727838_0001"</f>
        <v>PFES1162727838_0001</v>
      </c>
      <c r="L902" s="15">
        <v>1</v>
      </c>
      <c r="M902" s="15">
        <v>1</v>
      </c>
    </row>
    <row r="903" spans="1:13">
      <c r="A903" s="7">
        <v>43810</v>
      </c>
      <c r="B903" s="8">
        <v>0.52986111111111112</v>
      </c>
      <c r="C903" s="15" t="str">
        <f>"FES1162727761"</f>
        <v>FES1162727761</v>
      </c>
      <c r="D903" s="15" t="s">
        <v>19</v>
      </c>
      <c r="E903" s="15" t="s">
        <v>290</v>
      </c>
      <c r="F903" s="15" t="str">
        <f>"217071244 "</f>
        <v xml:space="preserve">217071244 </v>
      </c>
      <c r="G903" s="15" t="str">
        <f t="shared" si="26"/>
        <v>ON1</v>
      </c>
      <c r="H903" s="15" t="s">
        <v>21</v>
      </c>
      <c r="I903" s="15" t="s">
        <v>123</v>
      </c>
      <c r="J903" s="15" t="str">
        <f>""</f>
        <v/>
      </c>
      <c r="K903" s="15" t="str">
        <f>"PFES1162727761_0001"</f>
        <v>PFES1162727761_0001</v>
      </c>
      <c r="L903" s="15">
        <v>1</v>
      </c>
      <c r="M903" s="15">
        <v>5</v>
      </c>
    </row>
    <row r="904" spans="1:13">
      <c r="A904" s="7">
        <v>43810</v>
      </c>
      <c r="B904" s="8">
        <v>0.52986111111111112</v>
      </c>
      <c r="C904" s="15" t="str">
        <f>"FES1162727758"</f>
        <v>FES1162727758</v>
      </c>
      <c r="D904" s="15" t="s">
        <v>19</v>
      </c>
      <c r="E904" s="15" t="s">
        <v>290</v>
      </c>
      <c r="F904" s="15" t="str">
        <f>"2170712142 "</f>
        <v xml:space="preserve">2170712142 </v>
      </c>
      <c r="G904" s="15" t="str">
        <f t="shared" si="26"/>
        <v>ON1</v>
      </c>
      <c r="H904" s="15" t="s">
        <v>21</v>
      </c>
      <c r="I904" s="15" t="s">
        <v>123</v>
      </c>
      <c r="J904" s="15" t="str">
        <f>""</f>
        <v/>
      </c>
      <c r="K904" s="15" t="str">
        <f>"PFES1162727758_0001"</f>
        <v>PFES1162727758_0001</v>
      </c>
      <c r="L904" s="15">
        <v>1</v>
      </c>
      <c r="M904" s="15">
        <v>4</v>
      </c>
    </row>
    <row r="905" spans="1:13">
      <c r="A905" s="7">
        <v>43810</v>
      </c>
      <c r="B905" s="8">
        <v>0.52916666666666667</v>
      </c>
      <c r="C905" s="15" t="str">
        <f>"FES1162727715"</f>
        <v>FES1162727715</v>
      </c>
      <c r="D905" s="15" t="s">
        <v>19</v>
      </c>
      <c r="E905" s="15" t="s">
        <v>602</v>
      </c>
      <c r="F905" s="15" t="str">
        <f>"2170712103 "</f>
        <v xml:space="preserve">2170712103 </v>
      </c>
      <c r="G905" s="15" t="str">
        <f t="shared" si="26"/>
        <v>ON1</v>
      </c>
      <c r="H905" s="15" t="s">
        <v>21</v>
      </c>
      <c r="I905" s="15" t="s">
        <v>45</v>
      </c>
      <c r="J905" s="15" t="str">
        <f>""</f>
        <v/>
      </c>
      <c r="K905" s="15" t="str">
        <f>"PFES1162727715_0001"</f>
        <v>PFES1162727715_0001</v>
      </c>
      <c r="L905" s="15">
        <v>1</v>
      </c>
      <c r="M905" s="15">
        <v>1</v>
      </c>
    </row>
    <row r="906" spans="1:13">
      <c r="A906" s="7">
        <v>43810</v>
      </c>
      <c r="B906" s="8">
        <v>0.52916666666666667</v>
      </c>
      <c r="C906" s="15" t="str">
        <f>"FES1162727709"</f>
        <v>FES1162727709</v>
      </c>
      <c r="D906" s="15" t="s">
        <v>19</v>
      </c>
      <c r="E906" s="15" t="s">
        <v>260</v>
      </c>
      <c r="F906" s="15" t="str">
        <f>"2170718819 "</f>
        <v xml:space="preserve">2170718819 </v>
      </c>
      <c r="G906" s="15" t="str">
        <f t="shared" si="26"/>
        <v>ON1</v>
      </c>
      <c r="H906" s="15" t="s">
        <v>21</v>
      </c>
      <c r="I906" s="15" t="s">
        <v>216</v>
      </c>
      <c r="J906" s="15" t="str">
        <f>""</f>
        <v/>
      </c>
      <c r="K906" s="15" t="str">
        <f>"PFES1162727709_0001"</f>
        <v>PFES1162727709_0001</v>
      </c>
      <c r="L906" s="15">
        <v>1</v>
      </c>
      <c r="M906" s="15">
        <v>1</v>
      </c>
    </row>
    <row r="907" spans="1:13">
      <c r="A907" s="7">
        <v>43810</v>
      </c>
      <c r="B907" s="8">
        <v>0.52847222222222223</v>
      </c>
      <c r="C907" s="15" t="str">
        <f>"FES1162727760"</f>
        <v>FES1162727760</v>
      </c>
      <c r="D907" s="15" t="s">
        <v>19</v>
      </c>
      <c r="E907" s="15" t="s">
        <v>215</v>
      </c>
      <c r="F907" s="15" t="str">
        <f>"2170721190 "</f>
        <v xml:space="preserve">2170721190 </v>
      </c>
      <c r="G907" s="15" t="str">
        <f t="shared" si="26"/>
        <v>ON1</v>
      </c>
      <c r="H907" s="15" t="s">
        <v>21</v>
      </c>
      <c r="I907" s="15" t="s">
        <v>216</v>
      </c>
      <c r="J907" s="15" t="str">
        <f>""</f>
        <v/>
      </c>
      <c r="K907" s="15" t="str">
        <f>"PFES1162727760_0001"</f>
        <v>PFES1162727760_0001</v>
      </c>
      <c r="L907" s="15">
        <v>1</v>
      </c>
      <c r="M907" s="15">
        <v>1</v>
      </c>
    </row>
    <row r="908" spans="1:13">
      <c r="A908" s="7">
        <v>43810</v>
      </c>
      <c r="B908" s="8">
        <v>0.52847222222222223</v>
      </c>
      <c r="C908" s="15" t="str">
        <f>"FES1162727713"</f>
        <v>FES1162727713</v>
      </c>
      <c r="D908" s="15" t="s">
        <v>19</v>
      </c>
      <c r="E908" s="15" t="s">
        <v>456</v>
      </c>
      <c r="F908" s="15" t="str">
        <f>"2170721182 "</f>
        <v xml:space="preserve">2170721182 </v>
      </c>
      <c r="G908" s="15" t="str">
        <f t="shared" si="26"/>
        <v>ON1</v>
      </c>
      <c r="H908" s="15" t="s">
        <v>21</v>
      </c>
      <c r="I908" s="15" t="s">
        <v>457</v>
      </c>
      <c r="J908" s="15" t="str">
        <f>""</f>
        <v/>
      </c>
      <c r="K908" s="15" t="str">
        <f>"PFES1162727713_0001"</f>
        <v>PFES1162727713_0001</v>
      </c>
      <c r="L908" s="15">
        <v>1</v>
      </c>
      <c r="M908" s="15">
        <v>1</v>
      </c>
    </row>
    <row r="909" spans="1:13">
      <c r="A909" s="7">
        <v>43810</v>
      </c>
      <c r="B909" s="8">
        <v>0.52777777777777779</v>
      </c>
      <c r="C909" s="15" t="str">
        <f>"FES1162727843"</f>
        <v>FES1162727843</v>
      </c>
      <c r="D909" s="15" t="s">
        <v>19</v>
      </c>
      <c r="E909" s="15" t="s">
        <v>124</v>
      </c>
      <c r="F909" s="15" t="str">
        <f>"217071297 "</f>
        <v xml:space="preserve">217071297 </v>
      </c>
      <c r="G909" s="15" t="str">
        <f t="shared" si="26"/>
        <v>ON1</v>
      </c>
      <c r="H909" s="15" t="s">
        <v>21</v>
      </c>
      <c r="I909" s="15" t="s">
        <v>125</v>
      </c>
      <c r="J909" s="15" t="str">
        <f>""</f>
        <v/>
      </c>
      <c r="K909" s="15" t="str">
        <f>"PFES1162727843_0001"</f>
        <v>PFES1162727843_0001</v>
      </c>
      <c r="L909" s="15">
        <v>1</v>
      </c>
      <c r="M909" s="15">
        <v>1</v>
      </c>
    </row>
    <row r="910" spans="1:13">
      <c r="A910" s="7">
        <v>43810</v>
      </c>
      <c r="B910" s="8">
        <v>0.52777777777777779</v>
      </c>
      <c r="C910" s="15" t="str">
        <f>"FES1162727722"</f>
        <v>FES1162727722</v>
      </c>
      <c r="D910" s="15" t="s">
        <v>19</v>
      </c>
      <c r="E910" s="15" t="s">
        <v>292</v>
      </c>
      <c r="F910" s="15" t="str">
        <f>"2170719414 "</f>
        <v xml:space="preserve">2170719414 </v>
      </c>
      <c r="G910" s="15" t="str">
        <f t="shared" si="26"/>
        <v>ON1</v>
      </c>
      <c r="H910" s="15" t="s">
        <v>21</v>
      </c>
      <c r="I910" s="15" t="s">
        <v>78</v>
      </c>
      <c r="J910" s="15" t="str">
        <f>""</f>
        <v/>
      </c>
      <c r="K910" s="15" t="str">
        <f>"PFES1162727722_0001"</f>
        <v>PFES1162727722_0001</v>
      </c>
      <c r="L910" s="15">
        <v>1</v>
      </c>
      <c r="M910" s="15">
        <v>1</v>
      </c>
    </row>
    <row r="911" spans="1:13">
      <c r="A911" s="7">
        <v>43810</v>
      </c>
      <c r="B911" s="8">
        <v>0.52777777777777779</v>
      </c>
      <c r="C911" s="15" t="str">
        <f>"FES1162726606"</f>
        <v>FES1162726606</v>
      </c>
      <c r="D911" s="15" t="s">
        <v>19</v>
      </c>
      <c r="E911" s="15" t="s">
        <v>603</v>
      </c>
      <c r="F911" s="15" t="str">
        <f>"217071200873 "</f>
        <v xml:space="preserve">217071200873 </v>
      </c>
      <c r="G911" s="15" t="str">
        <f t="shared" si="26"/>
        <v>ON1</v>
      </c>
      <c r="H911" s="15" t="s">
        <v>21</v>
      </c>
      <c r="I911" s="15" t="s">
        <v>604</v>
      </c>
      <c r="J911" s="15" t="str">
        <f>""</f>
        <v/>
      </c>
      <c r="K911" s="15" t="str">
        <f>"PFES1162726606_0001"</f>
        <v>PFES1162726606_0001</v>
      </c>
      <c r="L911" s="15">
        <v>1</v>
      </c>
      <c r="M911" s="15">
        <v>1</v>
      </c>
    </row>
    <row r="912" spans="1:13">
      <c r="A912" s="7">
        <v>43810</v>
      </c>
      <c r="B912" s="8">
        <v>0.52708333333333335</v>
      </c>
      <c r="C912" s="15" t="str">
        <f>"FES1162727736"</f>
        <v>FES1162727736</v>
      </c>
      <c r="D912" s="15" t="s">
        <v>19</v>
      </c>
      <c r="E912" s="15" t="s">
        <v>274</v>
      </c>
      <c r="F912" s="15" t="str">
        <f>"21707121215 "</f>
        <v xml:space="preserve">21707121215 </v>
      </c>
      <c r="G912" s="15" t="str">
        <f t="shared" si="26"/>
        <v>ON1</v>
      </c>
      <c r="H912" s="15" t="s">
        <v>21</v>
      </c>
      <c r="I912" s="15" t="s">
        <v>45</v>
      </c>
      <c r="J912" s="15" t="str">
        <f>""</f>
        <v/>
      </c>
      <c r="K912" s="15" t="str">
        <f>"PFES1162727736_0001"</f>
        <v>PFES1162727736_0001</v>
      </c>
      <c r="L912" s="15">
        <v>1</v>
      </c>
      <c r="M912" s="15">
        <v>1</v>
      </c>
    </row>
    <row r="913" spans="1:13">
      <c r="A913" s="7">
        <v>43810</v>
      </c>
      <c r="B913" s="8">
        <v>0.52638888888888891</v>
      </c>
      <c r="C913" s="15" t="str">
        <f>"FES1162727749"</f>
        <v>FES1162727749</v>
      </c>
      <c r="D913" s="15" t="s">
        <v>19</v>
      </c>
      <c r="E913" s="15" t="s">
        <v>124</v>
      </c>
      <c r="F913" s="15" t="str">
        <f>"2170721233 "</f>
        <v xml:space="preserve">2170721233 </v>
      </c>
      <c r="G913" s="15" t="str">
        <f t="shared" si="26"/>
        <v>ON1</v>
      </c>
      <c r="H913" s="15" t="s">
        <v>21</v>
      </c>
      <c r="I913" s="15" t="s">
        <v>125</v>
      </c>
      <c r="J913" s="15" t="str">
        <f>""</f>
        <v/>
      </c>
      <c r="K913" s="15" t="str">
        <f>"PFES1162727749_0001"</f>
        <v>PFES1162727749_0001</v>
      </c>
      <c r="L913" s="15">
        <v>1</v>
      </c>
      <c r="M913" s="15">
        <v>1</v>
      </c>
    </row>
    <row r="914" spans="1:13">
      <c r="A914" s="7">
        <v>43810</v>
      </c>
      <c r="B914" s="8">
        <v>0.52638888888888891</v>
      </c>
      <c r="C914" s="15" t="str">
        <f>"FES1162727728"</f>
        <v>FES1162727728</v>
      </c>
      <c r="D914" s="15" t="s">
        <v>19</v>
      </c>
      <c r="E914" s="15" t="s">
        <v>416</v>
      </c>
      <c r="F914" s="15" t="str">
        <f>"21707190132 "</f>
        <v xml:space="preserve">21707190132 </v>
      </c>
      <c r="G914" s="15" t="str">
        <f t="shared" si="26"/>
        <v>ON1</v>
      </c>
      <c r="H914" s="15" t="s">
        <v>21</v>
      </c>
      <c r="I914" s="15" t="s">
        <v>45</v>
      </c>
      <c r="J914" s="15" t="str">
        <f>""</f>
        <v/>
      </c>
      <c r="K914" s="15" t="str">
        <f>"PFES1162727728_0001"</f>
        <v>PFES1162727728_0001</v>
      </c>
      <c r="L914" s="15">
        <v>1</v>
      </c>
      <c r="M914" s="15">
        <v>1</v>
      </c>
    </row>
    <row r="915" spans="1:13">
      <c r="A915" s="7">
        <v>43810</v>
      </c>
      <c r="B915" s="8">
        <v>0.52569444444444446</v>
      </c>
      <c r="C915" s="15" t="str">
        <f>"FES1162727719"</f>
        <v>FES1162727719</v>
      </c>
      <c r="D915" s="15" t="s">
        <v>19</v>
      </c>
      <c r="E915" s="15" t="s">
        <v>77</v>
      </c>
      <c r="F915" s="15" t="str">
        <f>"217071968 "</f>
        <v xml:space="preserve">217071968 </v>
      </c>
      <c r="G915" s="15" t="str">
        <f t="shared" si="26"/>
        <v>ON1</v>
      </c>
      <c r="H915" s="15" t="s">
        <v>21</v>
      </c>
      <c r="I915" s="15" t="s">
        <v>78</v>
      </c>
      <c r="J915" s="15" t="str">
        <f>""</f>
        <v/>
      </c>
      <c r="K915" s="15" t="str">
        <f>"PFES1162727719_0001"</f>
        <v>PFES1162727719_0001</v>
      </c>
      <c r="L915" s="15">
        <v>1</v>
      </c>
      <c r="M915" s="15">
        <v>1</v>
      </c>
    </row>
    <row r="916" spans="1:13">
      <c r="A916" s="7">
        <v>43810</v>
      </c>
      <c r="B916" s="8">
        <v>0.52569444444444446</v>
      </c>
      <c r="C916" s="15" t="str">
        <f>"FES1162727701"</f>
        <v>FES1162727701</v>
      </c>
      <c r="D916" s="15" t="s">
        <v>19</v>
      </c>
      <c r="E916" s="15" t="s">
        <v>513</v>
      </c>
      <c r="F916" s="15" t="str">
        <f>"2170711924 "</f>
        <v xml:space="preserve">2170711924 </v>
      </c>
      <c r="G916" s="15" t="str">
        <f t="shared" si="26"/>
        <v>ON1</v>
      </c>
      <c r="H916" s="15" t="s">
        <v>21</v>
      </c>
      <c r="I916" s="15" t="s">
        <v>78</v>
      </c>
      <c r="J916" s="15" t="str">
        <f>""</f>
        <v/>
      </c>
      <c r="K916" s="15" t="str">
        <f>"PFES1162727701_0001"</f>
        <v>PFES1162727701_0001</v>
      </c>
      <c r="L916" s="15">
        <v>1</v>
      </c>
      <c r="M916" s="15">
        <v>1</v>
      </c>
    </row>
    <row r="917" spans="1:13">
      <c r="A917" s="7">
        <v>43810</v>
      </c>
      <c r="B917" s="8">
        <v>0.52083333333333337</v>
      </c>
      <c r="C917" s="15" t="str">
        <f>"FES1162727710"</f>
        <v>FES1162727710</v>
      </c>
      <c r="D917" s="15" t="s">
        <v>19</v>
      </c>
      <c r="E917" s="15" t="s">
        <v>605</v>
      </c>
      <c r="F917" s="15" t="str">
        <f>"21707185235 "</f>
        <v xml:space="preserve">21707185235 </v>
      </c>
      <c r="G917" s="15" t="str">
        <f t="shared" si="26"/>
        <v>ON1</v>
      </c>
      <c r="H917" s="15" t="s">
        <v>21</v>
      </c>
      <c r="I917" s="15" t="s">
        <v>606</v>
      </c>
      <c r="J917" s="15" t="str">
        <f>""</f>
        <v/>
      </c>
      <c r="K917" s="15" t="str">
        <f>"PFES1162727710_0001"</f>
        <v>PFES1162727710_0001</v>
      </c>
      <c r="L917" s="15">
        <v>2</v>
      </c>
      <c r="M917" s="15">
        <v>10</v>
      </c>
    </row>
    <row r="918" spans="1:13">
      <c r="A918" s="7">
        <v>43810</v>
      </c>
      <c r="B918" s="8">
        <v>0.52013888888888882</v>
      </c>
      <c r="C918" s="15" t="str">
        <f>"FES1162727742"</f>
        <v>FES1162727742</v>
      </c>
      <c r="D918" s="15" t="s">
        <v>19</v>
      </c>
      <c r="E918" s="15" t="s">
        <v>595</v>
      </c>
      <c r="F918" s="15" t="str">
        <f>"217071221 "</f>
        <v xml:space="preserve">217071221 </v>
      </c>
      <c r="G918" s="15" t="str">
        <f t="shared" si="26"/>
        <v>ON1</v>
      </c>
      <c r="H918" s="15" t="s">
        <v>21</v>
      </c>
      <c r="I918" s="15" t="s">
        <v>72</v>
      </c>
      <c r="J918" s="15" t="str">
        <f>""</f>
        <v/>
      </c>
      <c r="K918" s="15" t="str">
        <f>"PFES1162727742_0001"</f>
        <v>PFES1162727742_0001</v>
      </c>
      <c r="L918" s="15">
        <v>1</v>
      </c>
      <c r="M918" s="15">
        <v>4</v>
      </c>
    </row>
    <row r="919" spans="1:13">
      <c r="A919" s="7">
        <v>43810</v>
      </c>
      <c r="B919" s="8">
        <v>0.52013888888888882</v>
      </c>
      <c r="C919" s="15" t="str">
        <f>"FES1162727706"</f>
        <v>FES1162727706</v>
      </c>
      <c r="D919" s="15" t="s">
        <v>19</v>
      </c>
      <c r="E919" s="15" t="s">
        <v>607</v>
      </c>
      <c r="F919" s="15" t="str">
        <f>"21707191195 "</f>
        <v xml:space="preserve">21707191195 </v>
      </c>
      <c r="G919" s="15" t="str">
        <f t="shared" si="26"/>
        <v>ON1</v>
      </c>
      <c r="H919" s="15" t="s">
        <v>21</v>
      </c>
      <c r="I919" s="15" t="s">
        <v>70</v>
      </c>
      <c r="J919" s="15" t="str">
        <f>""</f>
        <v/>
      </c>
      <c r="K919" s="15" t="str">
        <f>"PFES1162727706_0001"</f>
        <v>PFES1162727706_0001</v>
      </c>
      <c r="L919" s="15">
        <v>1</v>
      </c>
      <c r="M919" s="15">
        <v>2</v>
      </c>
    </row>
    <row r="920" spans="1:13">
      <c r="A920" s="7">
        <v>43810</v>
      </c>
      <c r="B920" s="8">
        <v>0.51944444444444449</v>
      </c>
      <c r="C920" s="15" t="str">
        <f>"FES1162727819"</f>
        <v>FES1162727819</v>
      </c>
      <c r="D920" s="15" t="s">
        <v>19</v>
      </c>
      <c r="E920" s="15" t="s">
        <v>534</v>
      </c>
      <c r="F920" s="15" t="str">
        <f>"2170719492 "</f>
        <v xml:space="preserve">2170719492 </v>
      </c>
      <c r="G920" s="15" t="str">
        <f t="shared" si="26"/>
        <v>ON1</v>
      </c>
      <c r="H920" s="15" t="s">
        <v>21</v>
      </c>
      <c r="I920" s="15" t="s">
        <v>535</v>
      </c>
      <c r="J920" s="15" t="str">
        <f>""</f>
        <v/>
      </c>
      <c r="K920" s="15" t="str">
        <f>"PFES1162727819_0001"</f>
        <v>PFES1162727819_0001</v>
      </c>
      <c r="L920" s="15">
        <v>1</v>
      </c>
      <c r="M920" s="15">
        <v>3</v>
      </c>
    </row>
    <row r="921" spans="1:13">
      <c r="A921" s="7">
        <v>43810</v>
      </c>
      <c r="B921" s="8">
        <v>0.51874999999999993</v>
      </c>
      <c r="C921" s="15" t="str">
        <f>"FES1162727747"</f>
        <v>FES1162727747</v>
      </c>
      <c r="D921" s="15" t="s">
        <v>19</v>
      </c>
      <c r="E921" s="15" t="s">
        <v>167</v>
      </c>
      <c r="F921" s="15" t="str">
        <f>"21707121231 "</f>
        <v xml:space="preserve">21707121231 </v>
      </c>
      <c r="G921" s="15" t="str">
        <f t="shared" si="26"/>
        <v>ON1</v>
      </c>
      <c r="H921" s="15" t="s">
        <v>21</v>
      </c>
      <c r="I921" s="15" t="s">
        <v>168</v>
      </c>
      <c r="J921" s="15" t="str">
        <f>""</f>
        <v/>
      </c>
      <c r="K921" s="15" t="str">
        <f>"PFES1162727747_0001"</f>
        <v>PFES1162727747_0001</v>
      </c>
      <c r="L921" s="15">
        <v>1</v>
      </c>
      <c r="M921" s="15">
        <v>6</v>
      </c>
    </row>
    <row r="922" spans="1:13">
      <c r="A922" s="7">
        <v>43810</v>
      </c>
      <c r="B922" s="8">
        <v>0.51874999999999993</v>
      </c>
      <c r="C922" s="15" t="str">
        <f>"FES1162727837"</f>
        <v>FES1162727837</v>
      </c>
      <c r="D922" s="15" t="s">
        <v>19</v>
      </c>
      <c r="E922" s="15" t="s">
        <v>608</v>
      </c>
      <c r="F922" s="15" t="str">
        <f>"2170721287 "</f>
        <v xml:space="preserve">2170721287 </v>
      </c>
      <c r="G922" s="15" t="str">
        <f t="shared" si="26"/>
        <v>ON1</v>
      </c>
      <c r="H922" s="15" t="s">
        <v>21</v>
      </c>
      <c r="I922" s="15" t="s">
        <v>609</v>
      </c>
      <c r="J922" s="15" t="str">
        <f>""</f>
        <v/>
      </c>
      <c r="K922" s="15" t="str">
        <f>"PFES1162727837_0001"</f>
        <v>PFES1162727837_0001</v>
      </c>
      <c r="L922" s="15">
        <v>1</v>
      </c>
      <c r="M922" s="15">
        <v>4</v>
      </c>
    </row>
    <row r="923" spans="1:13">
      <c r="A923" s="7">
        <v>43810</v>
      </c>
      <c r="B923" s="8">
        <v>0.51874999999999993</v>
      </c>
      <c r="C923" s="15" t="str">
        <f>"FES1162727786"</f>
        <v>FES1162727786</v>
      </c>
      <c r="D923" s="15" t="s">
        <v>19</v>
      </c>
      <c r="E923" s="15" t="s">
        <v>534</v>
      </c>
      <c r="F923" s="15" t="str">
        <f>"2170716743 "</f>
        <v xml:space="preserve">2170716743 </v>
      </c>
      <c r="G923" s="15" t="str">
        <f t="shared" si="26"/>
        <v>ON1</v>
      </c>
      <c r="H923" s="15" t="s">
        <v>21</v>
      </c>
      <c r="I923" s="15" t="s">
        <v>535</v>
      </c>
      <c r="J923" s="15" t="str">
        <f>""</f>
        <v/>
      </c>
      <c r="K923" s="15" t="str">
        <f>"PFES1162727786_0001"</f>
        <v>PFES1162727786_0001</v>
      </c>
      <c r="L923" s="15">
        <v>1</v>
      </c>
      <c r="M923" s="15">
        <v>1</v>
      </c>
    </row>
    <row r="924" spans="1:13">
      <c r="A924" s="7">
        <v>43810</v>
      </c>
      <c r="B924" s="8">
        <v>0.68611111111111101</v>
      </c>
      <c r="C924" s="15" t="str">
        <f>"FES1162727902"</f>
        <v>FES1162727902</v>
      </c>
      <c r="D924" s="15" t="s">
        <v>19</v>
      </c>
      <c r="E924" s="15" t="s">
        <v>610</v>
      </c>
      <c r="F924" s="15" t="str">
        <f>"2170718502 "</f>
        <v xml:space="preserve">2170718502 </v>
      </c>
      <c r="G924" s="15" t="str">
        <f t="shared" si="26"/>
        <v>ON1</v>
      </c>
      <c r="H924" s="15" t="s">
        <v>21</v>
      </c>
      <c r="I924" s="15" t="s">
        <v>56</v>
      </c>
      <c r="J924" s="15" t="str">
        <f>""</f>
        <v/>
      </c>
      <c r="K924" s="15" t="str">
        <f>"PFES1162727902_0001"</f>
        <v>PFES1162727902_0001</v>
      </c>
      <c r="L924" s="15">
        <v>1</v>
      </c>
      <c r="M924" s="15">
        <v>1</v>
      </c>
    </row>
    <row r="925" spans="1:13">
      <c r="A925" s="7">
        <v>43810</v>
      </c>
      <c r="B925" s="8">
        <v>0.68611111111111101</v>
      </c>
      <c r="C925" s="15" t="str">
        <f>"FES1162727872"</f>
        <v>FES1162727872</v>
      </c>
      <c r="D925" s="15" t="s">
        <v>19</v>
      </c>
      <c r="E925" s="15" t="s">
        <v>99</v>
      </c>
      <c r="F925" s="15" t="str">
        <f>"2170713142 "</f>
        <v xml:space="preserve">2170713142 </v>
      </c>
      <c r="G925" s="15" t="str">
        <f t="shared" si="26"/>
        <v>ON1</v>
      </c>
      <c r="H925" s="15" t="s">
        <v>21</v>
      </c>
      <c r="I925" s="15" t="s">
        <v>100</v>
      </c>
      <c r="J925" s="15" t="str">
        <f>""</f>
        <v/>
      </c>
      <c r="K925" s="15" t="str">
        <f>"PFES1162727872_0001"</f>
        <v>PFES1162727872_0001</v>
      </c>
      <c r="L925" s="15">
        <v>1</v>
      </c>
      <c r="M925" s="15">
        <v>1</v>
      </c>
    </row>
    <row r="926" spans="1:13">
      <c r="A926" s="7">
        <v>43810</v>
      </c>
      <c r="B926" s="8">
        <v>0.68541666666666667</v>
      </c>
      <c r="C926" s="15" t="str">
        <f>"FES1162727922"</f>
        <v>FES1162727922</v>
      </c>
      <c r="D926" s="15" t="s">
        <v>19</v>
      </c>
      <c r="E926" s="15" t="s">
        <v>545</v>
      </c>
      <c r="F926" s="15" t="str">
        <f>"2170721075 "</f>
        <v xml:space="preserve">2170721075 </v>
      </c>
      <c r="G926" s="15" t="str">
        <f t="shared" si="26"/>
        <v>ON1</v>
      </c>
      <c r="H926" s="15" t="s">
        <v>21</v>
      </c>
      <c r="I926" s="15" t="s">
        <v>546</v>
      </c>
      <c r="J926" s="15" t="str">
        <f>""</f>
        <v/>
      </c>
      <c r="K926" s="15" t="str">
        <f>"PFES1162727922_0001"</f>
        <v>PFES1162727922_0001</v>
      </c>
      <c r="L926" s="15">
        <v>1</v>
      </c>
      <c r="M926" s="15">
        <v>1</v>
      </c>
    </row>
    <row r="927" spans="1:13">
      <c r="A927" s="7">
        <v>43810</v>
      </c>
      <c r="B927" s="8">
        <v>0.68541666666666667</v>
      </c>
      <c r="C927" s="15" t="str">
        <f>"FES1162727791"</f>
        <v>FES1162727791</v>
      </c>
      <c r="D927" s="15" t="s">
        <v>19</v>
      </c>
      <c r="E927" s="15" t="s">
        <v>590</v>
      </c>
      <c r="F927" s="15" t="str">
        <f>"2170718410 "</f>
        <v xml:space="preserve">2170718410 </v>
      </c>
      <c r="G927" s="15" t="str">
        <f t="shared" si="26"/>
        <v>ON1</v>
      </c>
      <c r="H927" s="15" t="s">
        <v>21</v>
      </c>
      <c r="I927" s="15" t="s">
        <v>80</v>
      </c>
      <c r="J927" s="15" t="str">
        <f>""</f>
        <v/>
      </c>
      <c r="K927" s="15" t="str">
        <f>"PFES1162727791_0001"</f>
        <v>PFES1162727791_0001</v>
      </c>
      <c r="L927" s="15">
        <v>1</v>
      </c>
      <c r="M927" s="15">
        <v>1</v>
      </c>
    </row>
    <row r="928" spans="1:13">
      <c r="A928" s="7">
        <v>43810</v>
      </c>
      <c r="B928" s="8">
        <v>0.68541666666666667</v>
      </c>
      <c r="C928" s="15" t="str">
        <f>"FES1162727946"</f>
        <v>FES1162727946</v>
      </c>
      <c r="D928" s="15" t="s">
        <v>19</v>
      </c>
      <c r="E928" s="15" t="s">
        <v>239</v>
      </c>
      <c r="F928" s="15" t="str">
        <f>"2170712434 "</f>
        <v xml:space="preserve">2170712434 </v>
      </c>
      <c r="G928" s="15" t="str">
        <f t="shared" si="26"/>
        <v>ON1</v>
      </c>
      <c r="H928" s="15" t="s">
        <v>21</v>
      </c>
      <c r="I928" s="15" t="s">
        <v>175</v>
      </c>
      <c r="J928" s="15" t="str">
        <f>""</f>
        <v/>
      </c>
      <c r="K928" s="15" t="str">
        <f>"PFES1162727946_0001"</f>
        <v>PFES1162727946_0001</v>
      </c>
      <c r="L928" s="15">
        <v>1</v>
      </c>
      <c r="M928" s="15">
        <v>1</v>
      </c>
    </row>
    <row r="929" spans="1:13">
      <c r="A929" s="7">
        <v>43810</v>
      </c>
      <c r="B929" s="8">
        <v>0.68472222222222223</v>
      </c>
      <c r="C929" s="15" t="str">
        <f>"FES1162727938"</f>
        <v>FES1162727938</v>
      </c>
      <c r="D929" s="15" t="s">
        <v>19</v>
      </c>
      <c r="E929" s="15" t="s">
        <v>611</v>
      </c>
      <c r="F929" s="15" t="str">
        <f>"2170712420 "</f>
        <v xml:space="preserve">2170712420 </v>
      </c>
      <c r="G929" s="15" t="str">
        <f t="shared" si="26"/>
        <v>ON1</v>
      </c>
      <c r="H929" s="15" t="s">
        <v>21</v>
      </c>
      <c r="I929" s="15" t="s">
        <v>317</v>
      </c>
      <c r="J929" s="15" t="str">
        <f>""</f>
        <v/>
      </c>
      <c r="K929" s="15" t="str">
        <f>"PFES1162727938_0001"</f>
        <v>PFES1162727938_0001</v>
      </c>
      <c r="L929" s="15">
        <v>1</v>
      </c>
      <c r="M929" s="15">
        <v>3</v>
      </c>
    </row>
    <row r="930" spans="1:13">
      <c r="A930" s="7">
        <v>43810</v>
      </c>
      <c r="B930" s="8">
        <v>0.67847222222222225</v>
      </c>
      <c r="C930" s="15" t="str">
        <f>"FES1162727943"</f>
        <v>FES1162727943</v>
      </c>
      <c r="D930" s="15" t="s">
        <v>19</v>
      </c>
      <c r="E930" s="15" t="s">
        <v>151</v>
      </c>
      <c r="F930" s="15" t="str">
        <f>"2170714235 "</f>
        <v xml:space="preserve">2170714235 </v>
      </c>
      <c r="G930" s="15" t="str">
        <f t="shared" si="26"/>
        <v>ON1</v>
      </c>
      <c r="H930" s="15" t="s">
        <v>21</v>
      </c>
      <c r="I930" s="15" t="s">
        <v>152</v>
      </c>
      <c r="J930" s="15" t="str">
        <f>""</f>
        <v/>
      </c>
      <c r="K930" s="15" t="str">
        <f>"PFES1162727943_0001"</f>
        <v>PFES1162727943_0001</v>
      </c>
      <c r="L930" s="15">
        <v>1</v>
      </c>
      <c r="M930" s="15">
        <v>1</v>
      </c>
    </row>
    <row r="931" spans="1:13">
      <c r="A931" s="7">
        <v>43810</v>
      </c>
      <c r="B931" s="8">
        <v>0.67847222222222225</v>
      </c>
      <c r="C931" s="15" t="str">
        <f>"FES1162727910"</f>
        <v>FES1162727910</v>
      </c>
      <c r="D931" s="15" t="s">
        <v>19</v>
      </c>
      <c r="E931" s="15" t="s">
        <v>86</v>
      </c>
      <c r="F931" s="15" t="str">
        <f>"2170712389 "</f>
        <v xml:space="preserve">2170712389 </v>
      </c>
      <c r="G931" s="15" t="str">
        <f t="shared" si="26"/>
        <v>ON1</v>
      </c>
      <c r="H931" s="15" t="s">
        <v>21</v>
      </c>
      <c r="I931" s="15" t="s">
        <v>87</v>
      </c>
      <c r="J931" s="15" t="str">
        <f>""</f>
        <v/>
      </c>
      <c r="K931" s="15" t="str">
        <f>"PFES1162727910_0001"</f>
        <v>PFES1162727910_0001</v>
      </c>
      <c r="L931" s="15">
        <v>1</v>
      </c>
      <c r="M931" s="15">
        <v>3</v>
      </c>
    </row>
    <row r="932" spans="1:13">
      <c r="A932" s="7">
        <v>43810</v>
      </c>
      <c r="B932" s="8">
        <v>0.6777777777777777</v>
      </c>
      <c r="C932" s="15" t="str">
        <f>"FES1162727849"</f>
        <v>FES1162727849</v>
      </c>
      <c r="D932" s="15" t="s">
        <v>19</v>
      </c>
      <c r="E932" s="15" t="s">
        <v>367</v>
      </c>
      <c r="F932" s="15" t="str">
        <f>"2170712308 "</f>
        <v xml:space="preserve">2170712308 </v>
      </c>
      <c r="G932" s="15" t="str">
        <f t="shared" si="26"/>
        <v>ON1</v>
      </c>
      <c r="H932" s="15" t="s">
        <v>21</v>
      </c>
      <c r="I932" s="15" t="s">
        <v>368</v>
      </c>
      <c r="J932" s="15" t="str">
        <f>""</f>
        <v/>
      </c>
      <c r="K932" s="15" t="str">
        <f>"PFES1162727849_0001"</f>
        <v>PFES1162727849_0001</v>
      </c>
      <c r="L932" s="15">
        <v>1</v>
      </c>
      <c r="M932" s="15">
        <v>3</v>
      </c>
    </row>
    <row r="933" spans="1:13">
      <c r="A933" s="7">
        <v>43810</v>
      </c>
      <c r="B933" s="8">
        <v>0.67222222222222217</v>
      </c>
      <c r="C933" s="15" t="str">
        <f>"FES1162727906"</f>
        <v>FES1162727906</v>
      </c>
      <c r="D933" s="15" t="s">
        <v>19</v>
      </c>
      <c r="E933" s="15" t="s">
        <v>44</v>
      </c>
      <c r="F933" s="15" t="str">
        <f>"2170721385 "</f>
        <v xml:space="preserve">2170721385 </v>
      </c>
      <c r="G933" s="15" t="str">
        <f t="shared" si="26"/>
        <v>ON1</v>
      </c>
      <c r="H933" s="15" t="s">
        <v>21</v>
      </c>
      <c r="I933" s="15" t="s">
        <v>45</v>
      </c>
      <c r="J933" s="15" t="str">
        <f>""</f>
        <v/>
      </c>
      <c r="K933" s="15" t="str">
        <f>"PFES1162727906_0001"</f>
        <v>PFES1162727906_0001</v>
      </c>
      <c r="L933" s="15">
        <v>1</v>
      </c>
      <c r="M933" s="15">
        <v>3</v>
      </c>
    </row>
    <row r="934" spans="1:13">
      <c r="A934" s="7">
        <v>43810</v>
      </c>
      <c r="B934" s="8">
        <v>0.67152777777777783</v>
      </c>
      <c r="C934" s="15" t="str">
        <f>"FES1162727801"</f>
        <v>FES1162727801</v>
      </c>
      <c r="D934" s="15" t="s">
        <v>19</v>
      </c>
      <c r="E934" s="15" t="s">
        <v>612</v>
      </c>
      <c r="F934" s="15" t="str">
        <f>"2170718917 "</f>
        <v xml:space="preserve">2170718917 </v>
      </c>
      <c r="G934" s="15" t="str">
        <f t="shared" si="26"/>
        <v>ON1</v>
      </c>
      <c r="H934" s="15" t="s">
        <v>21</v>
      </c>
      <c r="I934" s="15" t="s">
        <v>613</v>
      </c>
      <c r="J934" s="15" t="str">
        <f>""</f>
        <v/>
      </c>
      <c r="K934" s="15" t="str">
        <f>"PFES1162727801_0001"</f>
        <v>PFES1162727801_0001</v>
      </c>
      <c r="L934" s="15">
        <v>1</v>
      </c>
      <c r="M934" s="15">
        <v>3</v>
      </c>
    </row>
    <row r="935" spans="1:13">
      <c r="A935" s="7">
        <v>43810</v>
      </c>
      <c r="B935" s="8">
        <v>0.67013888888888884</v>
      </c>
      <c r="C935" s="15" t="str">
        <f>"FES1162727939"</f>
        <v>FES1162727939</v>
      </c>
      <c r="D935" s="15" t="s">
        <v>19</v>
      </c>
      <c r="E935" s="15" t="s">
        <v>290</v>
      </c>
      <c r="F935" s="15" t="str">
        <f>"2170721421 "</f>
        <v xml:space="preserve">2170721421 </v>
      </c>
      <c r="G935" s="15" t="str">
        <f t="shared" si="26"/>
        <v>ON1</v>
      </c>
      <c r="H935" s="15" t="s">
        <v>21</v>
      </c>
      <c r="I935" s="15" t="s">
        <v>123</v>
      </c>
      <c r="J935" s="15" t="str">
        <f>""</f>
        <v/>
      </c>
      <c r="K935" s="15" t="str">
        <f>"PFES1162727939_0001"</f>
        <v>PFES1162727939_0001</v>
      </c>
      <c r="L935" s="15">
        <v>1</v>
      </c>
      <c r="M935" s="15">
        <v>1</v>
      </c>
    </row>
    <row r="936" spans="1:13">
      <c r="A936" s="7">
        <v>43810</v>
      </c>
      <c r="B936" s="8">
        <v>0.67013888888888884</v>
      </c>
      <c r="C936" s="15" t="str">
        <f>"FES1162727928"</f>
        <v>FES1162727928</v>
      </c>
      <c r="D936" s="15" t="s">
        <v>19</v>
      </c>
      <c r="E936" s="15" t="s">
        <v>165</v>
      </c>
      <c r="F936" s="15" t="str">
        <f>"2170721408 "</f>
        <v xml:space="preserve">2170721408 </v>
      </c>
      <c r="G936" s="15" t="str">
        <f t="shared" si="26"/>
        <v>ON1</v>
      </c>
      <c r="H936" s="15" t="s">
        <v>21</v>
      </c>
      <c r="I936" s="15" t="s">
        <v>166</v>
      </c>
      <c r="J936" s="15" t="str">
        <f>""</f>
        <v/>
      </c>
      <c r="K936" s="15" t="str">
        <f>"PFES1162727928_0001"</f>
        <v>PFES1162727928_0001</v>
      </c>
      <c r="L936" s="15">
        <v>1</v>
      </c>
      <c r="M936" s="15">
        <v>10</v>
      </c>
    </row>
    <row r="937" spans="1:13">
      <c r="A937" s="7">
        <v>43810</v>
      </c>
      <c r="B937" s="8">
        <v>0.66736111111111107</v>
      </c>
      <c r="C937" s="15" t="str">
        <f>"FES1162727931"</f>
        <v>FES1162727931</v>
      </c>
      <c r="D937" s="15" t="s">
        <v>19</v>
      </c>
      <c r="E937" s="15" t="s">
        <v>614</v>
      </c>
      <c r="F937" s="15" t="str">
        <f>"2170721412 "</f>
        <v xml:space="preserve">2170721412 </v>
      </c>
      <c r="G937" s="15" t="str">
        <f t="shared" si="26"/>
        <v>ON1</v>
      </c>
      <c r="H937" s="15" t="s">
        <v>21</v>
      </c>
      <c r="I937" s="15" t="s">
        <v>147</v>
      </c>
      <c r="J937" s="15" t="str">
        <f>""</f>
        <v/>
      </c>
      <c r="K937" s="15" t="str">
        <f>"PFES1162727931_0001"</f>
        <v>PFES1162727931_0001</v>
      </c>
      <c r="L937" s="15">
        <v>1</v>
      </c>
      <c r="M937" s="15">
        <v>1</v>
      </c>
    </row>
    <row r="938" spans="1:13">
      <c r="A938" s="7">
        <v>43810</v>
      </c>
      <c r="B938" s="8">
        <v>0.66736111111111107</v>
      </c>
      <c r="C938" s="15" t="str">
        <f>"FES1162727926"</f>
        <v>FES1162727926</v>
      </c>
      <c r="D938" s="15" t="s">
        <v>19</v>
      </c>
      <c r="E938" s="15" t="s">
        <v>224</v>
      </c>
      <c r="F938" s="15" t="str">
        <f>"2170721410 "</f>
        <v xml:space="preserve">2170721410 </v>
      </c>
      <c r="G938" s="15" t="str">
        <f t="shared" si="26"/>
        <v>ON1</v>
      </c>
      <c r="H938" s="15" t="s">
        <v>21</v>
      </c>
      <c r="I938" s="15" t="s">
        <v>141</v>
      </c>
      <c r="J938" s="15" t="str">
        <f>""</f>
        <v/>
      </c>
      <c r="K938" s="15" t="str">
        <f>"PFES1162727926_0001"</f>
        <v>PFES1162727926_0001</v>
      </c>
      <c r="L938" s="15">
        <v>1</v>
      </c>
      <c r="M938" s="15">
        <v>1</v>
      </c>
    </row>
    <row r="939" spans="1:13">
      <c r="A939" s="7">
        <v>43810</v>
      </c>
      <c r="B939" s="8">
        <v>0.66666666666666663</v>
      </c>
      <c r="C939" s="15" t="str">
        <f>"FES1162727934"</f>
        <v>FES1162727934</v>
      </c>
      <c r="D939" s="15" t="s">
        <v>19</v>
      </c>
      <c r="E939" s="15" t="s">
        <v>167</v>
      </c>
      <c r="F939" s="15" t="str">
        <f>"2170721416 "</f>
        <v xml:space="preserve">2170721416 </v>
      </c>
      <c r="G939" s="15" t="str">
        <f t="shared" si="26"/>
        <v>ON1</v>
      </c>
      <c r="H939" s="15" t="s">
        <v>21</v>
      </c>
      <c r="I939" s="15" t="s">
        <v>168</v>
      </c>
      <c r="J939" s="15" t="str">
        <f>""</f>
        <v/>
      </c>
      <c r="K939" s="15" t="str">
        <f>"PFES1162727934_0001"</f>
        <v>PFES1162727934_0001</v>
      </c>
      <c r="L939" s="15">
        <v>1</v>
      </c>
      <c r="M939" s="15">
        <v>1</v>
      </c>
    </row>
    <row r="940" spans="1:13">
      <c r="A940" s="7">
        <v>43810</v>
      </c>
      <c r="B940" s="8">
        <v>0.66666666666666663</v>
      </c>
      <c r="C940" s="15" t="str">
        <f>"FES1162727932"</f>
        <v>FES1162727932</v>
      </c>
      <c r="D940" s="15" t="s">
        <v>19</v>
      </c>
      <c r="E940" s="15" t="s">
        <v>90</v>
      </c>
      <c r="F940" s="15" t="str">
        <f>"2170721413 "</f>
        <v xml:space="preserve">2170721413 </v>
      </c>
      <c r="G940" s="15" t="str">
        <f t="shared" si="26"/>
        <v>ON1</v>
      </c>
      <c r="H940" s="15" t="s">
        <v>21</v>
      </c>
      <c r="I940" s="15" t="s">
        <v>22</v>
      </c>
      <c r="J940" s="15" t="str">
        <f>""</f>
        <v/>
      </c>
      <c r="K940" s="15" t="str">
        <f>"PFES1162727932_0001"</f>
        <v>PFES1162727932_0001</v>
      </c>
      <c r="L940" s="15">
        <v>1</v>
      </c>
      <c r="M940" s="15">
        <v>1</v>
      </c>
    </row>
    <row r="941" spans="1:13">
      <c r="A941" s="7">
        <v>43810</v>
      </c>
      <c r="B941" s="8">
        <v>0.66597222222222219</v>
      </c>
      <c r="C941" s="15" t="str">
        <f>"FES1162727935"</f>
        <v>FES1162727935</v>
      </c>
      <c r="D941" s="15" t="s">
        <v>19</v>
      </c>
      <c r="E941" s="15" t="s">
        <v>42</v>
      </c>
      <c r="F941" s="15" t="str">
        <f>"2170721418 "</f>
        <v xml:space="preserve">2170721418 </v>
      </c>
      <c r="G941" s="15" t="str">
        <f t="shared" si="26"/>
        <v>ON1</v>
      </c>
      <c r="H941" s="15" t="s">
        <v>21</v>
      </c>
      <c r="I941" s="15" t="s">
        <v>43</v>
      </c>
      <c r="J941" s="15" t="str">
        <f>""</f>
        <v/>
      </c>
      <c r="K941" s="15" t="str">
        <f>"PFES1162727935_0001"</f>
        <v>PFES1162727935_0001</v>
      </c>
      <c r="L941" s="15">
        <v>1</v>
      </c>
      <c r="M941" s="15">
        <v>1</v>
      </c>
    </row>
    <row r="942" spans="1:13">
      <c r="A942" s="7">
        <v>43810</v>
      </c>
      <c r="B942" s="8">
        <v>0.66597222222222219</v>
      </c>
      <c r="C942" s="15" t="str">
        <f>"FES1162727917"</f>
        <v>FES1162727917</v>
      </c>
      <c r="D942" s="15" t="s">
        <v>19</v>
      </c>
      <c r="E942" s="15" t="s">
        <v>443</v>
      </c>
      <c r="F942" s="15" t="str">
        <f>"2170721397 "</f>
        <v xml:space="preserve">2170721397 </v>
      </c>
      <c r="G942" s="15" t="str">
        <f t="shared" si="26"/>
        <v>ON1</v>
      </c>
      <c r="H942" s="15" t="s">
        <v>21</v>
      </c>
      <c r="I942" s="15" t="s">
        <v>444</v>
      </c>
      <c r="J942" s="15" t="str">
        <f>""</f>
        <v/>
      </c>
      <c r="K942" s="15" t="str">
        <f>"PFES1162727917_0001"</f>
        <v>PFES1162727917_0001</v>
      </c>
      <c r="L942" s="15">
        <v>1</v>
      </c>
      <c r="M942" s="15">
        <v>2</v>
      </c>
    </row>
    <row r="943" spans="1:13">
      <c r="A943" s="7">
        <v>43810</v>
      </c>
      <c r="B943" s="8">
        <v>0.66597222222222219</v>
      </c>
      <c r="C943" s="15" t="str">
        <f>"FES1162727840"</f>
        <v>FES1162727840</v>
      </c>
      <c r="D943" s="15" t="s">
        <v>19</v>
      </c>
      <c r="E943" s="15" t="s">
        <v>28</v>
      </c>
      <c r="F943" s="15" t="str">
        <f>"2170721290 "</f>
        <v xml:space="preserve">2170721290 </v>
      </c>
      <c r="G943" s="15" t="str">
        <f t="shared" si="26"/>
        <v>ON1</v>
      </c>
      <c r="H943" s="15" t="s">
        <v>21</v>
      </c>
      <c r="I943" s="15" t="s">
        <v>29</v>
      </c>
      <c r="J943" s="15" t="str">
        <f>""</f>
        <v/>
      </c>
      <c r="K943" s="15" t="str">
        <f>"PFES1162727840_0001"</f>
        <v>PFES1162727840_0001</v>
      </c>
      <c r="L943" s="15">
        <v>1</v>
      </c>
      <c r="M943" s="15">
        <v>4</v>
      </c>
    </row>
    <row r="944" spans="1:13">
      <c r="A944" s="7">
        <v>43810</v>
      </c>
      <c r="B944" s="8">
        <v>0.66527777777777775</v>
      </c>
      <c r="C944" s="15" t="str">
        <f>"FES1162727909"</f>
        <v>FES1162727909</v>
      </c>
      <c r="D944" s="15" t="s">
        <v>19</v>
      </c>
      <c r="E944" s="15" t="s">
        <v>615</v>
      </c>
      <c r="F944" s="15" t="str">
        <f>"217071388 "</f>
        <v xml:space="preserve">217071388 </v>
      </c>
      <c r="G944" s="15" t="str">
        <f t="shared" si="26"/>
        <v>ON1</v>
      </c>
      <c r="H944" s="15" t="s">
        <v>21</v>
      </c>
      <c r="I944" s="15" t="s">
        <v>72</v>
      </c>
      <c r="J944" s="15" t="str">
        <f>""</f>
        <v/>
      </c>
      <c r="K944" s="15" t="str">
        <f>"PFES1162727909_0001"</f>
        <v>PFES1162727909_0001</v>
      </c>
      <c r="L944" s="15">
        <v>1</v>
      </c>
      <c r="M944" s="15">
        <v>2</v>
      </c>
    </row>
    <row r="945" spans="1:13">
      <c r="A945" s="7">
        <v>43810</v>
      </c>
      <c r="B945" s="8">
        <v>0.66388888888888886</v>
      </c>
      <c r="C945" s="15" t="str">
        <f>"FES1162727930"</f>
        <v>FES1162727930</v>
      </c>
      <c r="D945" s="15" t="s">
        <v>19</v>
      </c>
      <c r="E945" s="15" t="s">
        <v>616</v>
      </c>
      <c r="F945" s="15" t="str">
        <f>"2170712436 "</f>
        <v xml:space="preserve">2170712436 </v>
      </c>
      <c r="G945" s="15" t="str">
        <f t="shared" ref="G945" si="27">"ON1"</f>
        <v>ON1</v>
      </c>
      <c r="H945" s="15" t="s">
        <v>21</v>
      </c>
      <c r="I945" s="15" t="s">
        <v>175</v>
      </c>
      <c r="J945" s="15" t="str">
        <f>""</f>
        <v/>
      </c>
      <c r="K945" s="15" t="str">
        <f>"PFES1162727930_0001"</f>
        <v>PFES1162727930_0001</v>
      </c>
      <c r="L945" s="15">
        <v>1</v>
      </c>
      <c r="M945" s="15">
        <v>1</v>
      </c>
    </row>
    <row r="946" spans="1:13">
      <c r="A946" s="7">
        <v>43810</v>
      </c>
      <c r="B946" s="8">
        <v>0.66388888888888886</v>
      </c>
      <c r="C946" s="15" t="str">
        <f>"FES1162727914"</f>
        <v>FES1162727914</v>
      </c>
      <c r="D946" s="15" t="s">
        <v>19</v>
      </c>
      <c r="E946" s="15" t="s">
        <v>59</v>
      </c>
      <c r="F946" s="15" t="str">
        <f>"2170721393 "</f>
        <v xml:space="preserve">2170721393 </v>
      </c>
      <c r="G946" s="15" t="str">
        <f>"DBC"</f>
        <v>DBC</v>
      </c>
      <c r="H946" s="15" t="s">
        <v>21</v>
      </c>
      <c r="I946" s="15" t="s">
        <v>60</v>
      </c>
      <c r="J946" s="15" t="str">
        <f>""</f>
        <v/>
      </c>
      <c r="K946" s="15" t="str">
        <f>"PFES1162727914_0001"</f>
        <v>PFES1162727914_0001</v>
      </c>
      <c r="L946" s="15">
        <v>1</v>
      </c>
      <c r="M946" s="15">
        <v>20</v>
      </c>
    </row>
    <row r="947" spans="1:13">
      <c r="A947" s="7">
        <v>43810</v>
      </c>
      <c r="B947" s="8">
        <v>0.65555555555555556</v>
      </c>
      <c r="C947" s="15" t="str">
        <f>"FES1162727751"</f>
        <v>FES1162727751</v>
      </c>
      <c r="D947" s="15" t="s">
        <v>19</v>
      </c>
      <c r="E947" s="15" t="s">
        <v>215</v>
      </c>
      <c r="F947" s="15" t="str">
        <f>"2170711190 "</f>
        <v xml:space="preserve">2170711190 </v>
      </c>
      <c r="G947" s="15" t="str">
        <f t="shared" ref="G947:G955" si="28">"ON1"</f>
        <v>ON1</v>
      </c>
      <c r="H947" s="15" t="s">
        <v>21</v>
      </c>
      <c r="I947" s="15" t="s">
        <v>216</v>
      </c>
      <c r="J947" s="15" t="str">
        <f>""</f>
        <v/>
      </c>
      <c r="K947" s="15" t="str">
        <f>"PFES1162727751_0001"</f>
        <v>PFES1162727751_0001</v>
      </c>
      <c r="L947" s="15">
        <v>1</v>
      </c>
      <c r="M947" s="15">
        <v>11</v>
      </c>
    </row>
    <row r="948" spans="1:13">
      <c r="A948" s="7">
        <v>43810</v>
      </c>
      <c r="B948" s="8">
        <v>0.65555555555555556</v>
      </c>
      <c r="C948" s="15" t="str">
        <f>"FES1162727892"</f>
        <v>FES1162727892</v>
      </c>
      <c r="D948" s="15" t="s">
        <v>19</v>
      </c>
      <c r="E948" s="15" t="s">
        <v>617</v>
      </c>
      <c r="F948" s="15" t="str">
        <f>"217071375 "</f>
        <v xml:space="preserve">217071375 </v>
      </c>
      <c r="G948" s="15" t="str">
        <f t="shared" si="28"/>
        <v>ON1</v>
      </c>
      <c r="H948" s="15" t="s">
        <v>21</v>
      </c>
      <c r="I948" s="15" t="s">
        <v>31</v>
      </c>
      <c r="J948" s="15" t="str">
        <f>""</f>
        <v/>
      </c>
      <c r="K948" s="15" t="str">
        <f>"PFES1162727892_0001"</f>
        <v>PFES1162727892_0001</v>
      </c>
      <c r="L948" s="15">
        <v>1</v>
      </c>
      <c r="M948" s="15">
        <v>1</v>
      </c>
    </row>
    <row r="949" spans="1:13">
      <c r="A949" s="7">
        <v>43810</v>
      </c>
      <c r="B949" s="8">
        <v>0.65486111111111112</v>
      </c>
      <c r="C949" s="15" t="str">
        <f>"FES1162727882"</f>
        <v>FES1162727882</v>
      </c>
      <c r="D949" s="15" t="s">
        <v>19</v>
      </c>
      <c r="E949" s="15" t="s">
        <v>24</v>
      </c>
      <c r="F949" s="15" t="str">
        <f>"217071359 "</f>
        <v xml:space="preserve">217071359 </v>
      </c>
      <c r="G949" s="15" t="str">
        <f t="shared" si="28"/>
        <v>ON1</v>
      </c>
      <c r="H949" s="15" t="s">
        <v>21</v>
      </c>
      <c r="I949" s="15" t="s">
        <v>25</v>
      </c>
      <c r="J949" s="15" t="str">
        <f>""</f>
        <v/>
      </c>
      <c r="K949" s="15" t="str">
        <f>"PFES1162727882_0001"</f>
        <v>PFES1162727882_0001</v>
      </c>
      <c r="L949" s="15">
        <v>1</v>
      </c>
      <c r="M949" s="15">
        <v>1</v>
      </c>
    </row>
    <row r="950" spans="1:13">
      <c r="A950" s="7">
        <v>43810</v>
      </c>
      <c r="B950" s="8">
        <v>0.65486111111111112</v>
      </c>
      <c r="C950" s="15" t="str">
        <f>"FES1162727919"</f>
        <v>FES1162727919</v>
      </c>
      <c r="D950" s="15" t="s">
        <v>19</v>
      </c>
      <c r="E950" s="15" t="s">
        <v>543</v>
      </c>
      <c r="F950" s="15" t="str">
        <f>"217071406 "</f>
        <v xml:space="preserve">217071406 </v>
      </c>
      <c r="G950" s="15" t="str">
        <f t="shared" si="28"/>
        <v>ON1</v>
      </c>
      <c r="H950" s="15" t="s">
        <v>21</v>
      </c>
      <c r="I950" s="15" t="s">
        <v>544</v>
      </c>
      <c r="J950" s="15" t="str">
        <f>""</f>
        <v/>
      </c>
      <c r="K950" s="15" t="str">
        <f>"PFES1162727919_0001"</f>
        <v>PFES1162727919_0001</v>
      </c>
      <c r="L950" s="15">
        <v>1</v>
      </c>
      <c r="M950" s="15">
        <v>3</v>
      </c>
    </row>
    <row r="951" spans="1:13">
      <c r="A951" s="7">
        <v>43810</v>
      </c>
      <c r="B951" s="8">
        <v>0.65277777777777779</v>
      </c>
      <c r="C951" s="15" t="str">
        <f>"FES1162727766"</f>
        <v>FES1162727766</v>
      </c>
      <c r="D951" s="15" t="s">
        <v>19</v>
      </c>
      <c r="E951" s="15" t="s">
        <v>291</v>
      </c>
      <c r="F951" s="15" t="str">
        <f>"2170721251 "</f>
        <v xml:space="preserve">2170721251 </v>
      </c>
      <c r="G951" s="15" t="str">
        <f t="shared" si="28"/>
        <v>ON1</v>
      </c>
      <c r="H951" s="15" t="s">
        <v>21</v>
      </c>
      <c r="I951" s="15" t="s">
        <v>41</v>
      </c>
      <c r="J951" s="15" t="str">
        <f>""</f>
        <v/>
      </c>
      <c r="K951" s="15" t="str">
        <f>"PFES1162727766_0001"</f>
        <v>PFES1162727766_0001</v>
      </c>
      <c r="L951" s="15">
        <v>1</v>
      </c>
      <c r="M951" s="15">
        <v>10</v>
      </c>
    </row>
    <row r="952" spans="1:13">
      <c r="A952" s="7">
        <v>43810</v>
      </c>
      <c r="B952" s="8">
        <v>0.65277777777777779</v>
      </c>
      <c r="C952" s="15" t="str">
        <f>"FES1162727789"</f>
        <v>FES1162727789</v>
      </c>
      <c r="D952" s="15" t="s">
        <v>19</v>
      </c>
      <c r="E952" s="15" t="s">
        <v>44</v>
      </c>
      <c r="F952" s="15" t="str">
        <f>"21707817827 "</f>
        <v xml:space="preserve">21707817827 </v>
      </c>
      <c r="G952" s="15" t="str">
        <f t="shared" si="28"/>
        <v>ON1</v>
      </c>
      <c r="H952" s="15" t="s">
        <v>21</v>
      </c>
      <c r="I952" s="15" t="s">
        <v>45</v>
      </c>
      <c r="J952" s="15" t="str">
        <f>""</f>
        <v/>
      </c>
      <c r="K952" s="15" t="str">
        <f>"PFES1162727789_0001"</f>
        <v>PFES1162727789_0001</v>
      </c>
      <c r="L952" s="15">
        <v>1</v>
      </c>
      <c r="M952" s="15">
        <v>1</v>
      </c>
    </row>
    <row r="953" spans="1:13">
      <c r="A953" s="7">
        <v>43810</v>
      </c>
      <c r="B953" s="8">
        <v>0.65208333333333335</v>
      </c>
      <c r="C953" s="15" t="str">
        <f>"FES1162727788"</f>
        <v>FES1162727788</v>
      </c>
      <c r="D953" s="15" t="s">
        <v>19</v>
      </c>
      <c r="E953" s="15" t="s">
        <v>101</v>
      </c>
      <c r="F953" s="15" t="str">
        <f>"2170717675 "</f>
        <v xml:space="preserve">2170717675 </v>
      </c>
      <c r="G953" s="15" t="str">
        <f t="shared" si="28"/>
        <v>ON1</v>
      </c>
      <c r="H953" s="15" t="s">
        <v>21</v>
      </c>
      <c r="I953" s="15" t="s">
        <v>102</v>
      </c>
      <c r="J953" s="15" t="str">
        <f>""</f>
        <v/>
      </c>
      <c r="K953" s="15" t="str">
        <f>"PFES1162727788_0001"</f>
        <v>PFES1162727788_0001</v>
      </c>
      <c r="L953" s="15">
        <v>1</v>
      </c>
      <c r="M953" s="15">
        <v>6</v>
      </c>
    </row>
    <row r="954" spans="1:13">
      <c r="A954" s="7">
        <v>43810</v>
      </c>
      <c r="B954" s="8">
        <v>0.65208333333333335</v>
      </c>
      <c r="C954" s="15" t="str">
        <f>"FES1162727891"</f>
        <v>FES1162727891</v>
      </c>
      <c r="D954" s="15" t="s">
        <v>19</v>
      </c>
      <c r="E954" s="15" t="s">
        <v>217</v>
      </c>
      <c r="F954" s="15" t="str">
        <f>"2170717373 "</f>
        <v xml:space="preserve">2170717373 </v>
      </c>
      <c r="G954" s="15" t="str">
        <f t="shared" si="28"/>
        <v>ON1</v>
      </c>
      <c r="H954" s="15" t="s">
        <v>21</v>
      </c>
      <c r="I954" s="15" t="s">
        <v>102</v>
      </c>
      <c r="J954" s="15" t="str">
        <f>""</f>
        <v/>
      </c>
      <c r="K954" s="15" t="str">
        <f>"PFES1162727891_0001"</f>
        <v>PFES1162727891_0001</v>
      </c>
      <c r="L954" s="15">
        <v>2</v>
      </c>
      <c r="M954" s="15">
        <v>6</v>
      </c>
    </row>
    <row r="955" spans="1:13">
      <c r="A955" s="7">
        <v>43810</v>
      </c>
      <c r="B955" s="8">
        <v>0.65208333333333335</v>
      </c>
      <c r="C955" s="15" t="str">
        <f>"FES1162727891"</f>
        <v>FES1162727891</v>
      </c>
      <c r="D955" s="15" t="s">
        <v>19</v>
      </c>
      <c r="E955" s="15" t="s">
        <v>217</v>
      </c>
      <c r="F955" s="15" t="str">
        <f>"2170717373 "</f>
        <v xml:space="preserve">2170717373 </v>
      </c>
      <c r="G955" s="15" t="str">
        <f t="shared" si="28"/>
        <v>ON1</v>
      </c>
      <c r="H955" s="15" t="s">
        <v>21</v>
      </c>
      <c r="I955" s="15" t="s">
        <v>102</v>
      </c>
      <c r="J955" s="15"/>
      <c r="K955" s="15" t="str">
        <f>"PFES1162727891_0002"</f>
        <v>PFES1162727891_0002</v>
      </c>
      <c r="L955" s="15">
        <v>2</v>
      </c>
      <c r="M955" s="15">
        <v>6</v>
      </c>
    </row>
    <row r="956" spans="1:13">
      <c r="A956" s="7">
        <v>43810</v>
      </c>
      <c r="B956" s="8">
        <v>0.65138888888888891</v>
      </c>
      <c r="C956" s="15" t="str">
        <f>"FES1162727785"</f>
        <v>FES1162727785</v>
      </c>
      <c r="D956" s="15" t="s">
        <v>19</v>
      </c>
      <c r="E956" s="15" t="s">
        <v>260</v>
      </c>
      <c r="F956" s="15" t="str">
        <f>"2170714525 "</f>
        <v xml:space="preserve">2170714525 </v>
      </c>
      <c r="G956" s="15" t="str">
        <f>"ON1"</f>
        <v>ON1</v>
      </c>
      <c r="H956" s="15" t="s">
        <v>21</v>
      </c>
      <c r="I956" s="15" t="s">
        <v>216</v>
      </c>
      <c r="J956" s="15" t="str">
        <f>""</f>
        <v/>
      </c>
      <c r="K956" s="15" t="str">
        <f>"PFES1162727785_0001"</f>
        <v>PFES1162727785_0001</v>
      </c>
      <c r="L956" s="15">
        <v>2</v>
      </c>
      <c r="M956" s="15">
        <v>7</v>
      </c>
    </row>
    <row r="957" spans="1:13">
      <c r="A957" s="7">
        <v>43810</v>
      </c>
      <c r="B957" s="8">
        <v>0.65138888888888891</v>
      </c>
      <c r="C957" s="15" t="str">
        <f>"FES1162727785"</f>
        <v>FES1162727785</v>
      </c>
      <c r="D957" s="15" t="s">
        <v>19</v>
      </c>
      <c r="E957" s="15" t="s">
        <v>260</v>
      </c>
      <c r="F957" s="15" t="str">
        <f>"2170714525 "</f>
        <v xml:space="preserve">2170714525 </v>
      </c>
      <c r="G957" s="15" t="str">
        <f>"ON1"</f>
        <v>ON1</v>
      </c>
      <c r="H957" s="15" t="s">
        <v>21</v>
      </c>
      <c r="I957" s="15" t="s">
        <v>216</v>
      </c>
      <c r="J957" s="15"/>
      <c r="K957" s="15" t="str">
        <f>"PFES1162727785_0002"</f>
        <v>PFES1162727785_0002</v>
      </c>
      <c r="L957" s="15">
        <v>2</v>
      </c>
      <c r="M957" s="15">
        <v>7</v>
      </c>
    </row>
    <row r="958" spans="1:13">
      <c r="A958" s="7">
        <v>43810</v>
      </c>
      <c r="B958" s="8">
        <v>0.65138888888888891</v>
      </c>
      <c r="C958" s="15" t="str">
        <f>"FES1162727880"</f>
        <v>FES1162727880</v>
      </c>
      <c r="D958" s="15" t="s">
        <v>19</v>
      </c>
      <c r="E958" s="15" t="s">
        <v>618</v>
      </c>
      <c r="F958" s="15" t="str">
        <f>"217071357 "</f>
        <v xml:space="preserve">217071357 </v>
      </c>
      <c r="G958" s="15" t="str">
        <f t="shared" ref="G958:G1021" si="29">"ON1"</f>
        <v>ON1</v>
      </c>
      <c r="H958" s="15" t="s">
        <v>21</v>
      </c>
      <c r="I958" s="15" t="s">
        <v>415</v>
      </c>
      <c r="J958" s="15" t="str">
        <f>""</f>
        <v/>
      </c>
      <c r="K958" s="15" t="str">
        <f>"PFES1162727880_0001"</f>
        <v>PFES1162727880_0001</v>
      </c>
      <c r="L958" s="15">
        <v>1</v>
      </c>
      <c r="M958" s="15">
        <v>9</v>
      </c>
    </row>
    <row r="959" spans="1:13">
      <c r="A959" s="7">
        <v>43810</v>
      </c>
      <c r="B959" s="8">
        <v>0.65069444444444446</v>
      </c>
      <c r="C959" s="15" t="str">
        <f>"FES1162727901"</f>
        <v>FES1162727901</v>
      </c>
      <c r="D959" s="15" t="s">
        <v>19</v>
      </c>
      <c r="E959" s="15" t="s">
        <v>619</v>
      </c>
      <c r="F959" s="15" t="str">
        <f>"2170712014 "</f>
        <v xml:space="preserve">2170712014 </v>
      </c>
      <c r="G959" s="15" t="str">
        <f t="shared" si="29"/>
        <v>ON1</v>
      </c>
      <c r="H959" s="15" t="s">
        <v>21</v>
      </c>
      <c r="I959" s="15" t="s">
        <v>620</v>
      </c>
      <c r="J959" s="15" t="str">
        <f>""</f>
        <v/>
      </c>
      <c r="K959" s="15" t="str">
        <f>"PFES1162727901_0001"</f>
        <v>PFES1162727901_0001</v>
      </c>
      <c r="L959" s="15">
        <v>1</v>
      </c>
      <c r="M959" s="15">
        <v>4</v>
      </c>
    </row>
    <row r="960" spans="1:13">
      <c r="A960" s="7">
        <v>43810</v>
      </c>
      <c r="B960" s="8">
        <v>0.65069444444444446</v>
      </c>
      <c r="C960" s="15" t="str">
        <f>"FES1162727896"</f>
        <v>FES1162727896</v>
      </c>
      <c r="D960" s="15" t="s">
        <v>19</v>
      </c>
      <c r="E960" s="15" t="s">
        <v>621</v>
      </c>
      <c r="F960" s="15" t="str">
        <f>"2170718941 "</f>
        <v xml:space="preserve">2170718941 </v>
      </c>
      <c r="G960" s="15" t="str">
        <f t="shared" si="29"/>
        <v>ON1</v>
      </c>
      <c r="H960" s="15" t="s">
        <v>21</v>
      </c>
      <c r="I960" s="15" t="s">
        <v>161</v>
      </c>
      <c r="J960" s="15" t="str">
        <f>""</f>
        <v/>
      </c>
      <c r="K960" s="15" t="str">
        <f>"PFES1162727896_0001"</f>
        <v>PFES1162727896_0001</v>
      </c>
      <c r="L960" s="15">
        <v>1</v>
      </c>
      <c r="M960" s="15">
        <v>3</v>
      </c>
    </row>
    <row r="961" spans="1:13">
      <c r="A961" s="7">
        <v>43810</v>
      </c>
      <c r="B961" s="8">
        <v>0.65</v>
      </c>
      <c r="C961" s="15" t="str">
        <f>"FES1162727893"</f>
        <v>FES1162727893</v>
      </c>
      <c r="D961" s="15" t="s">
        <v>19</v>
      </c>
      <c r="E961" s="15" t="s">
        <v>611</v>
      </c>
      <c r="F961" s="15" t="str">
        <f>"217071376 "</f>
        <v xml:space="preserve">217071376 </v>
      </c>
      <c r="G961" s="15" t="str">
        <f t="shared" si="29"/>
        <v>ON1</v>
      </c>
      <c r="H961" s="15" t="s">
        <v>21</v>
      </c>
      <c r="I961" s="15" t="s">
        <v>317</v>
      </c>
      <c r="J961" s="15" t="str">
        <f>""</f>
        <v/>
      </c>
      <c r="K961" s="15" t="str">
        <f>"PFES1162727893_0001"</f>
        <v>PFES1162727893_0001</v>
      </c>
      <c r="L961" s="15">
        <v>1</v>
      </c>
      <c r="M961" s="15">
        <v>1</v>
      </c>
    </row>
    <row r="962" spans="1:13">
      <c r="A962" s="7">
        <v>43810</v>
      </c>
      <c r="B962" s="8">
        <v>0.6479166666666667</v>
      </c>
      <c r="C962" s="15" t="str">
        <f>"FES1162727929"</f>
        <v>FES1162727929</v>
      </c>
      <c r="D962" s="15" t="s">
        <v>19</v>
      </c>
      <c r="E962" s="15" t="s">
        <v>488</v>
      </c>
      <c r="F962" s="15" t="str">
        <f>"217071844 "</f>
        <v xml:space="preserve">217071844 </v>
      </c>
      <c r="G962" s="15" t="str">
        <f t="shared" si="29"/>
        <v>ON1</v>
      </c>
      <c r="H962" s="15" t="s">
        <v>21</v>
      </c>
      <c r="I962" s="15" t="s">
        <v>489</v>
      </c>
      <c r="J962" s="15" t="str">
        <f>""</f>
        <v/>
      </c>
      <c r="K962" s="15" t="str">
        <f>"PFES1162727929_0001"</f>
        <v>PFES1162727929_0001</v>
      </c>
      <c r="L962" s="15">
        <v>1</v>
      </c>
      <c r="M962" s="15">
        <v>1</v>
      </c>
    </row>
    <row r="963" spans="1:13">
      <c r="A963" s="7">
        <v>43810</v>
      </c>
      <c r="B963" s="8">
        <v>0.62847222222222221</v>
      </c>
      <c r="C963" s="15" t="str">
        <f>"FES1162727895"</f>
        <v>FES1162727895</v>
      </c>
      <c r="D963" s="15" t="s">
        <v>19</v>
      </c>
      <c r="E963" s="15" t="s">
        <v>622</v>
      </c>
      <c r="F963" s="15" t="str">
        <f>"217071738 "</f>
        <v xml:space="preserve">217071738 </v>
      </c>
      <c r="G963" s="15" t="str">
        <f t="shared" si="29"/>
        <v>ON1</v>
      </c>
      <c r="H963" s="15" t="s">
        <v>21</v>
      </c>
      <c r="I963" s="15" t="s">
        <v>623</v>
      </c>
      <c r="J963" s="15" t="str">
        <f>""</f>
        <v/>
      </c>
      <c r="K963" s="15" t="str">
        <f>"PFES1162727895_0001"</f>
        <v>PFES1162727895_0001</v>
      </c>
      <c r="L963" s="15">
        <v>1</v>
      </c>
      <c r="M963" s="15">
        <v>2</v>
      </c>
    </row>
    <row r="964" spans="1:13">
      <c r="A964" s="7">
        <v>43810</v>
      </c>
      <c r="B964" s="8">
        <v>0.62777777777777777</v>
      </c>
      <c r="C964" s="15" t="str">
        <f>"FES1162727881"</f>
        <v>FES1162727881</v>
      </c>
      <c r="D964" s="15" t="s">
        <v>19</v>
      </c>
      <c r="E964" s="15" t="s">
        <v>28</v>
      </c>
      <c r="F964" s="15" t="str">
        <f>"217071358 "</f>
        <v xml:space="preserve">217071358 </v>
      </c>
      <c r="G964" s="15" t="str">
        <f t="shared" si="29"/>
        <v>ON1</v>
      </c>
      <c r="H964" s="15" t="s">
        <v>21</v>
      </c>
      <c r="I964" s="15" t="s">
        <v>29</v>
      </c>
      <c r="J964" s="15" t="str">
        <f>""</f>
        <v/>
      </c>
      <c r="K964" s="15" t="str">
        <f>"PFES1162727881_0001"</f>
        <v>PFES1162727881_0001</v>
      </c>
      <c r="L964" s="15">
        <v>1</v>
      </c>
      <c r="M964" s="15">
        <v>2</v>
      </c>
    </row>
    <row r="965" spans="1:13">
      <c r="A965" s="7">
        <v>43810</v>
      </c>
      <c r="B965" s="8">
        <v>0.62777777777777777</v>
      </c>
      <c r="C965" s="15" t="str">
        <f>"FES1162727867"</f>
        <v>FES1162727867</v>
      </c>
      <c r="D965" s="15" t="s">
        <v>19</v>
      </c>
      <c r="E965" s="15" t="s">
        <v>447</v>
      </c>
      <c r="F965" s="15" t="str">
        <f>"2170721333 "</f>
        <v xml:space="preserve">2170721333 </v>
      </c>
      <c r="G965" s="15" t="str">
        <f t="shared" si="29"/>
        <v>ON1</v>
      </c>
      <c r="H965" s="15" t="s">
        <v>21</v>
      </c>
      <c r="I965" s="15" t="s">
        <v>158</v>
      </c>
      <c r="J965" s="15" t="str">
        <f>""</f>
        <v/>
      </c>
      <c r="K965" s="15" t="str">
        <f>"PFES1162727867_0001"</f>
        <v>PFES1162727867_0001</v>
      </c>
      <c r="L965" s="15">
        <v>1</v>
      </c>
      <c r="M965" s="15">
        <v>1</v>
      </c>
    </row>
    <row r="966" spans="1:13">
      <c r="A966" s="7">
        <v>43810</v>
      </c>
      <c r="B966" s="8">
        <v>0.61805555555555558</v>
      </c>
      <c r="C966" s="15" t="str">
        <f>"FES1162727732"</f>
        <v>FES1162727732</v>
      </c>
      <c r="D966" s="15" t="s">
        <v>19</v>
      </c>
      <c r="E966" s="15" t="s">
        <v>354</v>
      </c>
      <c r="F966" s="15" t="str">
        <f>"2170721185 "</f>
        <v xml:space="preserve">2170721185 </v>
      </c>
      <c r="G966" s="15" t="str">
        <f t="shared" si="29"/>
        <v>ON1</v>
      </c>
      <c r="H966" s="15" t="s">
        <v>21</v>
      </c>
      <c r="I966" s="15" t="s">
        <v>355</v>
      </c>
      <c r="J966" s="15" t="str">
        <f>""</f>
        <v/>
      </c>
      <c r="K966" s="15" t="str">
        <f>"PFES1162727732_0001"</f>
        <v>PFES1162727732_0001</v>
      </c>
      <c r="L966" s="15">
        <v>1</v>
      </c>
      <c r="M966" s="15">
        <v>1</v>
      </c>
    </row>
    <row r="967" spans="1:13">
      <c r="A967" s="7">
        <v>43810</v>
      </c>
      <c r="B967" s="8">
        <v>0.61736111111111114</v>
      </c>
      <c r="C967" s="15" t="str">
        <f>"FES1162727860"</f>
        <v>FES1162727860</v>
      </c>
      <c r="D967" s="15" t="s">
        <v>19</v>
      </c>
      <c r="E967" s="15" t="s">
        <v>256</v>
      </c>
      <c r="F967" s="15" t="str">
        <f>"2170721322 "</f>
        <v xml:space="preserve">2170721322 </v>
      </c>
      <c r="G967" s="15" t="str">
        <f t="shared" si="29"/>
        <v>ON1</v>
      </c>
      <c r="H967" s="15" t="s">
        <v>21</v>
      </c>
      <c r="I967" s="15" t="s">
        <v>257</v>
      </c>
      <c r="J967" s="15" t="str">
        <f>""</f>
        <v/>
      </c>
      <c r="K967" s="15" t="str">
        <f>"PFES1162727860_0001"</f>
        <v>PFES1162727860_0001</v>
      </c>
      <c r="L967" s="15">
        <v>1</v>
      </c>
      <c r="M967" s="15">
        <v>1</v>
      </c>
    </row>
    <row r="968" spans="1:13">
      <c r="A968" s="7">
        <v>43810</v>
      </c>
      <c r="B968" s="8">
        <v>0.61736111111111114</v>
      </c>
      <c r="C968" s="15" t="str">
        <f>"FES1162727868"</f>
        <v>FES1162727868</v>
      </c>
      <c r="D968" s="15" t="s">
        <v>19</v>
      </c>
      <c r="E968" s="15" t="s">
        <v>236</v>
      </c>
      <c r="F968" s="15" t="str">
        <f>"2170721336 "</f>
        <v xml:space="preserve">2170721336 </v>
      </c>
      <c r="G968" s="15" t="str">
        <f t="shared" si="29"/>
        <v>ON1</v>
      </c>
      <c r="H968" s="15" t="s">
        <v>21</v>
      </c>
      <c r="I968" s="15" t="s">
        <v>237</v>
      </c>
      <c r="J968" s="15" t="str">
        <f>""</f>
        <v/>
      </c>
      <c r="K968" s="15" t="str">
        <f>"PFES1162727868_0001"</f>
        <v>PFES1162727868_0001</v>
      </c>
      <c r="L968" s="15">
        <v>1</v>
      </c>
      <c r="M968" s="15">
        <v>1</v>
      </c>
    </row>
    <row r="969" spans="1:13">
      <c r="A969" s="7">
        <v>43810</v>
      </c>
      <c r="B969" s="8">
        <v>0.61736111111111114</v>
      </c>
      <c r="C969" s="15" t="str">
        <f>"FES1162727876"</f>
        <v>FES1162727876</v>
      </c>
      <c r="D969" s="15" t="s">
        <v>19</v>
      </c>
      <c r="E969" s="15" t="s">
        <v>519</v>
      </c>
      <c r="F969" s="15" t="str">
        <f>"2170721351 "</f>
        <v xml:space="preserve">2170721351 </v>
      </c>
      <c r="G969" s="15" t="str">
        <f t="shared" si="29"/>
        <v>ON1</v>
      </c>
      <c r="H969" s="15" t="s">
        <v>21</v>
      </c>
      <c r="I969" s="15" t="s">
        <v>119</v>
      </c>
      <c r="J969" s="15" t="str">
        <f>""</f>
        <v/>
      </c>
      <c r="K969" s="15" t="str">
        <f>"PFES1162727876_0001"</f>
        <v>PFES1162727876_0001</v>
      </c>
      <c r="L969" s="15">
        <v>1</v>
      </c>
      <c r="M969" s="15">
        <v>1</v>
      </c>
    </row>
    <row r="970" spans="1:13">
      <c r="A970" s="7">
        <v>43810</v>
      </c>
      <c r="B970" s="8">
        <v>0.6166666666666667</v>
      </c>
      <c r="C970" s="15" t="str">
        <f>"FES1162727907"</f>
        <v>FES1162727907</v>
      </c>
      <c r="D970" s="15" t="s">
        <v>19</v>
      </c>
      <c r="E970" s="15" t="s">
        <v>395</v>
      </c>
      <c r="F970" s="15" t="str">
        <f>"21707221386 "</f>
        <v xml:space="preserve">21707221386 </v>
      </c>
      <c r="G970" s="15" t="str">
        <f t="shared" si="29"/>
        <v>ON1</v>
      </c>
      <c r="H970" s="15" t="s">
        <v>21</v>
      </c>
      <c r="I970" s="15" t="s">
        <v>396</v>
      </c>
      <c r="J970" s="15" t="str">
        <f>""</f>
        <v/>
      </c>
      <c r="K970" s="15" t="str">
        <f>"PFES1162727907_0001"</f>
        <v>PFES1162727907_0001</v>
      </c>
      <c r="L970" s="15">
        <v>1</v>
      </c>
      <c r="M970" s="15">
        <v>3</v>
      </c>
    </row>
    <row r="971" spans="1:13">
      <c r="A971" s="7">
        <v>43810</v>
      </c>
      <c r="B971" s="8">
        <v>0.6166666666666667</v>
      </c>
      <c r="C971" s="15" t="str">
        <f>"FES1162727794"</f>
        <v>FES1162727794</v>
      </c>
      <c r="D971" s="15" t="s">
        <v>19</v>
      </c>
      <c r="E971" s="15" t="s">
        <v>552</v>
      </c>
      <c r="F971" s="15" t="str">
        <f>"2170718686 "</f>
        <v xml:space="preserve">2170718686 </v>
      </c>
      <c r="G971" s="15" t="str">
        <f t="shared" si="29"/>
        <v>ON1</v>
      </c>
      <c r="H971" s="15" t="s">
        <v>21</v>
      </c>
      <c r="I971" s="15" t="s">
        <v>54</v>
      </c>
      <c r="J971" s="15" t="str">
        <f>""</f>
        <v/>
      </c>
      <c r="K971" s="15" t="str">
        <f>"PFES1162727794_0001"</f>
        <v>PFES1162727794_0001</v>
      </c>
      <c r="L971" s="15">
        <v>1</v>
      </c>
      <c r="M971" s="15">
        <v>8</v>
      </c>
    </row>
    <row r="972" spans="1:13">
      <c r="A972" s="7">
        <v>43810</v>
      </c>
      <c r="B972" s="8">
        <v>0.61597222222222225</v>
      </c>
      <c r="C972" s="15" t="str">
        <f>"FES1162727869"</f>
        <v>FES1162727869</v>
      </c>
      <c r="D972" s="15" t="s">
        <v>19</v>
      </c>
      <c r="E972" s="15" t="s">
        <v>103</v>
      </c>
      <c r="F972" s="15" t="str">
        <f>"2170721337 "</f>
        <v xml:space="preserve">2170721337 </v>
      </c>
      <c r="G972" s="15" t="str">
        <f t="shared" si="29"/>
        <v>ON1</v>
      </c>
      <c r="H972" s="15" t="s">
        <v>21</v>
      </c>
      <c r="I972" s="15" t="s">
        <v>158</v>
      </c>
      <c r="J972" s="15" t="str">
        <f>""</f>
        <v/>
      </c>
      <c r="K972" s="15" t="str">
        <f>"PFES1162727869_0001"</f>
        <v>PFES1162727869_0001</v>
      </c>
      <c r="L972" s="15">
        <v>1</v>
      </c>
      <c r="M972" s="15">
        <v>2</v>
      </c>
    </row>
    <row r="973" spans="1:13">
      <c r="A973" s="7">
        <v>43810</v>
      </c>
      <c r="B973" s="8">
        <v>0.61597222222222225</v>
      </c>
      <c r="C973" s="15" t="str">
        <f>"FES1162727894"</f>
        <v>FES1162727894</v>
      </c>
      <c r="D973" s="15" t="s">
        <v>19</v>
      </c>
      <c r="E973" s="15" t="s">
        <v>443</v>
      </c>
      <c r="F973" s="15" t="str">
        <f>"217071377 "</f>
        <v xml:space="preserve">217071377 </v>
      </c>
      <c r="G973" s="15" t="str">
        <f t="shared" si="29"/>
        <v>ON1</v>
      </c>
      <c r="H973" s="15" t="s">
        <v>21</v>
      </c>
      <c r="I973" s="15" t="s">
        <v>444</v>
      </c>
      <c r="J973" s="15" t="str">
        <f>""</f>
        <v/>
      </c>
      <c r="K973" s="15" t="str">
        <f>"PFES1162727894_0001"</f>
        <v>PFES1162727894_0001</v>
      </c>
      <c r="L973" s="15">
        <v>1</v>
      </c>
      <c r="M973" s="15">
        <v>8</v>
      </c>
    </row>
    <row r="974" spans="1:13">
      <c r="A974" s="7">
        <v>43810</v>
      </c>
      <c r="B974" s="8">
        <v>0.61319444444444449</v>
      </c>
      <c r="C974" s="15" t="str">
        <f>"FES1162727764"</f>
        <v>FES1162727764</v>
      </c>
      <c r="D974" s="15" t="s">
        <v>19</v>
      </c>
      <c r="E974" s="15" t="s">
        <v>205</v>
      </c>
      <c r="F974" s="15" t="str">
        <f>"2170721248 "</f>
        <v xml:space="preserve">2170721248 </v>
      </c>
      <c r="G974" s="15" t="str">
        <f t="shared" si="29"/>
        <v>ON1</v>
      </c>
      <c r="H974" s="15" t="s">
        <v>21</v>
      </c>
      <c r="I974" s="15" t="s">
        <v>206</v>
      </c>
      <c r="J974" s="15" t="str">
        <f>""</f>
        <v/>
      </c>
      <c r="K974" s="15" t="str">
        <f>"PFES1162727764_0001"</f>
        <v>PFES1162727764_0001</v>
      </c>
      <c r="L974" s="15">
        <v>1</v>
      </c>
      <c r="M974" s="15">
        <v>1</v>
      </c>
    </row>
    <row r="975" spans="1:13">
      <c r="A975" s="7">
        <v>43810</v>
      </c>
      <c r="B975" s="8">
        <v>0.61319444444444449</v>
      </c>
      <c r="C975" s="15" t="str">
        <f>"FES1162727879"</f>
        <v>FES1162727879</v>
      </c>
      <c r="D975" s="15" t="s">
        <v>19</v>
      </c>
      <c r="E975" s="15" t="s">
        <v>624</v>
      </c>
      <c r="F975" s="15" t="str">
        <f>"2170721355 "</f>
        <v xml:space="preserve">2170721355 </v>
      </c>
      <c r="G975" s="15" t="str">
        <f t="shared" si="29"/>
        <v>ON1</v>
      </c>
      <c r="H975" s="15" t="s">
        <v>21</v>
      </c>
      <c r="I975" s="15" t="s">
        <v>625</v>
      </c>
      <c r="J975" s="15" t="str">
        <f>""</f>
        <v/>
      </c>
      <c r="K975" s="15" t="str">
        <f>"PFES1162727879_0001"</f>
        <v>PFES1162727879_0001</v>
      </c>
      <c r="L975" s="15">
        <v>1</v>
      </c>
      <c r="M975" s="15">
        <v>1</v>
      </c>
    </row>
    <row r="976" spans="1:13">
      <c r="A976" s="7">
        <v>43810</v>
      </c>
      <c r="B976" s="8">
        <v>0.61249999999999993</v>
      </c>
      <c r="C976" s="15" t="str">
        <f>"FES1162727874"</f>
        <v>FES1162727874</v>
      </c>
      <c r="D976" s="15" t="s">
        <v>19</v>
      </c>
      <c r="E976" s="15" t="s">
        <v>200</v>
      </c>
      <c r="F976" s="15" t="str">
        <f>"21707121349 "</f>
        <v xml:space="preserve">21707121349 </v>
      </c>
      <c r="G976" s="15" t="str">
        <f t="shared" si="29"/>
        <v>ON1</v>
      </c>
      <c r="H976" s="15" t="s">
        <v>21</v>
      </c>
      <c r="I976" s="15" t="s">
        <v>201</v>
      </c>
      <c r="J976" s="15" t="str">
        <f>""</f>
        <v/>
      </c>
      <c r="K976" s="15" t="str">
        <f>"PFES1162727874_0001"</f>
        <v>PFES1162727874_0001</v>
      </c>
      <c r="L976" s="15">
        <v>1</v>
      </c>
      <c r="M976" s="15">
        <v>1</v>
      </c>
    </row>
    <row r="977" spans="1:13">
      <c r="A977" s="7">
        <v>43810</v>
      </c>
      <c r="B977" s="8">
        <v>0.61249999999999993</v>
      </c>
      <c r="C977" s="15" t="str">
        <f>"FES1162727878"</f>
        <v>FES1162727878</v>
      </c>
      <c r="D977" s="15" t="s">
        <v>19</v>
      </c>
      <c r="E977" s="15" t="s">
        <v>234</v>
      </c>
      <c r="F977" s="15" t="str">
        <f>"21707123532 "</f>
        <v xml:space="preserve">21707123532 </v>
      </c>
      <c r="G977" s="15" t="str">
        <f t="shared" si="29"/>
        <v>ON1</v>
      </c>
      <c r="H977" s="15" t="s">
        <v>21</v>
      </c>
      <c r="I977" s="15" t="s">
        <v>235</v>
      </c>
      <c r="J977" s="15" t="str">
        <f>""</f>
        <v/>
      </c>
      <c r="K977" s="15" t="str">
        <f>"PFES1162727878_0001"</f>
        <v>PFES1162727878_0001</v>
      </c>
      <c r="L977" s="15">
        <v>1</v>
      </c>
      <c r="M977" s="15">
        <v>1</v>
      </c>
    </row>
    <row r="978" spans="1:13">
      <c r="A978" s="7">
        <v>43810</v>
      </c>
      <c r="B978" s="8">
        <v>0.6118055555555556</v>
      </c>
      <c r="C978" s="15" t="str">
        <f>"FES1162727913"</f>
        <v>FES1162727913</v>
      </c>
      <c r="D978" s="15" t="s">
        <v>19</v>
      </c>
      <c r="E978" s="15" t="s">
        <v>478</v>
      </c>
      <c r="F978" s="15" t="str">
        <f>"2170721392 "</f>
        <v xml:space="preserve">2170721392 </v>
      </c>
      <c r="G978" s="15" t="str">
        <f t="shared" si="29"/>
        <v>ON1</v>
      </c>
      <c r="H978" s="15" t="s">
        <v>21</v>
      </c>
      <c r="I978" s="15" t="s">
        <v>479</v>
      </c>
      <c r="J978" s="15" t="str">
        <f>""</f>
        <v/>
      </c>
      <c r="K978" s="15" t="str">
        <f>"PFES1162727913_0001"</f>
        <v>PFES1162727913_0001</v>
      </c>
      <c r="L978" s="15">
        <v>1</v>
      </c>
      <c r="M978" s="15">
        <v>4</v>
      </c>
    </row>
    <row r="979" spans="1:13">
      <c r="A979" s="7">
        <v>43810</v>
      </c>
      <c r="B979" s="8">
        <v>0.60763888888888895</v>
      </c>
      <c r="C979" s="15" t="str">
        <f>"FES1162727884"</f>
        <v>FES1162727884</v>
      </c>
      <c r="D979" s="15" t="s">
        <v>19</v>
      </c>
      <c r="E979" s="15" t="s">
        <v>173</v>
      </c>
      <c r="F979" s="15" t="str">
        <f>"217071364 "</f>
        <v xml:space="preserve">217071364 </v>
      </c>
      <c r="G979" s="15" t="str">
        <f t="shared" si="29"/>
        <v>ON1</v>
      </c>
      <c r="H979" s="15" t="s">
        <v>21</v>
      </c>
      <c r="I979" s="15" t="s">
        <v>130</v>
      </c>
      <c r="J979" s="15" t="str">
        <f>""</f>
        <v/>
      </c>
      <c r="K979" s="15" t="str">
        <f>"PFES1162727884_0001"</f>
        <v>PFES1162727884_0001</v>
      </c>
      <c r="L979" s="15">
        <v>1</v>
      </c>
      <c r="M979" s="15">
        <v>1</v>
      </c>
    </row>
    <row r="980" spans="1:13">
      <c r="A980" s="7">
        <v>43810</v>
      </c>
      <c r="B980" s="8">
        <v>0.6069444444444444</v>
      </c>
      <c r="C980" s="15" t="str">
        <f>"FES1162727905"</f>
        <v>FES1162727905</v>
      </c>
      <c r="D980" s="15" t="s">
        <v>19</v>
      </c>
      <c r="E980" s="15" t="s">
        <v>345</v>
      </c>
      <c r="F980" s="15" t="str">
        <f>"21707121383 "</f>
        <v xml:space="preserve">21707121383 </v>
      </c>
      <c r="G980" s="15" t="str">
        <f t="shared" si="29"/>
        <v>ON1</v>
      </c>
      <c r="H980" s="15" t="s">
        <v>21</v>
      </c>
      <c r="I980" s="15" t="s">
        <v>346</v>
      </c>
      <c r="J980" s="15" t="str">
        <f>""</f>
        <v/>
      </c>
      <c r="K980" s="15" t="str">
        <f>"PFES1162727905_0001"</f>
        <v>PFES1162727905_0001</v>
      </c>
      <c r="L980" s="15">
        <v>1</v>
      </c>
      <c r="M980" s="15">
        <v>1</v>
      </c>
    </row>
    <row r="981" spans="1:13">
      <c r="A981" s="7">
        <v>43810</v>
      </c>
      <c r="B981" s="8">
        <v>0.6069444444444444</v>
      </c>
      <c r="C981" s="15" t="str">
        <f>"FES1162727799"</f>
        <v>FES1162727799</v>
      </c>
      <c r="D981" s="15" t="s">
        <v>19</v>
      </c>
      <c r="E981" s="15" t="s">
        <v>120</v>
      </c>
      <c r="F981" s="15" t="str">
        <f>"2170718811 "</f>
        <v xml:space="preserve">2170718811 </v>
      </c>
      <c r="G981" s="15" t="str">
        <f t="shared" si="29"/>
        <v>ON1</v>
      </c>
      <c r="H981" s="15" t="s">
        <v>21</v>
      </c>
      <c r="I981" s="15" t="s">
        <v>121</v>
      </c>
      <c r="J981" s="15" t="str">
        <f>""</f>
        <v/>
      </c>
      <c r="K981" s="15" t="str">
        <f>"PFES1162727799_0001"</f>
        <v>PFES1162727799_0001</v>
      </c>
      <c r="L981" s="15">
        <v>1</v>
      </c>
      <c r="M981" s="15">
        <v>1</v>
      </c>
    </row>
    <row r="982" spans="1:13">
      <c r="A982" s="7">
        <v>43810</v>
      </c>
      <c r="B982" s="8">
        <v>0.6069444444444444</v>
      </c>
      <c r="C982" s="15" t="str">
        <f>"FES1162727803"</f>
        <v>FES1162727803</v>
      </c>
      <c r="D982" s="15" t="s">
        <v>19</v>
      </c>
      <c r="E982" s="15" t="s">
        <v>626</v>
      </c>
      <c r="F982" s="15" t="str">
        <f>"2170719004 "</f>
        <v xml:space="preserve">2170719004 </v>
      </c>
      <c r="G982" s="15" t="str">
        <f t="shared" si="29"/>
        <v>ON1</v>
      </c>
      <c r="H982" s="15" t="s">
        <v>21</v>
      </c>
      <c r="I982" s="15" t="s">
        <v>41</v>
      </c>
      <c r="J982" s="15" t="str">
        <f>""</f>
        <v/>
      </c>
      <c r="K982" s="15" t="str">
        <f>"PFES1162727803_0001"</f>
        <v>PFES1162727803_0001</v>
      </c>
      <c r="L982" s="15">
        <v>1</v>
      </c>
      <c r="M982" s="15">
        <v>1</v>
      </c>
    </row>
    <row r="983" spans="1:13">
      <c r="A983" s="7">
        <v>43810</v>
      </c>
      <c r="B983" s="8">
        <v>0.60625000000000007</v>
      </c>
      <c r="C983" s="15" t="str">
        <f>"FES1162727792"</f>
        <v>FES1162727792</v>
      </c>
      <c r="D983" s="15" t="s">
        <v>19</v>
      </c>
      <c r="E983" s="15" t="s">
        <v>290</v>
      </c>
      <c r="F983" s="15" t="str">
        <f>"2170718479 "</f>
        <v xml:space="preserve">2170718479 </v>
      </c>
      <c r="G983" s="15" t="str">
        <f t="shared" si="29"/>
        <v>ON1</v>
      </c>
      <c r="H983" s="15" t="s">
        <v>21</v>
      </c>
      <c r="I983" s="15" t="s">
        <v>123</v>
      </c>
      <c r="J983" s="15" t="str">
        <f>""</f>
        <v/>
      </c>
      <c r="K983" s="15" t="str">
        <f>"PFES1162727792_0001"</f>
        <v>PFES1162727792_0001</v>
      </c>
      <c r="L983" s="15">
        <v>1</v>
      </c>
      <c r="M983" s="15">
        <v>1</v>
      </c>
    </row>
    <row r="984" spans="1:13">
      <c r="A984" s="7">
        <v>43810</v>
      </c>
      <c r="B984" s="8">
        <v>0.60625000000000007</v>
      </c>
      <c r="C984" s="15" t="str">
        <f>"FES1162727818"</f>
        <v>FES1162727818</v>
      </c>
      <c r="D984" s="15" t="s">
        <v>19</v>
      </c>
      <c r="E984" s="15" t="s">
        <v>292</v>
      </c>
      <c r="F984" s="15" t="str">
        <f>"2170719414 "</f>
        <v xml:space="preserve">2170719414 </v>
      </c>
      <c r="G984" s="15" t="str">
        <f t="shared" si="29"/>
        <v>ON1</v>
      </c>
      <c r="H984" s="15" t="s">
        <v>21</v>
      </c>
      <c r="I984" s="15" t="s">
        <v>78</v>
      </c>
      <c r="J984" s="15" t="str">
        <f>""</f>
        <v/>
      </c>
      <c r="K984" s="15" t="str">
        <f>"PFES1162727818_0001"</f>
        <v>PFES1162727818_0001</v>
      </c>
      <c r="L984" s="15">
        <v>1</v>
      </c>
      <c r="M984" s="15">
        <v>1</v>
      </c>
    </row>
    <row r="985" spans="1:13">
      <c r="A985" s="7">
        <v>43810</v>
      </c>
      <c r="B985" s="8">
        <v>0.60555555555555551</v>
      </c>
      <c r="C985" s="15" t="str">
        <f>"FES1162727805"</f>
        <v>FES1162727805</v>
      </c>
      <c r="D985" s="15" t="s">
        <v>19</v>
      </c>
      <c r="E985" s="15" t="s">
        <v>77</v>
      </c>
      <c r="F985" s="15" t="str">
        <f>"2170719068 "</f>
        <v xml:space="preserve">2170719068 </v>
      </c>
      <c r="G985" s="15" t="str">
        <f t="shared" si="29"/>
        <v>ON1</v>
      </c>
      <c r="H985" s="15" t="s">
        <v>21</v>
      </c>
      <c r="I985" s="15" t="s">
        <v>78</v>
      </c>
      <c r="J985" s="15" t="str">
        <f>""</f>
        <v/>
      </c>
      <c r="K985" s="15" t="str">
        <f>"PFES1162727805_0001"</f>
        <v>PFES1162727805_0001</v>
      </c>
      <c r="L985" s="15">
        <v>1</v>
      </c>
      <c r="M985" s="15">
        <v>1</v>
      </c>
    </row>
    <row r="986" spans="1:13">
      <c r="A986" s="7">
        <v>43810</v>
      </c>
      <c r="B986" s="8">
        <v>0.60555555555555551</v>
      </c>
      <c r="C986" s="15" t="str">
        <f>"FES1162727899"</f>
        <v>FES1162727899</v>
      </c>
      <c r="D986" s="15" t="s">
        <v>19</v>
      </c>
      <c r="E986" s="15" t="s">
        <v>232</v>
      </c>
      <c r="F986" s="15" t="str">
        <f>"2170721380 "</f>
        <v xml:space="preserve">2170721380 </v>
      </c>
      <c r="G986" s="15" t="str">
        <f t="shared" si="29"/>
        <v>ON1</v>
      </c>
      <c r="H986" s="15" t="s">
        <v>21</v>
      </c>
      <c r="I986" s="15" t="s">
        <v>45</v>
      </c>
      <c r="J986" s="15" t="str">
        <f>""</f>
        <v/>
      </c>
      <c r="K986" s="15" t="str">
        <f>"PFES1162727899_0001"</f>
        <v>PFES1162727899_0001</v>
      </c>
      <c r="L986" s="15">
        <v>1</v>
      </c>
      <c r="M986" s="15">
        <v>1</v>
      </c>
    </row>
    <row r="987" spans="1:13">
      <c r="A987" s="7">
        <v>43810</v>
      </c>
      <c r="B987" s="8">
        <v>0.60486111111111118</v>
      </c>
      <c r="C987" s="15" t="str">
        <f>"FES1162727730"</f>
        <v>FES1162727730</v>
      </c>
      <c r="D987" s="15" t="s">
        <v>19</v>
      </c>
      <c r="E987" s="15" t="s">
        <v>596</v>
      </c>
      <c r="F987" s="15" t="str">
        <f>"2170721164 "</f>
        <v xml:space="preserve">2170721164 </v>
      </c>
      <c r="G987" s="15" t="str">
        <f t="shared" si="29"/>
        <v>ON1</v>
      </c>
      <c r="H987" s="15" t="s">
        <v>21</v>
      </c>
      <c r="I987" s="15" t="s">
        <v>175</v>
      </c>
      <c r="J987" s="15" t="str">
        <f>""</f>
        <v/>
      </c>
      <c r="K987" s="15" t="str">
        <f>"PFES1162727730_0001"</f>
        <v>PFES1162727730_0001</v>
      </c>
      <c r="L987" s="15">
        <v>1</v>
      </c>
      <c r="M987" s="15">
        <v>10</v>
      </c>
    </row>
    <row r="988" spans="1:13">
      <c r="A988" s="7">
        <v>43810</v>
      </c>
      <c r="B988" s="8">
        <v>0.60486111111111118</v>
      </c>
      <c r="C988" s="15" t="str">
        <f>"FES1162727900"</f>
        <v>FES1162727900</v>
      </c>
      <c r="D988" s="15" t="s">
        <v>19</v>
      </c>
      <c r="E988" s="15" t="s">
        <v>363</v>
      </c>
      <c r="F988" s="15" t="str">
        <f>"217071381 "</f>
        <v xml:space="preserve">217071381 </v>
      </c>
      <c r="G988" s="15" t="str">
        <f t="shared" si="29"/>
        <v>ON1</v>
      </c>
      <c r="H988" s="15" t="s">
        <v>21</v>
      </c>
      <c r="I988" s="15" t="s">
        <v>220</v>
      </c>
      <c r="J988" s="15" t="str">
        <f>""</f>
        <v/>
      </c>
      <c r="K988" s="15" t="str">
        <f>"PFES1162727900_0001"</f>
        <v>PFES1162727900_0001</v>
      </c>
      <c r="L988" s="15">
        <v>1</v>
      </c>
      <c r="M988" s="15">
        <v>3</v>
      </c>
    </row>
    <row r="989" spans="1:13">
      <c r="A989" s="7">
        <v>43810</v>
      </c>
      <c r="B989" s="8">
        <v>0.60416666666666663</v>
      </c>
      <c r="C989" s="15" t="str">
        <f>"FES1162727790"</f>
        <v>FES1162727790</v>
      </c>
      <c r="D989" s="15" t="s">
        <v>19</v>
      </c>
      <c r="E989" s="15" t="s">
        <v>24</v>
      </c>
      <c r="F989" s="15" t="str">
        <f>"2170718356 "</f>
        <v xml:space="preserve">2170718356 </v>
      </c>
      <c r="G989" s="15" t="str">
        <f t="shared" si="29"/>
        <v>ON1</v>
      </c>
      <c r="H989" s="15" t="s">
        <v>21</v>
      </c>
      <c r="I989" s="15" t="s">
        <v>25</v>
      </c>
      <c r="J989" s="15" t="str">
        <f>""</f>
        <v/>
      </c>
      <c r="K989" s="15" t="str">
        <f>"PFES1162727790_0001"</f>
        <v>PFES1162727790_0001</v>
      </c>
      <c r="L989" s="15">
        <v>1</v>
      </c>
      <c r="M989" s="15">
        <v>3</v>
      </c>
    </row>
    <row r="990" spans="1:13">
      <c r="A990" s="7">
        <v>43810</v>
      </c>
      <c r="B990" s="8">
        <v>0.60416666666666663</v>
      </c>
      <c r="C990" s="15" t="str">
        <f>"FES1162727847"</f>
        <v>FES1162727847</v>
      </c>
      <c r="D990" s="15" t="s">
        <v>19</v>
      </c>
      <c r="E990" s="15" t="s">
        <v>124</v>
      </c>
      <c r="F990" s="15" t="str">
        <f>"21707213601 "</f>
        <v xml:space="preserve">21707213601 </v>
      </c>
      <c r="G990" s="15" t="str">
        <f t="shared" si="29"/>
        <v>ON1</v>
      </c>
      <c r="H990" s="15" t="s">
        <v>21</v>
      </c>
      <c r="I990" s="15" t="s">
        <v>125</v>
      </c>
      <c r="J990" s="15" t="str">
        <f>""</f>
        <v/>
      </c>
      <c r="K990" s="15" t="str">
        <f>"PFES1162727847_0001"</f>
        <v>PFES1162727847_0001</v>
      </c>
      <c r="L990" s="15">
        <v>1</v>
      </c>
      <c r="M990" s="15">
        <v>8</v>
      </c>
    </row>
    <row r="991" spans="1:13">
      <c r="A991" s="7">
        <v>43810</v>
      </c>
      <c r="B991" s="8">
        <v>0.60347222222222219</v>
      </c>
      <c r="C991" s="15" t="str">
        <f>"FES1162727779"</f>
        <v>FES1162727779</v>
      </c>
      <c r="D991" s="15" t="s">
        <v>19</v>
      </c>
      <c r="E991" s="15" t="s">
        <v>290</v>
      </c>
      <c r="F991" s="15" t="str">
        <f>"2170721266 "</f>
        <v xml:space="preserve">2170721266 </v>
      </c>
      <c r="G991" s="15" t="str">
        <f t="shared" si="29"/>
        <v>ON1</v>
      </c>
      <c r="H991" s="15" t="s">
        <v>21</v>
      </c>
      <c r="I991" s="15" t="s">
        <v>123</v>
      </c>
      <c r="J991" s="15" t="str">
        <f>""</f>
        <v/>
      </c>
      <c r="K991" s="15" t="str">
        <f>"PFES1162727779_0001"</f>
        <v>PFES1162727779_0001</v>
      </c>
      <c r="L991" s="15">
        <v>1</v>
      </c>
      <c r="M991" s="15">
        <v>3</v>
      </c>
    </row>
    <row r="992" spans="1:13">
      <c r="A992" s="7">
        <v>43810</v>
      </c>
      <c r="B992" s="8">
        <v>0.60347222222222219</v>
      </c>
      <c r="C992" s="15" t="str">
        <f>"FES1162727718"</f>
        <v>FES1162727718</v>
      </c>
      <c r="D992" s="15" t="s">
        <v>19</v>
      </c>
      <c r="E992" s="15" t="s">
        <v>101</v>
      </c>
      <c r="F992" s="15" t="str">
        <f>"2170717485 "</f>
        <v xml:space="preserve">2170717485 </v>
      </c>
      <c r="G992" s="15" t="str">
        <f t="shared" si="29"/>
        <v>ON1</v>
      </c>
      <c r="H992" s="15" t="s">
        <v>21</v>
      </c>
      <c r="I992" s="15" t="s">
        <v>102</v>
      </c>
      <c r="J992" s="15" t="str">
        <f>""</f>
        <v/>
      </c>
      <c r="K992" s="15" t="str">
        <f>"PFES1162727718_0001"</f>
        <v>PFES1162727718_0001</v>
      </c>
      <c r="L992" s="15">
        <v>1</v>
      </c>
      <c r="M992" s="15">
        <v>4</v>
      </c>
    </row>
    <row r="993" spans="1:13">
      <c r="A993" s="7">
        <v>43810</v>
      </c>
      <c r="B993" s="8">
        <v>0.60277777777777775</v>
      </c>
      <c r="C993" s="15" t="str">
        <f>"FES1162727898"</f>
        <v>FES1162727898</v>
      </c>
      <c r="D993" s="15" t="s">
        <v>19</v>
      </c>
      <c r="E993" s="15" t="s">
        <v>151</v>
      </c>
      <c r="F993" s="15" t="str">
        <f>"2170721379 "</f>
        <v xml:space="preserve">2170721379 </v>
      </c>
      <c r="G993" s="15" t="str">
        <f t="shared" si="29"/>
        <v>ON1</v>
      </c>
      <c r="H993" s="15" t="s">
        <v>21</v>
      </c>
      <c r="I993" s="15" t="s">
        <v>152</v>
      </c>
      <c r="J993" s="15" t="str">
        <f>""</f>
        <v/>
      </c>
      <c r="K993" s="15" t="str">
        <f>"PFES1162727898_0001"</f>
        <v>PFES1162727898_0001</v>
      </c>
      <c r="L993" s="15">
        <v>1</v>
      </c>
      <c r="M993" s="15">
        <v>2</v>
      </c>
    </row>
    <row r="994" spans="1:13">
      <c r="A994" s="7">
        <v>43810</v>
      </c>
      <c r="B994" s="8">
        <v>0.59722222222222221</v>
      </c>
      <c r="C994" s="15" t="str">
        <f>"FES1162727765"</f>
        <v>FES1162727765</v>
      </c>
      <c r="D994" s="15" t="s">
        <v>19</v>
      </c>
      <c r="E994" s="15" t="s">
        <v>24</v>
      </c>
      <c r="F994" s="15" t="str">
        <f>"2170715250 "</f>
        <v xml:space="preserve">2170715250 </v>
      </c>
      <c r="G994" s="15" t="str">
        <f t="shared" si="29"/>
        <v>ON1</v>
      </c>
      <c r="H994" s="15" t="s">
        <v>21</v>
      </c>
      <c r="I994" s="15" t="s">
        <v>25</v>
      </c>
      <c r="J994" s="15" t="str">
        <f>""</f>
        <v/>
      </c>
      <c r="K994" s="15" t="str">
        <f>"PFES1162727765_0001"</f>
        <v>PFES1162727765_0001</v>
      </c>
      <c r="L994" s="15">
        <v>1</v>
      </c>
      <c r="M994" s="15">
        <v>1</v>
      </c>
    </row>
    <row r="995" spans="1:13">
      <c r="A995" s="7">
        <v>43810</v>
      </c>
      <c r="B995" s="8">
        <v>0.59652777777777777</v>
      </c>
      <c r="C995" s="15" t="str">
        <f>"FES1162727904"</f>
        <v>FES1162727904</v>
      </c>
      <c r="D995" s="15" t="s">
        <v>19</v>
      </c>
      <c r="E995" s="15" t="s">
        <v>262</v>
      </c>
      <c r="F995" s="15" t="str">
        <f>"217071382 "</f>
        <v xml:space="preserve">217071382 </v>
      </c>
      <c r="G995" s="15" t="str">
        <f t="shared" si="29"/>
        <v>ON1</v>
      </c>
      <c r="H995" s="15" t="s">
        <v>21</v>
      </c>
      <c r="I995" s="15" t="s">
        <v>235</v>
      </c>
      <c r="J995" s="15" t="str">
        <f>""</f>
        <v/>
      </c>
      <c r="K995" s="15" t="str">
        <f>"PFES1162727904_0001"</f>
        <v>PFES1162727904_0001</v>
      </c>
      <c r="L995" s="15">
        <v>1</v>
      </c>
      <c r="M995" s="15">
        <v>1</v>
      </c>
    </row>
    <row r="996" spans="1:13">
      <c r="A996" s="7">
        <v>43810</v>
      </c>
      <c r="B996" s="8">
        <v>0.59652777777777777</v>
      </c>
      <c r="C996" s="15" t="str">
        <f>"FES1162727800"</f>
        <v>FES1162727800</v>
      </c>
      <c r="D996" s="15" t="s">
        <v>19</v>
      </c>
      <c r="E996" s="15" t="s">
        <v>572</v>
      </c>
      <c r="F996" s="15" t="str">
        <f>"2170718909 "</f>
        <v xml:space="preserve">2170718909 </v>
      </c>
      <c r="G996" s="15" t="str">
        <f t="shared" si="29"/>
        <v>ON1</v>
      </c>
      <c r="H996" s="15" t="s">
        <v>21</v>
      </c>
      <c r="I996" s="15" t="s">
        <v>573</v>
      </c>
      <c r="J996" s="15" t="str">
        <f>""</f>
        <v/>
      </c>
      <c r="K996" s="15" t="str">
        <f>"PFES1162727800_0001"</f>
        <v>PFES1162727800_0001</v>
      </c>
      <c r="L996" s="15">
        <v>1</v>
      </c>
      <c r="M996" s="15">
        <v>1</v>
      </c>
    </row>
    <row r="997" spans="1:13">
      <c r="A997" s="7">
        <v>43810</v>
      </c>
      <c r="B997" s="8">
        <v>0.59583333333333333</v>
      </c>
      <c r="C997" s="15" t="str">
        <f>"FES1162727813"</f>
        <v>FES1162727813</v>
      </c>
      <c r="D997" s="15" t="s">
        <v>19</v>
      </c>
      <c r="E997" s="15" t="s">
        <v>24</v>
      </c>
      <c r="F997" s="15" t="str">
        <f>"2170719270 "</f>
        <v xml:space="preserve">2170719270 </v>
      </c>
      <c r="G997" s="15" t="str">
        <f t="shared" si="29"/>
        <v>ON1</v>
      </c>
      <c r="H997" s="15" t="s">
        <v>21</v>
      </c>
      <c r="I997" s="15" t="s">
        <v>25</v>
      </c>
      <c r="J997" s="15" t="str">
        <f>""</f>
        <v/>
      </c>
      <c r="K997" s="15" t="str">
        <f>"PFES1162727813_0001"</f>
        <v>PFES1162727813_0001</v>
      </c>
      <c r="L997" s="15">
        <v>1</v>
      </c>
      <c r="M997" s="15">
        <v>1</v>
      </c>
    </row>
    <row r="998" spans="1:13">
      <c r="A998" s="7">
        <v>43810</v>
      </c>
      <c r="B998" s="8">
        <v>0.59583333333333333</v>
      </c>
      <c r="C998" s="15" t="str">
        <f>"FES1162727778"</f>
        <v>FES1162727778</v>
      </c>
      <c r="D998" s="15" t="s">
        <v>19</v>
      </c>
      <c r="E998" s="15" t="s">
        <v>262</v>
      </c>
      <c r="F998" s="15" t="str">
        <f>"2170712165 "</f>
        <v xml:space="preserve">2170712165 </v>
      </c>
      <c r="G998" s="15" t="str">
        <f t="shared" si="29"/>
        <v>ON1</v>
      </c>
      <c r="H998" s="15" t="s">
        <v>21</v>
      </c>
      <c r="I998" s="15" t="s">
        <v>235</v>
      </c>
      <c r="J998" s="15" t="str">
        <f>""</f>
        <v/>
      </c>
      <c r="K998" s="15" t="str">
        <f>"PFES1162727778_0001"</f>
        <v>PFES1162727778_0001</v>
      </c>
      <c r="L998" s="15">
        <v>1</v>
      </c>
      <c r="M998" s="15">
        <v>1</v>
      </c>
    </row>
    <row r="999" spans="1:13">
      <c r="A999" s="7">
        <v>43810</v>
      </c>
      <c r="B999" s="8">
        <v>0.59583333333333333</v>
      </c>
      <c r="C999" s="15" t="str">
        <f>"FES1162727824"</f>
        <v>FES1162727824</v>
      </c>
      <c r="D999" s="15" t="s">
        <v>19</v>
      </c>
      <c r="E999" s="15" t="s">
        <v>627</v>
      </c>
      <c r="F999" s="15" t="str">
        <f>"2170721115 "</f>
        <v xml:space="preserve">2170721115 </v>
      </c>
      <c r="G999" s="15" t="str">
        <f t="shared" si="29"/>
        <v>ON1</v>
      </c>
      <c r="H999" s="15" t="s">
        <v>21</v>
      </c>
      <c r="I999" s="15" t="s">
        <v>628</v>
      </c>
      <c r="J999" s="15" t="str">
        <f>""</f>
        <v/>
      </c>
      <c r="K999" s="15" t="str">
        <f>"PFES1162727824_0001"</f>
        <v>PFES1162727824_0001</v>
      </c>
      <c r="L999" s="15">
        <v>1</v>
      </c>
      <c r="M999" s="15">
        <v>1</v>
      </c>
    </row>
    <row r="1000" spans="1:13">
      <c r="A1000" s="7">
        <v>43810</v>
      </c>
      <c r="B1000" s="8">
        <v>0.59513888888888888</v>
      </c>
      <c r="C1000" s="15" t="str">
        <f>"FES1162727784"</f>
        <v>FES1162727784</v>
      </c>
      <c r="D1000" s="15" t="s">
        <v>19</v>
      </c>
      <c r="E1000" s="15" t="s">
        <v>629</v>
      </c>
      <c r="F1000" s="15" t="str">
        <f>"2170709154 "</f>
        <v xml:space="preserve">2170709154 </v>
      </c>
      <c r="G1000" s="15" t="str">
        <f t="shared" si="29"/>
        <v>ON1</v>
      </c>
      <c r="H1000" s="15" t="s">
        <v>21</v>
      </c>
      <c r="I1000" s="15" t="s">
        <v>223</v>
      </c>
      <c r="J1000" s="15" t="str">
        <f>""</f>
        <v/>
      </c>
      <c r="K1000" s="15" t="str">
        <f>"PFES1162727784_0001"</f>
        <v>PFES1162727784_0001</v>
      </c>
      <c r="L1000" s="15">
        <v>1</v>
      </c>
      <c r="M1000" s="15">
        <v>1</v>
      </c>
    </row>
    <row r="1001" spans="1:13">
      <c r="A1001" s="7">
        <v>43810</v>
      </c>
      <c r="B1001" s="8">
        <v>0.59444444444444444</v>
      </c>
      <c r="C1001" s="15" t="str">
        <f>"FES1162727797"</f>
        <v>FES1162727797</v>
      </c>
      <c r="D1001" s="15" t="s">
        <v>19</v>
      </c>
      <c r="E1001" s="15" t="s">
        <v>302</v>
      </c>
      <c r="F1001" s="15" t="str">
        <f>"21707187676 "</f>
        <v xml:space="preserve">21707187676 </v>
      </c>
      <c r="G1001" s="15" t="str">
        <f t="shared" si="29"/>
        <v>ON1</v>
      </c>
      <c r="H1001" s="15" t="s">
        <v>21</v>
      </c>
      <c r="I1001" s="15" t="s">
        <v>102</v>
      </c>
      <c r="J1001" s="15" t="str">
        <f>""</f>
        <v/>
      </c>
      <c r="K1001" s="15" t="str">
        <f>"PFES1162727797_0001"</f>
        <v>PFES1162727797_0001</v>
      </c>
      <c r="L1001" s="15">
        <v>1</v>
      </c>
      <c r="M1001" s="15">
        <v>2</v>
      </c>
    </row>
    <row r="1002" spans="1:13">
      <c r="A1002" s="7">
        <v>43810</v>
      </c>
      <c r="B1002" s="8">
        <v>0.59444444444444444</v>
      </c>
      <c r="C1002" s="15" t="str">
        <f>"FES1162727793"</f>
        <v>FES1162727793</v>
      </c>
      <c r="D1002" s="15" t="s">
        <v>19</v>
      </c>
      <c r="E1002" s="15" t="s">
        <v>630</v>
      </c>
      <c r="F1002" s="15" t="str">
        <f>"2170718605 "</f>
        <v xml:space="preserve">2170718605 </v>
      </c>
      <c r="G1002" s="15" t="str">
        <f t="shared" si="29"/>
        <v>ON1</v>
      </c>
      <c r="H1002" s="15" t="s">
        <v>21</v>
      </c>
      <c r="I1002" s="15" t="s">
        <v>74</v>
      </c>
      <c r="J1002" s="15" t="str">
        <f>""</f>
        <v/>
      </c>
      <c r="K1002" s="15" t="str">
        <f>"PFES1162727793_0001"</f>
        <v>PFES1162727793_0001</v>
      </c>
      <c r="L1002" s="15">
        <v>1</v>
      </c>
      <c r="M1002" s="15">
        <v>3</v>
      </c>
    </row>
    <row r="1003" spans="1:13">
      <c r="A1003" s="7">
        <v>43810</v>
      </c>
      <c r="B1003" s="8">
        <v>0.59375</v>
      </c>
      <c r="C1003" s="15" t="str">
        <f>"FES1162727743"</f>
        <v>FES1162727743</v>
      </c>
      <c r="D1003" s="15" t="s">
        <v>19</v>
      </c>
      <c r="E1003" s="15" t="s">
        <v>631</v>
      </c>
      <c r="F1003" s="15" t="str">
        <f>"2170721223 "</f>
        <v xml:space="preserve">2170721223 </v>
      </c>
      <c r="G1003" s="15" t="str">
        <f t="shared" si="29"/>
        <v>ON1</v>
      </c>
      <c r="H1003" s="15" t="s">
        <v>21</v>
      </c>
      <c r="I1003" s="15" t="s">
        <v>175</v>
      </c>
      <c r="J1003" s="15" t="str">
        <f>""</f>
        <v/>
      </c>
      <c r="K1003" s="15" t="str">
        <f>"PFES1162727743_0001"</f>
        <v>PFES1162727743_0001</v>
      </c>
      <c r="L1003" s="15">
        <v>1</v>
      </c>
      <c r="M1003" s="15">
        <v>1</v>
      </c>
    </row>
    <row r="1004" spans="1:13">
      <c r="A1004" s="7">
        <v>43810</v>
      </c>
      <c r="B1004" s="8">
        <v>0.59305555555555556</v>
      </c>
      <c r="C1004" s="15" t="str">
        <f>"FES1162727777"</f>
        <v>FES1162727777</v>
      </c>
      <c r="D1004" s="15" t="s">
        <v>19</v>
      </c>
      <c r="E1004" s="15" t="s">
        <v>632</v>
      </c>
      <c r="F1004" s="15" t="str">
        <f>"21707121253 "</f>
        <v xml:space="preserve">21707121253 </v>
      </c>
      <c r="G1004" s="15" t="str">
        <f t="shared" si="29"/>
        <v>ON1</v>
      </c>
      <c r="H1004" s="15" t="s">
        <v>21</v>
      </c>
      <c r="I1004" s="15" t="s">
        <v>633</v>
      </c>
      <c r="J1004" s="15" t="str">
        <f>""</f>
        <v/>
      </c>
      <c r="K1004" s="15" t="str">
        <f>"PFES1162727777_0001"</f>
        <v>PFES1162727777_0001</v>
      </c>
      <c r="L1004" s="15">
        <v>1</v>
      </c>
      <c r="M1004" s="15">
        <v>2</v>
      </c>
    </row>
    <row r="1005" spans="1:13">
      <c r="A1005" s="7">
        <v>43810</v>
      </c>
      <c r="B1005" s="8">
        <v>0.59236111111111112</v>
      </c>
      <c r="C1005" s="15" t="str">
        <f>"009935712075"</f>
        <v>009935712075</v>
      </c>
      <c r="D1005" s="15" t="s">
        <v>19</v>
      </c>
      <c r="E1005" s="15" t="s">
        <v>292</v>
      </c>
      <c r="F1005" s="15" t="str">
        <f>"1162727589 "</f>
        <v xml:space="preserve">1162727589 </v>
      </c>
      <c r="G1005" s="15" t="str">
        <f t="shared" si="29"/>
        <v>ON1</v>
      </c>
      <c r="H1005" s="15" t="s">
        <v>21</v>
      </c>
      <c r="I1005" s="15" t="s">
        <v>78</v>
      </c>
      <c r="J1005" s="15" t="str">
        <f>"RESEND"</f>
        <v>RESEND</v>
      </c>
      <c r="K1005" s="15" t="str">
        <f>"P009935712075_0001"</f>
        <v>P009935712075_0001</v>
      </c>
      <c r="L1005" s="15">
        <v>1</v>
      </c>
      <c r="M1005" s="15">
        <v>4</v>
      </c>
    </row>
    <row r="1006" spans="1:13">
      <c r="A1006" s="7">
        <v>43810</v>
      </c>
      <c r="B1006" s="8">
        <v>0.58819444444444446</v>
      </c>
      <c r="C1006" s="15" t="str">
        <f>"FES1162727774"</f>
        <v>FES1162727774</v>
      </c>
      <c r="D1006" s="15" t="s">
        <v>19</v>
      </c>
      <c r="E1006" s="15" t="s">
        <v>377</v>
      </c>
      <c r="F1006" s="15" t="str">
        <f>"21707121626 "</f>
        <v xml:space="preserve">21707121626 </v>
      </c>
      <c r="G1006" s="15" t="str">
        <f t="shared" si="29"/>
        <v>ON1</v>
      </c>
      <c r="H1006" s="15" t="s">
        <v>21</v>
      </c>
      <c r="I1006" s="15" t="s">
        <v>136</v>
      </c>
      <c r="J1006" s="15" t="str">
        <f>""</f>
        <v/>
      </c>
      <c r="K1006" s="15" t="str">
        <f>"PFES1162727774_0001"</f>
        <v>PFES1162727774_0001</v>
      </c>
      <c r="L1006" s="15">
        <v>1</v>
      </c>
      <c r="M1006" s="15">
        <v>5</v>
      </c>
    </row>
    <row r="1007" spans="1:13">
      <c r="A1007" s="7">
        <v>43810</v>
      </c>
      <c r="B1007" s="8">
        <v>0.58750000000000002</v>
      </c>
      <c r="C1007" s="15" t="str">
        <f>"FES1162727830"</f>
        <v>FES1162727830</v>
      </c>
      <c r="D1007" s="15" t="s">
        <v>19</v>
      </c>
      <c r="E1007" s="15" t="s">
        <v>84</v>
      </c>
      <c r="F1007" s="15" t="str">
        <f>"217071277 "</f>
        <v xml:space="preserve">217071277 </v>
      </c>
      <c r="G1007" s="15" t="str">
        <f t="shared" si="29"/>
        <v>ON1</v>
      </c>
      <c r="H1007" s="15" t="s">
        <v>21</v>
      </c>
      <c r="I1007" s="15" t="s">
        <v>85</v>
      </c>
      <c r="J1007" s="15" t="str">
        <f>""</f>
        <v/>
      </c>
      <c r="K1007" s="15" t="str">
        <f>"PFES1162727830_0001"</f>
        <v>PFES1162727830_0001</v>
      </c>
      <c r="L1007" s="15">
        <v>1</v>
      </c>
      <c r="M1007" s="15">
        <v>4</v>
      </c>
    </row>
    <row r="1008" spans="1:13">
      <c r="A1008" s="7">
        <v>43810</v>
      </c>
      <c r="B1008" s="8">
        <v>0.58750000000000002</v>
      </c>
      <c r="C1008" s="15" t="str">
        <f>"FES1162727762"</f>
        <v>FES1162727762</v>
      </c>
      <c r="D1008" s="15" t="s">
        <v>19</v>
      </c>
      <c r="E1008" s="15" t="s">
        <v>84</v>
      </c>
      <c r="F1008" s="15" t="str">
        <f>"217071245 "</f>
        <v xml:space="preserve">217071245 </v>
      </c>
      <c r="G1008" s="15" t="str">
        <f t="shared" si="29"/>
        <v>ON1</v>
      </c>
      <c r="H1008" s="15" t="s">
        <v>21</v>
      </c>
      <c r="I1008" s="15" t="s">
        <v>85</v>
      </c>
      <c r="J1008" s="15" t="str">
        <f>""</f>
        <v/>
      </c>
      <c r="K1008" s="15" t="str">
        <f>"PFES1162727762_0001"</f>
        <v>PFES1162727762_0001</v>
      </c>
      <c r="L1008" s="15">
        <v>1</v>
      </c>
      <c r="M1008" s="15">
        <v>1</v>
      </c>
    </row>
    <row r="1009" spans="1:13">
      <c r="A1009" s="7">
        <v>43810</v>
      </c>
      <c r="B1009" s="8">
        <v>0.58680555555555558</v>
      </c>
      <c r="C1009" s="15" t="str">
        <f>"FES1162727771"</f>
        <v>FES1162727771</v>
      </c>
      <c r="D1009" s="15" t="s">
        <v>19</v>
      </c>
      <c r="E1009" s="15" t="s">
        <v>114</v>
      </c>
      <c r="F1009" s="15" t="str">
        <f>"2170721211 "</f>
        <v xml:space="preserve">2170721211 </v>
      </c>
      <c r="G1009" s="15" t="str">
        <f t="shared" si="29"/>
        <v>ON1</v>
      </c>
      <c r="H1009" s="15" t="s">
        <v>21</v>
      </c>
      <c r="I1009" s="15" t="s">
        <v>115</v>
      </c>
      <c r="J1009" s="15" t="str">
        <f>""</f>
        <v/>
      </c>
      <c r="K1009" s="15" t="str">
        <f>"PFES1162727771_0001"</f>
        <v>PFES1162727771_0001</v>
      </c>
      <c r="L1009" s="15">
        <v>1</v>
      </c>
      <c r="M1009" s="15">
        <v>4</v>
      </c>
    </row>
    <row r="1010" spans="1:13">
      <c r="A1010" s="7">
        <v>43810</v>
      </c>
      <c r="B1010" s="8">
        <v>0.58611111111111114</v>
      </c>
      <c r="C1010" s="15" t="str">
        <f>"FES1162727897"</f>
        <v>FES1162727897</v>
      </c>
      <c r="D1010" s="15" t="s">
        <v>19</v>
      </c>
      <c r="E1010" s="15" t="s">
        <v>154</v>
      </c>
      <c r="F1010" s="15" t="str">
        <f>"217071361 "</f>
        <v xml:space="preserve">217071361 </v>
      </c>
      <c r="G1010" s="15" t="str">
        <f t="shared" si="29"/>
        <v>ON1</v>
      </c>
      <c r="H1010" s="15" t="s">
        <v>21</v>
      </c>
      <c r="I1010" s="15" t="s">
        <v>155</v>
      </c>
      <c r="J1010" s="15" t="str">
        <f>""</f>
        <v/>
      </c>
      <c r="K1010" s="15" t="str">
        <f>"PFES1162727897_0001"</f>
        <v>PFES1162727897_0001</v>
      </c>
      <c r="L1010" s="15">
        <v>1</v>
      </c>
      <c r="M1010" s="15">
        <v>1</v>
      </c>
    </row>
    <row r="1011" spans="1:13">
      <c r="A1011" s="7">
        <v>43810</v>
      </c>
      <c r="B1011" s="8">
        <v>0.58611111111111114</v>
      </c>
      <c r="C1011" s="15" t="str">
        <f>"FES1162727871"</f>
        <v>FES1162727871</v>
      </c>
      <c r="D1011" s="15" t="s">
        <v>19</v>
      </c>
      <c r="E1011" s="15" t="s">
        <v>335</v>
      </c>
      <c r="F1011" s="15" t="str">
        <f>"2170721344 "</f>
        <v xml:space="preserve">2170721344 </v>
      </c>
      <c r="G1011" s="15" t="str">
        <f t="shared" si="29"/>
        <v>ON1</v>
      </c>
      <c r="H1011" s="15" t="s">
        <v>21</v>
      </c>
      <c r="I1011" s="15" t="s">
        <v>336</v>
      </c>
      <c r="J1011" s="15" t="str">
        <f>""</f>
        <v/>
      </c>
      <c r="K1011" s="15" t="str">
        <f>"PFES1162727871_0001"</f>
        <v>PFES1162727871_0001</v>
      </c>
      <c r="L1011" s="15">
        <v>1</v>
      </c>
      <c r="M1011" s="15">
        <v>1</v>
      </c>
    </row>
    <row r="1012" spans="1:13">
      <c r="A1012" s="7">
        <v>43810</v>
      </c>
      <c r="B1012" s="8">
        <v>0.58472222222222225</v>
      </c>
      <c r="C1012" s="15" t="str">
        <f>"FES1162727889"</f>
        <v>FES1162727889</v>
      </c>
      <c r="D1012" s="15" t="s">
        <v>19</v>
      </c>
      <c r="E1012" s="15" t="s">
        <v>579</v>
      </c>
      <c r="F1012" s="15" t="str">
        <f>"2170712368 "</f>
        <v xml:space="preserve">2170712368 </v>
      </c>
      <c r="G1012" s="15" t="str">
        <f t="shared" si="29"/>
        <v>ON1</v>
      </c>
      <c r="H1012" s="15" t="s">
        <v>21</v>
      </c>
      <c r="I1012" s="15" t="s">
        <v>580</v>
      </c>
      <c r="J1012" s="15" t="str">
        <f>""</f>
        <v/>
      </c>
      <c r="K1012" s="15" t="str">
        <f>"PFES1162727889_0001"</f>
        <v>PFES1162727889_0001</v>
      </c>
      <c r="L1012" s="15">
        <v>1</v>
      </c>
      <c r="M1012" s="15">
        <v>1</v>
      </c>
    </row>
    <row r="1013" spans="1:13">
      <c r="A1013" s="7">
        <v>43810</v>
      </c>
      <c r="B1013" s="8">
        <v>0.58472222222222225</v>
      </c>
      <c r="C1013" s="15" t="str">
        <f>"FES1162727888"</f>
        <v>FES1162727888</v>
      </c>
      <c r="D1013" s="15" t="s">
        <v>19</v>
      </c>
      <c r="E1013" s="15" t="s">
        <v>579</v>
      </c>
      <c r="F1013" s="15" t="str">
        <f>"2170712367 "</f>
        <v xml:space="preserve">2170712367 </v>
      </c>
      <c r="G1013" s="15" t="str">
        <f t="shared" si="29"/>
        <v>ON1</v>
      </c>
      <c r="H1013" s="15" t="s">
        <v>21</v>
      </c>
      <c r="I1013" s="15" t="s">
        <v>580</v>
      </c>
      <c r="J1013" s="15" t="str">
        <f>""</f>
        <v/>
      </c>
      <c r="K1013" s="15" t="str">
        <f>"PFES1162727888_0001"</f>
        <v>PFES1162727888_0001</v>
      </c>
      <c r="L1013" s="15">
        <v>1</v>
      </c>
      <c r="M1013" s="15">
        <v>1</v>
      </c>
    </row>
    <row r="1014" spans="1:13">
      <c r="A1014" s="7">
        <v>43810</v>
      </c>
      <c r="B1014" s="8">
        <v>0.58472222222222225</v>
      </c>
      <c r="C1014" s="15" t="str">
        <f>"FES1162727883"</f>
        <v>FES1162727883</v>
      </c>
      <c r="D1014" s="15" t="s">
        <v>19</v>
      </c>
      <c r="E1014" s="15" t="s">
        <v>90</v>
      </c>
      <c r="F1014" s="15" t="str">
        <f>"2170712360 "</f>
        <v xml:space="preserve">2170712360 </v>
      </c>
      <c r="G1014" s="15" t="str">
        <f t="shared" si="29"/>
        <v>ON1</v>
      </c>
      <c r="H1014" s="15" t="s">
        <v>21</v>
      </c>
      <c r="I1014" s="15" t="s">
        <v>22</v>
      </c>
      <c r="J1014" s="15" t="str">
        <f>""</f>
        <v/>
      </c>
      <c r="K1014" s="15" t="str">
        <f>"PFES1162727883_0001"</f>
        <v>PFES1162727883_0001</v>
      </c>
      <c r="L1014" s="15">
        <v>1</v>
      </c>
      <c r="M1014" s="15">
        <v>1</v>
      </c>
    </row>
    <row r="1015" spans="1:13">
      <c r="A1015" s="7">
        <v>43810</v>
      </c>
      <c r="B1015" s="8">
        <v>0.58402777777777781</v>
      </c>
      <c r="C1015" s="15" t="str">
        <f>"FES1162727753"</f>
        <v>FES1162727753</v>
      </c>
      <c r="D1015" s="15" t="s">
        <v>19</v>
      </c>
      <c r="E1015" s="15" t="s">
        <v>138</v>
      </c>
      <c r="F1015" s="15" t="str">
        <f>"2170721237 "</f>
        <v xml:space="preserve">2170721237 </v>
      </c>
      <c r="G1015" s="15" t="str">
        <f t="shared" si="29"/>
        <v>ON1</v>
      </c>
      <c r="H1015" s="15" t="s">
        <v>21</v>
      </c>
      <c r="I1015" s="15" t="s">
        <v>136</v>
      </c>
      <c r="J1015" s="15" t="str">
        <f>""</f>
        <v/>
      </c>
      <c r="K1015" s="15" t="str">
        <f>"PFES1162727753_0001"</f>
        <v>PFES1162727753_0001</v>
      </c>
      <c r="L1015" s="15">
        <v>1</v>
      </c>
      <c r="M1015" s="15">
        <v>1</v>
      </c>
    </row>
    <row r="1016" spans="1:13">
      <c r="A1016" s="7">
        <v>43810</v>
      </c>
      <c r="B1016" s="8">
        <v>0.58333333333333337</v>
      </c>
      <c r="C1016" s="15" t="str">
        <f>"FES1162727738"</f>
        <v>FES1162727738</v>
      </c>
      <c r="D1016" s="15" t="s">
        <v>19</v>
      </c>
      <c r="E1016" s="15" t="s">
        <v>84</v>
      </c>
      <c r="F1016" s="15" t="str">
        <f>"2170721217 "</f>
        <v xml:space="preserve">2170721217 </v>
      </c>
      <c r="G1016" s="15" t="str">
        <f t="shared" si="29"/>
        <v>ON1</v>
      </c>
      <c r="H1016" s="15" t="s">
        <v>21</v>
      </c>
      <c r="I1016" s="15" t="s">
        <v>85</v>
      </c>
      <c r="J1016" s="15" t="str">
        <f>""</f>
        <v/>
      </c>
      <c r="K1016" s="15" t="str">
        <f>"PFES1162727738_0001"</f>
        <v>PFES1162727738_0001</v>
      </c>
      <c r="L1016" s="15">
        <v>1</v>
      </c>
      <c r="M1016" s="15">
        <v>1</v>
      </c>
    </row>
    <row r="1017" spans="1:13">
      <c r="A1017" s="7">
        <v>43810</v>
      </c>
      <c r="B1017" s="8">
        <v>0.58333333333333337</v>
      </c>
      <c r="C1017" s="15" t="str">
        <f>"FES1162727809"</f>
        <v>FES1162727809</v>
      </c>
      <c r="D1017" s="15" t="s">
        <v>19</v>
      </c>
      <c r="E1017" s="15" t="s">
        <v>634</v>
      </c>
      <c r="F1017" s="15" t="str">
        <f>"217071911 "</f>
        <v xml:space="preserve">217071911 </v>
      </c>
      <c r="G1017" s="15" t="str">
        <f t="shared" si="29"/>
        <v>ON1</v>
      </c>
      <c r="H1017" s="15" t="s">
        <v>21</v>
      </c>
      <c r="I1017" s="15" t="s">
        <v>87</v>
      </c>
      <c r="J1017" s="15" t="str">
        <f>""</f>
        <v/>
      </c>
      <c r="K1017" s="15" t="str">
        <f>"PFES1162727809_0001"</f>
        <v>PFES1162727809_0001</v>
      </c>
      <c r="L1017" s="15">
        <v>1</v>
      </c>
      <c r="M1017" s="15">
        <v>1</v>
      </c>
    </row>
    <row r="1018" spans="1:13">
      <c r="A1018" s="7">
        <v>43810</v>
      </c>
      <c r="B1018" s="8">
        <v>0.58263888888888882</v>
      </c>
      <c r="C1018" s="15" t="str">
        <f>"FES1162727833"</f>
        <v>FES1162727833</v>
      </c>
      <c r="D1018" s="15" t="s">
        <v>19</v>
      </c>
      <c r="E1018" s="15" t="s">
        <v>84</v>
      </c>
      <c r="F1018" s="15" t="str">
        <f>"2170721282 "</f>
        <v xml:space="preserve">2170721282 </v>
      </c>
      <c r="G1018" s="15" t="str">
        <f t="shared" si="29"/>
        <v>ON1</v>
      </c>
      <c r="H1018" s="15" t="s">
        <v>21</v>
      </c>
      <c r="I1018" s="15" t="s">
        <v>85</v>
      </c>
      <c r="J1018" s="15" t="str">
        <f>""</f>
        <v/>
      </c>
      <c r="K1018" s="15" t="str">
        <f>"PFES1162727833_0001"</f>
        <v>PFES1162727833_0001</v>
      </c>
      <c r="L1018" s="15">
        <v>1</v>
      </c>
      <c r="M1018" s="15">
        <v>1</v>
      </c>
    </row>
    <row r="1019" spans="1:13">
      <c r="A1019" s="7">
        <v>43810</v>
      </c>
      <c r="B1019" s="8">
        <v>0.56805555555555554</v>
      </c>
      <c r="C1019" s="15" t="str">
        <f>"FES1162727846"</f>
        <v>FES1162727846</v>
      </c>
      <c r="D1019" s="15" t="s">
        <v>19</v>
      </c>
      <c r="E1019" s="15" t="s">
        <v>635</v>
      </c>
      <c r="F1019" s="15" t="str">
        <f>"217071300 "</f>
        <v xml:space="preserve">217071300 </v>
      </c>
      <c r="G1019" s="15" t="str">
        <f t="shared" si="29"/>
        <v>ON1</v>
      </c>
      <c r="H1019" s="15" t="s">
        <v>21</v>
      </c>
      <c r="I1019" s="15" t="s">
        <v>244</v>
      </c>
      <c r="J1019" s="15" t="str">
        <f>""</f>
        <v/>
      </c>
      <c r="K1019" s="15" t="str">
        <f>"PFES1162727846_0001"</f>
        <v>PFES1162727846_0001</v>
      </c>
      <c r="L1019" s="15">
        <v>1</v>
      </c>
      <c r="M1019" s="15">
        <v>1</v>
      </c>
    </row>
    <row r="1020" spans="1:13">
      <c r="A1020" s="7">
        <v>43810</v>
      </c>
      <c r="B1020" s="8">
        <v>0.56736111111111109</v>
      </c>
      <c r="C1020" s="15" t="str">
        <f>"FES1162727770"</f>
        <v>FES1162727770</v>
      </c>
      <c r="D1020" s="15" t="s">
        <v>19</v>
      </c>
      <c r="E1020" s="15" t="s">
        <v>636</v>
      </c>
      <c r="F1020" s="15" t="str">
        <f>"217071257 "</f>
        <v xml:space="preserve">217071257 </v>
      </c>
      <c r="G1020" s="15" t="str">
        <f t="shared" si="29"/>
        <v>ON1</v>
      </c>
      <c r="H1020" s="15" t="s">
        <v>21</v>
      </c>
      <c r="I1020" s="15" t="s">
        <v>155</v>
      </c>
      <c r="J1020" s="15" t="str">
        <f>""</f>
        <v/>
      </c>
      <c r="K1020" s="15" t="str">
        <f>"PFES1162727770_0001"</f>
        <v>PFES1162727770_0001</v>
      </c>
      <c r="L1020" s="15">
        <v>1</v>
      </c>
      <c r="M1020" s="15">
        <v>1</v>
      </c>
    </row>
    <row r="1021" spans="1:13">
      <c r="A1021" s="7">
        <v>43810</v>
      </c>
      <c r="B1021" s="8">
        <v>0.56666666666666665</v>
      </c>
      <c r="C1021" s="15" t="str">
        <f>"FES1162727850"</f>
        <v>FES1162727850</v>
      </c>
      <c r="D1021" s="15" t="s">
        <v>19</v>
      </c>
      <c r="E1021" s="15" t="s">
        <v>142</v>
      </c>
      <c r="F1021" s="15" t="str">
        <f>"2170713098 "</f>
        <v xml:space="preserve">2170713098 </v>
      </c>
      <c r="G1021" s="15" t="str">
        <f t="shared" si="29"/>
        <v>ON1</v>
      </c>
      <c r="H1021" s="15" t="s">
        <v>21</v>
      </c>
      <c r="I1021" s="15" t="s">
        <v>37</v>
      </c>
      <c r="J1021" s="15" t="str">
        <f>""</f>
        <v/>
      </c>
      <c r="K1021" s="15" t="str">
        <f>"PFES1162727850_0001"</f>
        <v>PFES1162727850_0001</v>
      </c>
      <c r="L1021" s="15">
        <v>2</v>
      </c>
      <c r="M1021" s="15">
        <v>7</v>
      </c>
    </row>
    <row r="1022" spans="1:13">
      <c r="A1022" s="7">
        <v>43810</v>
      </c>
      <c r="B1022" s="8">
        <v>0.56666666666666665</v>
      </c>
      <c r="C1022" s="15" t="str">
        <f>"FES1162727850"</f>
        <v>FES1162727850</v>
      </c>
      <c r="D1022" s="15" t="s">
        <v>19</v>
      </c>
      <c r="E1022" s="15" t="s">
        <v>142</v>
      </c>
      <c r="F1022" s="15" t="str">
        <f>"2170713098 "</f>
        <v xml:space="preserve">2170713098 </v>
      </c>
      <c r="G1022" s="15" t="str">
        <f t="shared" ref="G1022:G1060" si="30">"ON1"</f>
        <v>ON1</v>
      </c>
      <c r="H1022" s="15" t="s">
        <v>21</v>
      </c>
      <c r="I1022" s="15" t="s">
        <v>37</v>
      </c>
      <c r="J1022" s="15"/>
      <c r="K1022" s="15" t="str">
        <f>"PFES1162727850_0002"</f>
        <v>PFES1162727850_0002</v>
      </c>
      <c r="L1022" s="15">
        <v>2</v>
      </c>
      <c r="M1022" s="15">
        <v>7</v>
      </c>
    </row>
    <row r="1023" spans="1:13">
      <c r="A1023" s="7">
        <v>43810</v>
      </c>
      <c r="B1023" s="8">
        <v>0.56666666666666665</v>
      </c>
      <c r="C1023" s="15" t="str">
        <f>"FES1162727781"</f>
        <v>FES1162727781</v>
      </c>
      <c r="D1023" s="15" t="s">
        <v>19</v>
      </c>
      <c r="E1023" s="15" t="s">
        <v>335</v>
      </c>
      <c r="F1023" s="15" t="str">
        <f>"217071271 "</f>
        <v xml:space="preserve">217071271 </v>
      </c>
      <c r="G1023" s="15" t="str">
        <f t="shared" si="30"/>
        <v>ON1</v>
      </c>
      <c r="H1023" s="15" t="s">
        <v>21</v>
      </c>
      <c r="I1023" s="15" t="s">
        <v>336</v>
      </c>
      <c r="J1023" s="15" t="str">
        <f>""</f>
        <v/>
      </c>
      <c r="K1023" s="15" t="str">
        <f>"PFES1162727781_0001"</f>
        <v>PFES1162727781_0001</v>
      </c>
      <c r="L1023" s="15">
        <v>1</v>
      </c>
      <c r="M1023" s="15">
        <v>1</v>
      </c>
    </row>
    <row r="1024" spans="1:13">
      <c r="A1024" s="7">
        <v>43810</v>
      </c>
      <c r="B1024" s="8">
        <v>0.55902777777777779</v>
      </c>
      <c r="C1024" s="15" t="str">
        <f>"FES1162727822"</f>
        <v>FES1162727822</v>
      </c>
      <c r="D1024" s="15" t="s">
        <v>19</v>
      </c>
      <c r="E1024" s="15" t="s">
        <v>442</v>
      </c>
      <c r="F1024" s="15" t="str">
        <f>"2170719781 "</f>
        <v xml:space="preserve">2170719781 </v>
      </c>
      <c r="G1024" s="15" t="str">
        <f t="shared" si="30"/>
        <v>ON1</v>
      </c>
      <c r="H1024" s="15" t="s">
        <v>21</v>
      </c>
      <c r="I1024" s="15" t="s">
        <v>48</v>
      </c>
      <c r="J1024" s="15" t="str">
        <f>""</f>
        <v/>
      </c>
      <c r="K1024" s="15" t="str">
        <f>"PFES1162727822_0001"</f>
        <v>PFES1162727822_0001</v>
      </c>
      <c r="L1024" s="15">
        <v>1</v>
      </c>
      <c r="M1024" s="15">
        <v>2</v>
      </c>
    </row>
    <row r="1025" spans="1:13">
      <c r="A1025" s="7">
        <v>43810</v>
      </c>
      <c r="B1025" s="8">
        <v>0.5180555555555556</v>
      </c>
      <c r="C1025" s="15" t="str">
        <f>"FES1162727703"</f>
        <v>FES1162727703</v>
      </c>
      <c r="D1025" s="15" t="s">
        <v>19</v>
      </c>
      <c r="E1025" s="15" t="s">
        <v>637</v>
      </c>
      <c r="F1025" s="15" t="str">
        <f>"21707150630 "</f>
        <v xml:space="preserve">21707150630 </v>
      </c>
      <c r="G1025" s="15" t="str">
        <f t="shared" si="30"/>
        <v>ON1</v>
      </c>
      <c r="H1025" s="15" t="s">
        <v>21</v>
      </c>
      <c r="I1025" s="15" t="s">
        <v>119</v>
      </c>
      <c r="J1025" s="15" t="str">
        <f>""</f>
        <v/>
      </c>
      <c r="K1025" s="15" t="str">
        <f>"PFES1162727703_0001"</f>
        <v>PFES1162727703_0001</v>
      </c>
      <c r="L1025" s="15">
        <v>1</v>
      </c>
      <c r="M1025" s="15">
        <v>3</v>
      </c>
    </row>
    <row r="1026" spans="1:13">
      <c r="A1026" s="7">
        <v>43810</v>
      </c>
      <c r="B1026" s="8">
        <v>0.5180555555555556</v>
      </c>
      <c r="C1026" s="15" t="str">
        <f>"FES1162727817"</f>
        <v>FES1162727817</v>
      </c>
      <c r="D1026" s="15" t="s">
        <v>19</v>
      </c>
      <c r="E1026" s="15" t="s">
        <v>42</v>
      </c>
      <c r="F1026" s="15" t="str">
        <f>"21707193892 "</f>
        <v xml:space="preserve">21707193892 </v>
      </c>
      <c r="G1026" s="15" t="str">
        <f t="shared" si="30"/>
        <v>ON1</v>
      </c>
      <c r="H1026" s="15" t="s">
        <v>21</v>
      </c>
      <c r="I1026" s="15" t="s">
        <v>43</v>
      </c>
      <c r="J1026" s="15" t="str">
        <f>""</f>
        <v/>
      </c>
      <c r="K1026" s="15" t="str">
        <f>"PFES1162727817_0001"</f>
        <v>PFES1162727817_0001</v>
      </c>
      <c r="L1026" s="15">
        <v>1</v>
      </c>
      <c r="M1026" s="15">
        <v>2</v>
      </c>
    </row>
    <row r="1027" spans="1:13">
      <c r="A1027" s="7">
        <v>43810</v>
      </c>
      <c r="B1027" s="8">
        <v>0.51736111111111105</v>
      </c>
      <c r="C1027" s="15" t="str">
        <f>"FES1162727711"</f>
        <v>FES1162727711</v>
      </c>
      <c r="D1027" s="15" t="s">
        <v>19</v>
      </c>
      <c r="E1027" s="15" t="s">
        <v>101</v>
      </c>
      <c r="F1027" s="15" t="str">
        <f>"21707120187 "</f>
        <v xml:space="preserve">21707120187 </v>
      </c>
      <c r="G1027" s="15" t="str">
        <f t="shared" si="30"/>
        <v>ON1</v>
      </c>
      <c r="H1027" s="15" t="s">
        <v>21</v>
      </c>
      <c r="I1027" s="15" t="s">
        <v>102</v>
      </c>
      <c r="J1027" s="15" t="str">
        <f>""</f>
        <v/>
      </c>
      <c r="K1027" s="15" t="str">
        <f>"PFES1162727711_0001"</f>
        <v>PFES1162727711_0001</v>
      </c>
      <c r="L1027" s="15">
        <v>1</v>
      </c>
      <c r="M1027" s="15">
        <v>11</v>
      </c>
    </row>
    <row r="1028" spans="1:13">
      <c r="A1028" s="7">
        <v>43810</v>
      </c>
      <c r="B1028" s="8">
        <v>0.51388888888888895</v>
      </c>
      <c r="C1028" s="15" t="str">
        <f>"FES1162727689"</f>
        <v>FES1162727689</v>
      </c>
      <c r="D1028" s="15" t="s">
        <v>19</v>
      </c>
      <c r="E1028" s="15" t="s">
        <v>120</v>
      </c>
      <c r="F1028" s="15" t="str">
        <f>"217071126 "</f>
        <v xml:space="preserve">217071126 </v>
      </c>
      <c r="G1028" s="15" t="str">
        <f t="shared" si="30"/>
        <v>ON1</v>
      </c>
      <c r="H1028" s="15" t="s">
        <v>21</v>
      </c>
      <c r="I1028" s="15" t="s">
        <v>121</v>
      </c>
      <c r="J1028" s="15" t="str">
        <f>""</f>
        <v/>
      </c>
      <c r="K1028" s="15" t="str">
        <f>"PFES1162727689_0001"</f>
        <v>PFES1162727689_0001</v>
      </c>
      <c r="L1028" s="15">
        <v>1</v>
      </c>
      <c r="M1028" s="15">
        <v>1</v>
      </c>
    </row>
    <row r="1029" spans="1:13">
      <c r="A1029" s="7">
        <v>43810</v>
      </c>
      <c r="B1029" s="8">
        <v>0.5131944444444444</v>
      </c>
      <c r="C1029" s="15" t="str">
        <f>"FES1162727798"</f>
        <v>FES1162727798</v>
      </c>
      <c r="D1029" s="15" t="s">
        <v>19</v>
      </c>
      <c r="E1029" s="15" t="s">
        <v>324</v>
      </c>
      <c r="F1029" s="15" t="str">
        <f>"2170718771 "</f>
        <v xml:space="preserve">2170718771 </v>
      </c>
      <c r="G1029" s="15" t="str">
        <f t="shared" si="30"/>
        <v>ON1</v>
      </c>
      <c r="H1029" s="15" t="s">
        <v>21</v>
      </c>
      <c r="I1029" s="15" t="s">
        <v>325</v>
      </c>
      <c r="J1029" s="15" t="str">
        <f>""</f>
        <v/>
      </c>
      <c r="K1029" s="15" t="str">
        <f>"PFES1162727798_0001"</f>
        <v>PFES1162727798_0001</v>
      </c>
      <c r="L1029" s="15">
        <v>1</v>
      </c>
      <c r="M1029" s="15">
        <v>1</v>
      </c>
    </row>
    <row r="1030" spans="1:13">
      <c r="A1030" s="7">
        <v>43810</v>
      </c>
      <c r="B1030" s="8">
        <v>0.5131944444444444</v>
      </c>
      <c r="C1030" s="15" t="str">
        <f>"FES1162727739"</f>
        <v>FES1162727739</v>
      </c>
      <c r="D1030" s="15" t="s">
        <v>19</v>
      </c>
      <c r="E1030" s="15" t="s">
        <v>638</v>
      </c>
      <c r="F1030" s="15" t="str">
        <f>"21707121218 "</f>
        <v xml:space="preserve">21707121218 </v>
      </c>
      <c r="G1030" s="15" t="str">
        <f t="shared" si="30"/>
        <v>ON1</v>
      </c>
      <c r="H1030" s="15" t="s">
        <v>21</v>
      </c>
      <c r="I1030" s="15" t="s">
        <v>609</v>
      </c>
      <c r="J1030" s="15" t="str">
        <f>""</f>
        <v/>
      </c>
      <c r="K1030" s="15" t="str">
        <f>"PFES1162727739_0001"</f>
        <v>PFES1162727739_0001</v>
      </c>
      <c r="L1030" s="15">
        <v>1</v>
      </c>
      <c r="M1030" s="15">
        <v>1</v>
      </c>
    </row>
    <row r="1031" spans="1:13">
      <c r="A1031" s="7">
        <v>43810</v>
      </c>
      <c r="B1031" s="8">
        <v>0.51250000000000007</v>
      </c>
      <c r="C1031" s="15" t="str">
        <f>"FES1162727808"</f>
        <v>FES1162727808</v>
      </c>
      <c r="D1031" s="15" t="s">
        <v>19</v>
      </c>
      <c r="E1031" s="15" t="s">
        <v>38</v>
      </c>
      <c r="F1031" s="15" t="str">
        <f>"21707191885 "</f>
        <v xml:space="preserve">21707191885 </v>
      </c>
      <c r="G1031" s="15" t="str">
        <f t="shared" si="30"/>
        <v>ON1</v>
      </c>
      <c r="H1031" s="15" t="s">
        <v>21</v>
      </c>
      <c r="I1031" s="15" t="s">
        <v>39</v>
      </c>
      <c r="J1031" s="15" t="str">
        <f>""</f>
        <v/>
      </c>
      <c r="K1031" s="15" t="str">
        <f>"PFES1162727808_0001"</f>
        <v>PFES1162727808_0001</v>
      </c>
      <c r="L1031" s="15">
        <v>1</v>
      </c>
      <c r="M1031" s="15">
        <v>1</v>
      </c>
    </row>
    <row r="1032" spans="1:13">
      <c r="A1032" s="7">
        <v>43810</v>
      </c>
      <c r="B1032" s="8">
        <v>0.51180555555555551</v>
      </c>
      <c r="C1032" s="15" t="str">
        <f>"FES1162727820"</f>
        <v>FES1162727820</v>
      </c>
      <c r="D1032" s="15" t="s">
        <v>19</v>
      </c>
      <c r="E1032" s="15" t="s">
        <v>442</v>
      </c>
      <c r="F1032" s="15" t="str">
        <f>"2170719495 "</f>
        <v xml:space="preserve">2170719495 </v>
      </c>
      <c r="G1032" s="15" t="str">
        <f t="shared" si="30"/>
        <v>ON1</v>
      </c>
      <c r="H1032" s="15" t="s">
        <v>21</v>
      </c>
      <c r="I1032" s="15" t="s">
        <v>48</v>
      </c>
      <c r="J1032" s="15" t="str">
        <f>""</f>
        <v/>
      </c>
      <c r="K1032" s="15" t="str">
        <f>"PFES1162727820_0001"</f>
        <v>PFES1162727820_0001</v>
      </c>
      <c r="L1032" s="15">
        <v>1</v>
      </c>
      <c r="M1032" s="15">
        <v>1</v>
      </c>
    </row>
    <row r="1033" spans="1:13">
      <c r="A1033" s="7">
        <v>43810</v>
      </c>
      <c r="B1033" s="8">
        <v>0.51180555555555551</v>
      </c>
      <c r="C1033" s="15" t="str">
        <f>"FES1162727814"</f>
        <v>FES1162727814</v>
      </c>
      <c r="D1033" s="15" t="s">
        <v>19</v>
      </c>
      <c r="E1033" s="15" t="s">
        <v>639</v>
      </c>
      <c r="F1033" s="15" t="str">
        <f>"2170719283 "</f>
        <v xml:space="preserve">2170719283 </v>
      </c>
      <c r="G1033" s="15" t="str">
        <f t="shared" si="30"/>
        <v>ON1</v>
      </c>
      <c r="H1033" s="15" t="s">
        <v>21</v>
      </c>
      <c r="I1033" s="15" t="s">
        <v>438</v>
      </c>
      <c r="J1033" s="15" t="str">
        <f>""</f>
        <v/>
      </c>
      <c r="K1033" s="15" t="str">
        <f>"PFES1162727814_0001"</f>
        <v>PFES1162727814_0001</v>
      </c>
      <c r="L1033" s="15">
        <v>1</v>
      </c>
      <c r="M1033" s="15">
        <v>1</v>
      </c>
    </row>
    <row r="1034" spans="1:13">
      <c r="A1034" s="7">
        <v>43810</v>
      </c>
      <c r="B1034" s="8">
        <v>0.49791666666666662</v>
      </c>
      <c r="C1034" s="15" t="str">
        <f>"FES1162727693"</f>
        <v>FES1162727693</v>
      </c>
      <c r="D1034" s="15" t="s">
        <v>19</v>
      </c>
      <c r="E1034" s="15" t="s">
        <v>116</v>
      </c>
      <c r="F1034" s="15" t="str">
        <f>"2170721186 "</f>
        <v xml:space="preserve">2170721186 </v>
      </c>
      <c r="G1034" s="15" t="str">
        <f t="shared" si="30"/>
        <v>ON1</v>
      </c>
      <c r="H1034" s="15" t="s">
        <v>21</v>
      </c>
      <c r="I1034" s="15" t="s">
        <v>117</v>
      </c>
      <c r="J1034" s="15" t="str">
        <f>""</f>
        <v/>
      </c>
      <c r="K1034" s="15" t="str">
        <f>"PFES1162727693_0001"</f>
        <v>PFES1162727693_0001</v>
      </c>
      <c r="L1034" s="15">
        <v>1</v>
      </c>
      <c r="M1034" s="15">
        <v>2</v>
      </c>
    </row>
    <row r="1035" spans="1:13">
      <c r="A1035" s="7">
        <v>43810</v>
      </c>
      <c r="B1035" s="8">
        <v>0.49791666666666662</v>
      </c>
      <c r="C1035" s="15" t="str">
        <f>"FES1162727653"</f>
        <v>FES1162727653</v>
      </c>
      <c r="D1035" s="15" t="s">
        <v>19</v>
      </c>
      <c r="E1035" s="15" t="s">
        <v>101</v>
      </c>
      <c r="F1035" s="15" t="str">
        <f>"2170721144 "</f>
        <v xml:space="preserve">2170721144 </v>
      </c>
      <c r="G1035" s="15" t="str">
        <f t="shared" si="30"/>
        <v>ON1</v>
      </c>
      <c r="H1035" s="15" t="s">
        <v>21</v>
      </c>
      <c r="I1035" s="15" t="s">
        <v>102</v>
      </c>
      <c r="J1035" s="15" t="str">
        <f>""</f>
        <v/>
      </c>
      <c r="K1035" s="15" t="str">
        <f>"PFES1162727653_0001"</f>
        <v>PFES1162727653_0001</v>
      </c>
      <c r="L1035" s="15">
        <v>1</v>
      </c>
      <c r="M1035" s="15">
        <v>7</v>
      </c>
    </row>
    <row r="1036" spans="1:13">
      <c r="A1036" s="7">
        <v>43810</v>
      </c>
      <c r="B1036" s="8">
        <v>0.49722222222222223</v>
      </c>
      <c r="C1036" s="15" t="str">
        <f>"FES1162727657"</f>
        <v>FES1162727657</v>
      </c>
      <c r="D1036" s="15" t="s">
        <v>19</v>
      </c>
      <c r="E1036" s="15" t="s">
        <v>291</v>
      </c>
      <c r="F1036" s="15" t="str">
        <f>"2170721158 "</f>
        <v xml:space="preserve">2170721158 </v>
      </c>
      <c r="G1036" s="15" t="str">
        <f t="shared" si="30"/>
        <v>ON1</v>
      </c>
      <c r="H1036" s="15" t="s">
        <v>21</v>
      </c>
      <c r="I1036" s="15" t="s">
        <v>41</v>
      </c>
      <c r="J1036" s="15" t="str">
        <f>""</f>
        <v/>
      </c>
      <c r="K1036" s="15" t="str">
        <f>"PFES1162727657_0001"</f>
        <v>PFES1162727657_0001</v>
      </c>
      <c r="L1036" s="15">
        <v>1</v>
      </c>
      <c r="M1036" s="15">
        <v>4</v>
      </c>
    </row>
    <row r="1037" spans="1:13">
      <c r="A1037" s="7">
        <v>43810</v>
      </c>
      <c r="B1037" s="8">
        <v>0.49652777777777773</v>
      </c>
      <c r="C1037" s="15" t="str">
        <f>"FES1162727697"</f>
        <v>FES1162727697</v>
      </c>
      <c r="D1037" s="15" t="s">
        <v>19</v>
      </c>
      <c r="E1037" s="15" t="s">
        <v>124</v>
      </c>
      <c r="F1037" s="15" t="str">
        <f>"217071192 "</f>
        <v xml:space="preserve">217071192 </v>
      </c>
      <c r="G1037" s="15" t="str">
        <f t="shared" si="30"/>
        <v>ON1</v>
      </c>
      <c r="H1037" s="15" t="s">
        <v>21</v>
      </c>
      <c r="I1037" s="15" t="s">
        <v>125</v>
      </c>
      <c r="J1037" s="15" t="str">
        <f>""</f>
        <v/>
      </c>
      <c r="K1037" s="15" t="str">
        <f>"PFES1162727697_0001"</f>
        <v>PFES1162727697_0001</v>
      </c>
      <c r="L1037" s="15">
        <v>1</v>
      </c>
      <c r="M1037" s="15">
        <v>9</v>
      </c>
    </row>
    <row r="1038" spans="1:13">
      <c r="A1038" s="7">
        <v>43810</v>
      </c>
      <c r="B1038" s="8">
        <v>0.49652777777777773</v>
      </c>
      <c r="C1038" s="15" t="str">
        <f>"FES1162727763"</f>
        <v>FES1162727763</v>
      </c>
      <c r="D1038" s="15" t="s">
        <v>19</v>
      </c>
      <c r="E1038" s="15" t="s">
        <v>61</v>
      </c>
      <c r="F1038" s="15" t="str">
        <f>"217071247 "</f>
        <v xml:space="preserve">217071247 </v>
      </c>
      <c r="G1038" s="15" t="str">
        <f t="shared" si="30"/>
        <v>ON1</v>
      </c>
      <c r="H1038" s="15" t="s">
        <v>21</v>
      </c>
      <c r="I1038" s="15" t="s">
        <v>62</v>
      </c>
      <c r="J1038" s="15" t="str">
        <f>""</f>
        <v/>
      </c>
      <c r="K1038" s="15" t="str">
        <f>"PFES1162727763_0001"</f>
        <v>PFES1162727763_0001</v>
      </c>
      <c r="L1038" s="15">
        <v>1</v>
      </c>
      <c r="M1038" s="15">
        <v>1</v>
      </c>
    </row>
    <row r="1039" spans="1:13">
      <c r="A1039" s="7">
        <v>43810</v>
      </c>
      <c r="B1039" s="8">
        <v>0.49652777777777773</v>
      </c>
      <c r="C1039" s="15" t="str">
        <f>"FES1162727823"</f>
        <v>FES1162727823</v>
      </c>
      <c r="D1039" s="15" t="s">
        <v>19</v>
      </c>
      <c r="E1039" s="15" t="s">
        <v>34</v>
      </c>
      <c r="F1039" s="15" t="str">
        <f>"2170720626 "</f>
        <v xml:space="preserve">2170720626 </v>
      </c>
      <c r="G1039" s="15" t="str">
        <f t="shared" si="30"/>
        <v>ON1</v>
      </c>
      <c r="H1039" s="15" t="s">
        <v>21</v>
      </c>
      <c r="I1039" s="15" t="s">
        <v>35</v>
      </c>
      <c r="J1039" s="15" t="str">
        <f>""</f>
        <v/>
      </c>
      <c r="K1039" s="15" t="str">
        <f>"PFES1162727823_0001"</f>
        <v>PFES1162727823_0001</v>
      </c>
      <c r="L1039" s="15">
        <v>1</v>
      </c>
      <c r="M1039" s="15">
        <v>1</v>
      </c>
    </row>
    <row r="1040" spans="1:13">
      <c r="A1040" s="7">
        <v>43810</v>
      </c>
      <c r="B1040" s="8">
        <v>0.49583333333333335</v>
      </c>
      <c r="C1040" s="15" t="str">
        <f>"FES1162727796"</f>
        <v>FES1162727796</v>
      </c>
      <c r="D1040" s="15" t="s">
        <v>19</v>
      </c>
      <c r="E1040" s="15" t="s">
        <v>534</v>
      </c>
      <c r="F1040" s="15" t="str">
        <f>"2170718764 "</f>
        <v xml:space="preserve">2170718764 </v>
      </c>
      <c r="G1040" s="15" t="str">
        <f t="shared" si="30"/>
        <v>ON1</v>
      </c>
      <c r="H1040" s="15" t="s">
        <v>21</v>
      </c>
      <c r="I1040" s="15" t="s">
        <v>535</v>
      </c>
      <c r="J1040" s="15" t="str">
        <f>""</f>
        <v/>
      </c>
      <c r="K1040" s="15" t="str">
        <f>"PFES1162727796_0001"</f>
        <v>PFES1162727796_0001</v>
      </c>
      <c r="L1040" s="15">
        <v>1</v>
      </c>
      <c r="M1040" s="15">
        <v>1</v>
      </c>
    </row>
    <row r="1041" spans="1:13">
      <c r="A1041" s="7">
        <v>43810</v>
      </c>
      <c r="B1041" s="8">
        <v>0.49583333333333335</v>
      </c>
      <c r="C1041" s="15" t="str">
        <f>"FES1162727807"</f>
        <v>FES1162727807</v>
      </c>
      <c r="D1041" s="15" t="s">
        <v>19</v>
      </c>
      <c r="E1041" s="15" t="s">
        <v>324</v>
      </c>
      <c r="F1041" s="15" t="str">
        <f>"2170719073 "</f>
        <v xml:space="preserve">2170719073 </v>
      </c>
      <c r="G1041" s="15" t="str">
        <f t="shared" si="30"/>
        <v>ON1</v>
      </c>
      <c r="H1041" s="15" t="s">
        <v>21</v>
      </c>
      <c r="I1041" s="15" t="s">
        <v>325</v>
      </c>
      <c r="J1041" s="15" t="str">
        <f>""</f>
        <v/>
      </c>
      <c r="K1041" s="15" t="str">
        <f>"PFES1162727807_0001"</f>
        <v>PFES1162727807_0001</v>
      </c>
      <c r="L1041" s="15">
        <v>1</v>
      </c>
      <c r="M1041" s="15">
        <v>1</v>
      </c>
    </row>
    <row r="1042" spans="1:13">
      <c r="A1042" s="7">
        <v>43810</v>
      </c>
      <c r="B1042" s="8">
        <v>0.49583333333333335</v>
      </c>
      <c r="C1042" s="15" t="str">
        <f>"FES1162727810"</f>
        <v>FES1162727810</v>
      </c>
      <c r="D1042" s="15" t="s">
        <v>19</v>
      </c>
      <c r="E1042" s="15" t="s">
        <v>142</v>
      </c>
      <c r="F1042" s="15" t="str">
        <f>"2170719152 "</f>
        <v xml:space="preserve">2170719152 </v>
      </c>
      <c r="G1042" s="15" t="str">
        <f t="shared" si="30"/>
        <v>ON1</v>
      </c>
      <c r="H1042" s="15" t="s">
        <v>21</v>
      </c>
      <c r="I1042" s="15" t="s">
        <v>37</v>
      </c>
      <c r="J1042" s="15" t="str">
        <f>""</f>
        <v/>
      </c>
      <c r="K1042" s="15" t="str">
        <f>"PFES1162727810_0001"</f>
        <v>PFES1162727810_0001</v>
      </c>
      <c r="L1042" s="15">
        <v>1</v>
      </c>
      <c r="M1042" s="15">
        <v>1</v>
      </c>
    </row>
    <row r="1043" spans="1:13">
      <c r="A1043" s="7">
        <v>43810</v>
      </c>
      <c r="B1043" s="8">
        <v>0.49513888888888885</v>
      </c>
      <c r="C1043" s="15" t="str">
        <f>"FES1162727816"</f>
        <v>FES1162727816</v>
      </c>
      <c r="D1043" s="15" t="s">
        <v>19</v>
      </c>
      <c r="E1043" s="15" t="s">
        <v>194</v>
      </c>
      <c r="F1043" s="15" t="str">
        <f>"2170719299 "</f>
        <v xml:space="preserve">2170719299 </v>
      </c>
      <c r="G1043" s="15" t="str">
        <f t="shared" si="30"/>
        <v>ON1</v>
      </c>
      <c r="H1043" s="15" t="s">
        <v>21</v>
      </c>
      <c r="I1043" s="15" t="s">
        <v>37</v>
      </c>
      <c r="J1043" s="15" t="str">
        <f>""</f>
        <v/>
      </c>
      <c r="K1043" s="15" t="str">
        <f>"PFES1162727816_0001"</f>
        <v>PFES1162727816_0001</v>
      </c>
      <c r="L1043" s="15">
        <v>1</v>
      </c>
      <c r="M1043" s="15">
        <v>1</v>
      </c>
    </row>
    <row r="1044" spans="1:13">
      <c r="A1044" s="7">
        <v>43810</v>
      </c>
      <c r="B1044" s="8">
        <v>0.49513888888888885</v>
      </c>
      <c r="C1044" s="15" t="str">
        <f>"FES1162727812"</f>
        <v>FES1162727812</v>
      </c>
      <c r="D1044" s="15" t="s">
        <v>19</v>
      </c>
      <c r="E1044" s="15" t="s">
        <v>151</v>
      </c>
      <c r="F1044" s="15" t="str">
        <f>"2170719234 "</f>
        <v xml:space="preserve">2170719234 </v>
      </c>
      <c r="G1044" s="15" t="str">
        <f t="shared" si="30"/>
        <v>ON1</v>
      </c>
      <c r="H1044" s="15" t="s">
        <v>21</v>
      </c>
      <c r="I1044" s="15" t="s">
        <v>152</v>
      </c>
      <c r="J1044" s="15" t="str">
        <f>""</f>
        <v/>
      </c>
      <c r="K1044" s="15" t="str">
        <f>"PFES1162727812_0001"</f>
        <v>PFES1162727812_0001</v>
      </c>
      <c r="L1044" s="15">
        <v>1</v>
      </c>
      <c r="M1044" s="15">
        <v>1</v>
      </c>
    </row>
    <row r="1045" spans="1:13">
      <c r="A1045" s="7">
        <v>43810</v>
      </c>
      <c r="B1045" s="8">
        <v>0.49236111111111108</v>
      </c>
      <c r="C1045" s="15" t="str">
        <f>"FES1162727745"</f>
        <v>FES1162727745</v>
      </c>
      <c r="D1045" s="15" t="s">
        <v>19</v>
      </c>
      <c r="E1045" s="15" t="s">
        <v>640</v>
      </c>
      <c r="F1045" s="15" t="str">
        <f>"217071225 "</f>
        <v xml:space="preserve">217071225 </v>
      </c>
      <c r="G1045" s="15" t="str">
        <f t="shared" si="30"/>
        <v>ON1</v>
      </c>
      <c r="H1045" s="15" t="s">
        <v>21</v>
      </c>
      <c r="I1045" s="15" t="s">
        <v>193</v>
      </c>
      <c r="J1045" s="15" t="str">
        <f>""</f>
        <v/>
      </c>
      <c r="K1045" s="15" t="str">
        <f>"PFES1162727745_0001"</f>
        <v>PFES1162727745_0001</v>
      </c>
      <c r="L1045" s="15">
        <v>1</v>
      </c>
      <c r="M1045" s="15">
        <v>1</v>
      </c>
    </row>
    <row r="1046" spans="1:13">
      <c r="A1046" s="7">
        <v>43810</v>
      </c>
      <c r="B1046" s="8">
        <v>0.49236111111111108</v>
      </c>
      <c r="C1046" s="15" t="str">
        <f>"FES1162727787"</f>
        <v>FES1162727787</v>
      </c>
      <c r="D1046" s="15" t="s">
        <v>19</v>
      </c>
      <c r="E1046" s="15" t="s">
        <v>262</v>
      </c>
      <c r="F1046" s="15" t="str">
        <f>"2170712753 "</f>
        <v xml:space="preserve">2170712753 </v>
      </c>
      <c r="G1046" s="15" t="str">
        <f t="shared" si="30"/>
        <v>ON1</v>
      </c>
      <c r="H1046" s="15" t="s">
        <v>21</v>
      </c>
      <c r="I1046" s="15" t="s">
        <v>235</v>
      </c>
      <c r="J1046" s="15" t="str">
        <f>""</f>
        <v/>
      </c>
      <c r="K1046" s="15" t="str">
        <f>"PFES1162727787_0001"</f>
        <v>PFES1162727787_0001</v>
      </c>
      <c r="L1046" s="15">
        <v>1</v>
      </c>
      <c r="M1046" s="15">
        <v>1</v>
      </c>
    </row>
    <row r="1047" spans="1:13">
      <c r="A1047" s="7">
        <v>43810</v>
      </c>
      <c r="B1047" s="8">
        <v>0.4916666666666667</v>
      </c>
      <c r="C1047" s="15" t="str">
        <f>"FES1162727825"</f>
        <v>FES1162727825</v>
      </c>
      <c r="D1047" s="15" t="s">
        <v>19</v>
      </c>
      <c r="E1047" s="15" t="s">
        <v>34</v>
      </c>
      <c r="F1047" s="15" t="str">
        <f>"2170272124 "</f>
        <v xml:space="preserve">2170272124 </v>
      </c>
      <c r="G1047" s="15" t="str">
        <f t="shared" si="30"/>
        <v>ON1</v>
      </c>
      <c r="H1047" s="15" t="s">
        <v>21</v>
      </c>
      <c r="I1047" s="15" t="s">
        <v>35</v>
      </c>
      <c r="J1047" s="15" t="str">
        <f>""</f>
        <v/>
      </c>
      <c r="K1047" s="15" t="str">
        <f>"PFES1162727825_0001"</f>
        <v>PFES1162727825_0001</v>
      </c>
      <c r="L1047" s="15">
        <v>1</v>
      </c>
      <c r="M1047" s="15">
        <v>1</v>
      </c>
    </row>
    <row r="1048" spans="1:13">
      <c r="A1048" s="7">
        <v>43810</v>
      </c>
      <c r="B1048" s="8">
        <v>0.4916666666666667</v>
      </c>
      <c r="C1048" s="15" t="str">
        <f>"FES1162727826"</f>
        <v>FES1162727826</v>
      </c>
      <c r="D1048" s="15" t="s">
        <v>19</v>
      </c>
      <c r="E1048" s="15" t="s">
        <v>34</v>
      </c>
      <c r="F1048" s="15" t="str">
        <f>"2170712175 "</f>
        <v xml:space="preserve">2170712175 </v>
      </c>
      <c r="G1048" s="15" t="str">
        <f t="shared" si="30"/>
        <v>ON1</v>
      </c>
      <c r="H1048" s="15" t="s">
        <v>21</v>
      </c>
      <c r="I1048" s="15" t="s">
        <v>35</v>
      </c>
      <c r="J1048" s="15" t="str">
        <f>""</f>
        <v/>
      </c>
      <c r="K1048" s="15" t="str">
        <f>"PFES1162727826_0001"</f>
        <v>PFES1162727826_0001</v>
      </c>
      <c r="L1048" s="15">
        <v>1</v>
      </c>
      <c r="M1048" s="15">
        <v>1</v>
      </c>
    </row>
    <row r="1049" spans="1:13">
      <c r="A1049" s="7">
        <v>43810</v>
      </c>
      <c r="B1049" s="8">
        <v>0.4909722222222222</v>
      </c>
      <c r="C1049" s="15" t="str">
        <f>"FES1162727666"</f>
        <v>FES1162727666</v>
      </c>
      <c r="D1049" s="15" t="s">
        <v>19</v>
      </c>
      <c r="E1049" s="15" t="s">
        <v>641</v>
      </c>
      <c r="F1049" s="15" t="str">
        <f>"21707102117 "</f>
        <v xml:space="preserve">21707102117 </v>
      </c>
      <c r="G1049" s="15" t="str">
        <f t="shared" si="30"/>
        <v>ON1</v>
      </c>
      <c r="H1049" s="15" t="s">
        <v>21</v>
      </c>
      <c r="I1049" s="15" t="s">
        <v>642</v>
      </c>
      <c r="J1049" s="15" t="str">
        <f>""</f>
        <v/>
      </c>
      <c r="K1049" s="15" t="str">
        <f>"PFES1162727666_0001"</f>
        <v>PFES1162727666_0001</v>
      </c>
      <c r="L1049" s="15">
        <v>1</v>
      </c>
      <c r="M1049" s="15">
        <v>11</v>
      </c>
    </row>
    <row r="1050" spans="1:13">
      <c r="A1050" s="7">
        <v>43810</v>
      </c>
      <c r="B1050" s="8">
        <v>0.4909722222222222</v>
      </c>
      <c r="C1050" s="15" t="str">
        <f>"FES1162727733"</f>
        <v>FES1162727733</v>
      </c>
      <c r="D1050" s="15" t="s">
        <v>19</v>
      </c>
      <c r="E1050" s="15" t="s">
        <v>59</v>
      </c>
      <c r="F1050" s="15" t="str">
        <f>"2170712018 "</f>
        <v xml:space="preserve">2170712018 </v>
      </c>
      <c r="G1050" s="15" t="str">
        <f t="shared" si="30"/>
        <v>ON1</v>
      </c>
      <c r="H1050" s="15" t="s">
        <v>21</v>
      </c>
      <c r="I1050" s="15" t="s">
        <v>60</v>
      </c>
      <c r="J1050" s="15" t="str">
        <f>""</f>
        <v/>
      </c>
      <c r="K1050" s="15" t="str">
        <f>"PFES1162727733_0001"</f>
        <v>PFES1162727733_0001</v>
      </c>
      <c r="L1050" s="15">
        <v>1</v>
      </c>
      <c r="M1050" s="15">
        <v>1</v>
      </c>
    </row>
    <row r="1051" spans="1:13">
      <c r="A1051" s="7">
        <v>43810</v>
      </c>
      <c r="B1051" s="8">
        <v>0.49027777777777781</v>
      </c>
      <c r="C1051" s="15" t="str">
        <f>"FES1162727717"</f>
        <v>FES1162727717</v>
      </c>
      <c r="D1051" s="15" t="s">
        <v>19</v>
      </c>
      <c r="E1051" s="15" t="s">
        <v>293</v>
      </c>
      <c r="F1051" s="15" t="str">
        <f>"2170716743 "</f>
        <v xml:space="preserve">2170716743 </v>
      </c>
      <c r="G1051" s="15" t="str">
        <f t="shared" si="30"/>
        <v>ON1</v>
      </c>
      <c r="H1051" s="15" t="s">
        <v>21</v>
      </c>
      <c r="I1051" s="15" t="s">
        <v>294</v>
      </c>
      <c r="J1051" s="15" t="str">
        <f>""</f>
        <v/>
      </c>
      <c r="K1051" s="15" t="str">
        <f>"PFES1162727717_0001"</f>
        <v>PFES1162727717_0001</v>
      </c>
      <c r="L1051" s="15">
        <v>1</v>
      </c>
      <c r="M1051" s="15">
        <v>1</v>
      </c>
    </row>
    <row r="1052" spans="1:13">
      <c r="A1052" s="7">
        <v>43810</v>
      </c>
      <c r="B1052" s="8">
        <v>0.49027777777777781</v>
      </c>
      <c r="C1052" s="15" t="str">
        <f>"FES1162727735"</f>
        <v>FES1162727735</v>
      </c>
      <c r="D1052" s="15" t="s">
        <v>19</v>
      </c>
      <c r="E1052" s="15" t="s">
        <v>59</v>
      </c>
      <c r="F1052" s="15" t="str">
        <f>"2170712121 "</f>
        <v xml:space="preserve">2170712121 </v>
      </c>
      <c r="G1052" s="15" t="str">
        <f t="shared" si="30"/>
        <v>ON1</v>
      </c>
      <c r="H1052" s="15" t="s">
        <v>21</v>
      </c>
      <c r="I1052" s="15" t="s">
        <v>60</v>
      </c>
      <c r="J1052" s="15" t="str">
        <f>""</f>
        <v/>
      </c>
      <c r="K1052" s="15" t="str">
        <f>"PFES1162727735_0001"</f>
        <v>PFES1162727735_0001</v>
      </c>
      <c r="L1052" s="15">
        <v>1</v>
      </c>
      <c r="M1052" s="15">
        <v>5</v>
      </c>
    </row>
    <row r="1053" spans="1:13">
      <c r="A1053" s="7">
        <v>43810</v>
      </c>
      <c r="B1053" s="8">
        <v>0.49027777777777781</v>
      </c>
      <c r="C1053" s="15" t="str">
        <f>"FES1162727769"</f>
        <v>FES1162727769</v>
      </c>
      <c r="D1053" s="15" t="s">
        <v>19</v>
      </c>
      <c r="E1053" s="15" t="s">
        <v>507</v>
      </c>
      <c r="F1053" s="15" t="str">
        <f>"21707121256 "</f>
        <v xml:space="preserve">21707121256 </v>
      </c>
      <c r="G1053" s="15" t="str">
        <f t="shared" si="30"/>
        <v>ON1</v>
      </c>
      <c r="H1053" s="15" t="s">
        <v>21</v>
      </c>
      <c r="I1053" s="15" t="s">
        <v>508</v>
      </c>
      <c r="J1053" s="15" t="str">
        <f>""</f>
        <v/>
      </c>
      <c r="K1053" s="15" t="str">
        <f>"PFES1162727769_0001"</f>
        <v>PFES1162727769_0001</v>
      </c>
      <c r="L1053" s="15">
        <v>1</v>
      </c>
      <c r="M1053" s="15">
        <v>5</v>
      </c>
    </row>
    <row r="1054" spans="1:13">
      <c r="A1054" s="7">
        <v>43810</v>
      </c>
      <c r="B1054" s="8">
        <v>0.48055555555555557</v>
      </c>
      <c r="C1054" s="15" t="str">
        <f>"FES1162727702"</f>
        <v>FES1162727702</v>
      </c>
      <c r="D1054" s="15" t="s">
        <v>19</v>
      </c>
      <c r="E1054" s="15" t="s">
        <v>643</v>
      </c>
      <c r="F1054" s="15" t="str">
        <f>"217071452 "</f>
        <v xml:space="preserve">217071452 </v>
      </c>
      <c r="G1054" s="15" t="str">
        <f t="shared" si="30"/>
        <v>ON1</v>
      </c>
      <c r="H1054" s="15" t="s">
        <v>21</v>
      </c>
      <c r="I1054" s="15" t="s">
        <v>197</v>
      </c>
      <c r="J1054" s="15" t="str">
        <f>""</f>
        <v/>
      </c>
      <c r="K1054" s="15" t="str">
        <f>"PFES1162727702_0001"</f>
        <v>PFES1162727702_0001</v>
      </c>
      <c r="L1054" s="15">
        <v>1</v>
      </c>
      <c r="M1054" s="15">
        <v>4</v>
      </c>
    </row>
    <row r="1055" spans="1:13">
      <c r="A1055" s="7">
        <v>43810</v>
      </c>
      <c r="B1055" s="8">
        <v>0.47986111111111113</v>
      </c>
      <c r="C1055" s="15" t="str">
        <f>"FES1162727679"</f>
        <v>FES1162727679</v>
      </c>
      <c r="D1055" s="15" t="s">
        <v>19</v>
      </c>
      <c r="E1055" s="15" t="s">
        <v>572</v>
      </c>
      <c r="F1055" s="15" t="str">
        <f>"217071733 "</f>
        <v xml:space="preserve">217071733 </v>
      </c>
      <c r="G1055" s="15" t="str">
        <f t="shared" si="30"/>
        <v>ON1</v>
      </c>
      <c r="H1055" s="15" t="s">
        <v>21</v>
      </c>
      <c r="I1055" s="15" t="s">
        <v>573</v>
      </c>
      <c r="J1055" s="15" t="str">
        <f>""</f>
        <v/>
      </c>
      <c r="K1055" s="15" t="str">
        <f>"PFES1162727679_0001"</f>
        <v>PFES1162727679_0001</v>
      </c>
      <c r="L1055" s="15">
        <v>1</v>
      </c>
      <c r="M1055" s="15">
        <v>8</v>
      </c>
    </row>
    <row r="1056" spans="1:13">
      <c r="A1056" s="7">
        <v>43810</v>
      </c>
      <c r="B1056" s="8">
        <v>0.47916666666666669</v>
      </c>
      <c r="C1056" s="15" t="str">
        <f>"FES1162727746"</f>
        <v>FES1162727746</v>
      </c>
      <c r="D1056" s="15" t="s">
        <v>19</v>
      </c>
      <c r="E1056" s="15" t="s">
        <v>363</v>
      </c>
      <c r="F1056" s="15" t="str">
        <f>"217071228 "</f>
        <v xml:space="preserve">217071228 </v>
      </c>
      <c r="G1056" s="15" t="str">
        <f t="shared" si="30"/>
        <v>ON1</v>
      </c>
      <c r="H1056" s="15" t="s">
        <v>21</v>
      </c>
      <c r="I1056" s="15" t="s">
        <v>220</v>
      </c>
      <c r="J1056" s="15" t="str">
        <f>""</f>
        <v/>
      </c>
      <c r="K1056" s="15" t="str">
        <f>"PFES1162727746_0001"</f>
        <v>PFES1162727746_0001</v>
      </c>
      <c r="L1056" s="15">
        <v>1</v>
      </c>
      <c r="M1056" s="15">
        <v>3</v>
      </c>
    </row>
    <row r="1057" spans="1:13">
      <c r="A1057" s="7">
        <v>43810</v>
      </c>
      <c r="B1057" s="8">
        <v>0.47916666666666669</v>
      </c>
      <c r="C1057" s="15" t="str">
        <f>"FES1162727659"</f>
        <v>FES1162727659</v>
      </c>
      <c r="D1057" s="15" t="s">
        <v>19</v>
      </c>
      <c r="E1057" s="15" t="s">
        <v>124</v>
      </c>
      <c r="F1057" s="15" t="str">
        <f>"217071165 "</f>
        <v xml:space="preserve">217071165 </v>
      </c>
      <c r="G1057" s="15" t="str">
        <f t="shared" si="30"/>
        <v>ON1</v>
      </c>
      <c r="H1057" s="15" t="s">
        <v>21</v>
      </c>
      <c r="I1057" s="15" t="s">
        <v>125</v>
      </c>
      <c r="J1057" s="15" t="str">
        <f>""</f>
        <v/>
      </c>
      <c r="K1057" s="15" t="str">
        <f>"PFES1162727659_0001"</f>
        <v>PFES1162727659_0001</v>
      </c>
      <c r="L1057" s="15">
        <v>1</v>
      </c>
      <c r="M1057" s="15">
        <v>2</v>
      </c>
    </row>
    <row r="1058" spans="1:13">
      <c r="A1058" s="7">
        <v>43810</v>
      </c>
      <c r="B1058" s="8">
        <v>0.47847222222222219</v>
      </c>
      <c r="C1058" s="15" t="str">
        <f>"FES1162727698"</f>
        <v>FES1162727698</v>
      </c>
      <c r="D1058" s="15" t="s">
        <v>19</v>
      </c>
      <c r="E1058" s="15" t="s">
        <v>630</v>
      </c>
      <c r="F1058" s="15" t="str">
        <f>"21707107507 "</f>
        <v xml:space="preserve">21707107507 </v>
      </c>
      <c r="G1058" s="15" t="str">
        <f t="shared" si="30"/>
        <v>ON1</v>
      </c>
      <c r="H1058" s="15" t="s">
        <v>21</v>
      </c>
      <c r="I1058" s="15" t="s">
        <v>74</v>
      </c>
      <c r="J1058" s="15" t="str">
        <f>""</f>
        <v/>
      </c>
      <c r="K1058" s="15" t="str">
        <f>"PFES1162727698_0001"</f>
        <v>PFES1162727698_0001</v>
      </c>
      <c r="L1058" s="15">
        <v>1</v>
      </c>
      <c r="M1058" s="15">
        <v>15</v>
      </c>
    </row>
    <row r="1059" spans="1:13">
      <c r="A1059" s="7">
        <v>43810</v>
      </c>
      <c r="B1059" s="8">
        <v>0.4777777777777778</v>
      </c>
      <c r="C1059" s="15" t="str">
        <f>"FES1162727704"</f>
        <v>FES1162727704</v>
      </c>
      <c r="D1059" s="15" t="s">
        <v>19</v>
      </c>
      <c r="E1059" s="15" t="s">
        <v>42</v>
      </c>
      <c r="F1059" s="15" t="str">
        <f>"2170717762 "</f>
        <v xml:space="preserve">2170717762 </v>
      </c>
      <c r="G1059" s="15" t="str">
        <f t="shared" si="30"/>
        <v>ON1</v>
      </c>
      <c r="H1059" s="15" t="s">
        <v>21</v>
      </c>
      <c r="I1059" s="15" t="s">
        <v>43</v>
      </c>
      <c r="J1059" s="15" t="str">
        <f>""</f>
        <v/>
      </c>
      <c r="K1059" s="15" t="str">
        <f>"PFES1162727704_0001"</f>
        <v>PFES1162727704_0001</v>
      </c>
      <c r="L1059" s="15">
        <v>2</v>
      </c>
      <c r="M1059" s="15">
        <v>4</v>
      </c>
    </row>
    <row r="1060" spans="1:13">
      <c r="A1060" s="7">
        <v>43810</v>
      </c>
      <c r="B1060" s="8">
        <v>0.4777777777777778</v>
      </c>
      <c r="C1060" s="15" t="str">
        <f>"FES1162727704"</f>
        <v>FES1162727704</v>
      </c>
      <c r="D1060" s="15" t="s">
        <v>19</v>
      </c>
      <c r="E1060" s="15" t="s">
        <v>42</v>
      </c>
      <c r="F1060" s="15" t="str">
        <f>"2170717762 "</f>
        <v xml:space="preserve">2170717762 </v>
      </c>
      <c r="G1060" s="15" t="str">
        <f t="shared" si="30"/>
        <v>ON1</v>
      </c>
      <c r="H1060" s="15" t="s">
        <v>21</v>
      </c>
      <c r="I1060" s="15" t="s">
        <v>43</v>
      </c>
      <c r="J1060" s="15"/>
      <c r="K1060" s="15" t="str">
        <f>"PFES1162727704_0002"</f>
        <v>PFES1162727704_0002</v>
      </c>
      <c r="L1060" s="15">
        <v>2</v>
      </c>
      <c r="M1060" s="15">
        <v>4</v>
      </c>
    </row>
    <row r="1061" spans="1:13">
      <c r="A1061" s="7">
        <v>43810</v>
      </c>
      <c r="B1061" s="8">
        <v>0.4770833333333333</v>
      </c>
      <c r="C1061" s="15" t="str">
        <f>"FES1162727712"</f>
        <v>FES1162727712</v>
      </c>
      <c r="D1061" s="15" t="s">
        <v>19</v>
      </c>
      <c r="E1061" s="15" t="s">
        <v>239</v>
      </c>
      <c r="F1061" s="15" t="str">
        <f>"2170712015 "</f>
        <v xml:space="preserve">2170712015 </v>
      </c>
      <c r="G1061" s="15" t="str">
        <f t="shared" ref="G1061:G1124" si="31">"ON1"</f>
        <v>ON1</v>
      </c>
      <c r="H1061" s="15" t="s">
        <v>21</v>
      </c>
      <c r="I1061" s="15" t="s">
        <v>175</v>
      </c>
      <c r="J1061" s="15" t="str">
        <f>""</f>
        <v/>
      </c>
      <c r="K1061" s="15" t="str">
        <f>"PFES1162727712_0001"</f>
        <v>PFES1162727712_0001</v>
      </c>
      <c r="L1061" s="15">
        <v>1</v>
      </c>
      <c r="M1061" s="15">
        <v>5</v>
      </c>
    </row>
    <row r="1062" spans="1:13">
      <c r="A1062" s="7">
        <v>43810</v>
      </c>
      <c r="B1062" s="8">
        <v>0.4770833333333333</v>
      </c>
      <c r="C1062" s="15" t="str">
        <f>"FES1162727672"</f>
        <v>FES1162727672</v>
      </c>
      <c r="D1062" s="15" t="s">
        <v>19</v>
      </c>
      <c r="E1062" s="15" t="s">
        <v>644</v>
      </c>
      <c r="F1062" s="15" t="str">
        <f>"2170714726 "</f>
        <v xml:space="preserve">2170714726 </v>
      </c>
      <c r="G1062" s="15" t="str">
        <f t="shared" si="31"/>
        <v>ON1</v>
      </c>
      <c r="H1062" s="15" t="s">
        <v>21</v>
      </c>
      <c r="I1062" s="15" t="s">
        <v>123</v>
      </c>
      <c r="J1062" s="15" t="str">
        <f>""</f>
        <v/>
      </c>
      <c r="K1062" s="15" t="str">
        <f>"PFES1162727672_0001"</f>
        <v>PFES1162727672_0001</v>
      </c>
      <c r="L1062" s="15">
        <v>2</v>
      </c>
      <c r="M1062" s="15">
        <v>18</v>
      </c>
    </row>
    <row r="1063" spans="1:13">
      <c r="A1063" s="7">
        <v>43810</v>
      </c>
      <c r="B1063" s="8">
        <v>0.4770833333333333</v>
      </c>
      <c r="C1063" s="15" t="str">
        <f>"FES1162727672"</f>
        <v>FES1162727672</v>
      </c>
      <c r="D1063" s="15" t="s">
        <v>19</v>
      </c>
      <c r="E1063" s="15" t="s">
        <v>644</v>
      </c>
      <c r="F1063" s="15" t="str">
        <f>"2170714726 "</f>
        <v xml:space="preserve">2170714726 </v>
      </c>
      <c r="G1063" s="15" t="str">
        <f t="shared" si="31"/>
        <v>ON1</v>
      </c>
      <c r="H1063" s="15" t="s">
        <v>21</v>
      </c>
      <c r="I1063" s="15" t="s">
        <v>123</v>
      </c>
      <c r="J1063" s="15"/>
      <c r="K1063" s="15" t="str">
        <f>"PFES1162727672_0002"</f>
        <v>PFES1162727672_0002</v>
      </c>
      <c r="L1063" s="15">
        <v>2</v>
      </c>
      <c r="M1063" s="15">
        <v>18</v>
      </c>
    </row>
    <row r="1064" spans="1:13">
      <c r="A1064" s="7">
        <v>43810</v>
      </c>
      <c r="B1064" s="8">
        <v>0.47638888888888892</v>
      </c>
      <c r="C1064" s="15" t="str">
        <f>"FES1162727707"</f>
        <v>FES1162727707</v>
      </c>
      <c r="D1064" s="15" t="s">
        <v>19</v>
      </c>
      <c r="E1064" s="15" t="s">
        <v>335</v>
      </c>
      <c r="F1064" s="15" t="str">
        <f>"217071196 "</f>
        <v xml:space="preserve">217071196 </v>
      </c>
      <c r="G1064" s="15" t="str">
        <f t="shared" si="31"/>
        <v>ON1</v>
      </c>
      <c r="H1064" s="15" t="s">
        <v>21</v>
      </c>
      <c r="I1064" s="15" t="s">
        <v>336</v>
      </c>
      <c r="J1064" s="15" t="str">
        <f>""</f>
        <v/>
      </c>
      <c r="K1064" s="15" t="str">
        <f>"PFES1162727707_0001"</f>
        <v>PFES1162727707_0001</v>
      </c>
      <c r="L1064" s="15">
        <v>1</v>
      </c>
      <c r="M1064" s="15">
        <v>1</v>
      </c>
    </row>
    <row r="1065" spans="1:13">
      <c r="A1065" s="7">
        <v>43810</v>
      </c>
      <c r="B1065" s="8">
        <v>0.47569444444444442</v>
      </c>
      <c r="C1065" s="15" t="str">
        <f>"FES1162727665"</f>
        <v>FES1162727665</v>
      </c>
      <c r="D1065" s="15" t="s">
        <v>19</v>
      </c>
      <c r="E1065" s="15" t="s">
        <v>124</v>
      </c>
      <c r="F1065" s="15" t="str">
        <f>"217071167 "</f>
        <v xml:space="preserve">217071167 </v>
      </c>
      <c r="G1065" s="15" t="str">
        <f t="shared" si="31"/>
        <v>ON1</v>
      </c>
      <c r="H1065" s="15" t="s">
        <v>21</v>
      </c>
      <c r="I1065" s="15" t="s">
        <v>125</v>
      </c>
      <c r="J1065" s="15" t="str">
        <f>""</f>
        <v/>
      </c>
      <c r="K1065" s="15" t="str">
        <f>"PFES1162727665_0001"</f>
        <v>PFES1162727665_0001</v>
      </c>
      <c r="L1065" s="15">
        <v>1</v>
      </c>
      <c r="M1065" s="15">
        <v>1</v>
      </c>
    </row>
    <row r="1066" spans="1:13">
      <c r="A1066" s="7">
        <v>43810</v>
      </c>
      <c r="B1066" s="8">
        <v>0.47500000000000003</v>
      </c>
      <c r="C1066" s="15" t="str">
        <f>"FES1162727649"</f>
        <v>FES1162727649</v>
      </c>
      <c r="D1066" s="15" t="s">
        <v>19</v>
      </c>
      <c r="E1066" s="15" t="s">
        <v>120</v>
      </c>
      <c r="F1066" s="15" t="str">
        <f>"2170720501 "</f>
        <v xml:space="preserve">2170720501 </v>
      </c>
      <c r="G1066" s="15" t="str">
        <f t="shared" si="31"/>
        <v>ON1</v>
      </c>
      <c r="H1066" s="15" t="s">
        <v>21</v>
      </c>
      <c r="I1066" s="15" t="s">
        <v>121</v>
      </c>
      <c r="J1066" s="15" t="str">
        <f>""</f>
        <v/>
      </c>
      <c r="K1066" s="15" t="str">
        <f>"PFES1162727649_0001"</f>
        <v>PFES1162727649_0001</v>
      </c>
      <c r="L1066" s="15">
        <v>1</v>
      </c>
      <c r="M1066" s="15">
        <v>1</v>
      </c>
    </row>
    <row r="1067" spans="1:13">
      <c r="A1067" s="7">
        <v>43810</v>
      </c>
      <c r="B1067" s="8">
        <v>0.47500000000000003</v>
      </c>
      <c r="C1067" s="15" t="str">
        <f>"FES1162727708"</f>
        <v>FES1162727708</v>
      </c>
      <c r="D1067" s="15" t="s">
        <v>19</v>
      </c>
      <c r="E1067" s="15" t="s">
        <v>645</v>
      </c>
      <c r="F1067" s="15" t="str">
        <f>"217071197 "</f>
        <v xml:space="preserve">217071197 </v>
      </c>
      <c r="G1067" s="15" t="str">
        <f t="shared" si="31"/>
        <v>ON1</v>
      </c>
      <c r="H1067" s="15" t="s">
        <v>21</v>
      </c>
      <c r="I1067" s="15" t="s">
        <v>359</v>
      </c>
      <c r="J1067" s="15" t="str">
        <f>""</f>
        <v/>
      </c>
      <c r="K1067" s="15" t="str">
        <f>"PFES1162727708_0001"</f>
        <v>PFES1162727708_0001</v>
      </c>
      <c r="L1067" s="15">
        <v>1</v>
      </c>
      <c r="M1067" s="15">
        <v>1</v>
      </c>
    </row>
    <row r="1068" spans="1:13">
      <c r="A1068" s="7">
        <v>43810</v>
      </c>
      <c r="B1068" s="8">
        <v>0.47430555555555554</v>
      </c>
      <c r="C1068" s="15" t="str">
        <f>"FES1162727652"</f>
        <v>FES1162727652</v>
      </c>
      <c r="D1068" s="15" t="s">
        <v>19</v>
      </c>
      <c r="E1068" s="15" t="s">
        <v>148</v>
      </c>
      <c r="F1068" s="15" t="str">
        <f>"217021141 "</f>
        <v xml:space="preserve">217021141 </v>
      </c>
      <c r="G1068" s="15" t="str">
        <f t="shared" si="31"/>
        <v>ON1</v>
      </c>
      <c r="H1068" s="15" t="s">
        <v>21</v>
      </c>
      <c r="I1068" s="15" t="s">
        <v>41</v>
      </c>
      <c r="J1068" s="15" t="str">
        <f>""</f>
        <v/>
      </c>
      <c r="K1068" s="15" t="str">
        <f>"PFES1162727652_0001"</f>
        <v>PFES1162727652_0001</v>
      </c>
      <c r="L1068" s="15">
        <v>1</v>
      </c>
      <c r="M1068" s="15">
        <v>1</v>
      </c>
    </row>
    <row r="1069" spans="1:13">
      <c r="A1069" s="7">
        <v>43811</v>
      </c>
      <c r="B1069" s="8">
        <v>0.68541666666666667</v>
      </c>
      <c r="C1069" s="16" t="str">
        <f>"FES1162728275"</f>
        <v>FES1162728275</v>
      </c>
      <c r="D1069" s="16" t="s">
        <v>19</v>
      </c>
      <c r="E1069" s="16" t="s">
        <v>646</v>
      </c>
      <c r="F1069" s="16" t="str">
        <f>"2170719430 "</f>
        <v xml:space="preserve">2170719430 </v>
      </c>
      <c r="G1069" s="16" t="str">
        <f t="shared" si="31"/>
        <v>ON1</v>
      </c>
      <c r="H1069" s="16" t="s">
        <v>21</v>
      </c>
      <c r="I1069" s="16" t="s">
        <v>41</v>
      </c>
      <c r="J1069" s="16" t="str">
        <f>""</f>
        <v/>
      </c>
      <c r="K1069" s="16" t="str">
        <f>"PFES1162728275_0001"</f>
        <v>PFES1162728275_0001</v>
      </c>
      <c r="L1069" s="16">
        <v>1</v>
      </c>
      <c r="M1069" s="16">
        <v>1</v>
      </c>
    </row>
    <row r="1070" spans="1:13">
      <c r="A1070" s="7">
        <v>43811</v>
      </c>
      <c r="B1070" s="8">
        <v>0.68472222222222223</v>
      </c>
      <c r="C1070" s="16" t="str">
        <f>"FES1162728069"</f>
        <v>FES1162728069</v>
      </c>
      <c r="D1070" s="16" t="s">
        <v>19</v>
      </c>
      <c r="E1070" s="16" t="s">
        <v>647</v>
      </c>
      <c r="F1070" s="16" t="str">
        <f>"2170718224 "</f>
        <v xml:space="preserve">2170718224 </v>
      </c>
      <c r="G1070" s="16" t="str">
        <f t="shared" si="31"/>
        <v>ON1</v>
      </c>
      <c r="H1070" s="16" t="s">
        <v>21</v>
      </c>
      <c r="I1070" s="16" t="s">
        <v>175</v>
      </c>
      <c r="J1070" s="16" t="str">
        <f>""</f>
        <v/>
      </c>
      <c r="K1070" s="16" t="str">
        <f>"PFES1162728069_0001"</f>
        <v>PFES1162728069_0001</v>
      </c>
      <c r="L1070" s="16">
        <v>1</v>
      </c>
      <c r="M1070" s="16">
        <v>1</v>
      </c>
    </row>
    <row r="1071" spans="1:13">
      <c r="A1071" s="7">
        <v>43811</v>
      </c>
      <c r="B1071" s="8">
        <v>0.68125000000000002</v>
      </c>
      <c r="C1071" s="16" t="str">
        <f>"FES1162728224"</f>
        <v>FES1162728224</v>
      </c>
      <c r="D1071" s="16" t="s">
        <v>19</v>
      </c>
      <c r="E1071" s="16" t="s">
        <v>261</v>
      </c>
      <c r="F1071" s="16" t="str">
        <f>"217071577 "</f>
        <v xml:space="preserve">217071577 </v>
      </c>
      <c r="G1071" s="16" t="str">
        <f t="shared" si="31"/>
        <v>ON1</v>
      </c>
      <c r="H1071" s="16" t="s">
        <v>21</v>
      </c>
      <c r="I1071" s="16" t="s">
        <v>130</v>
      </c>
      <c r="J1071" s="16" t="str">
        <f>""</f>
        <v/>
      </c>
      <c r="K1071" s="16" t="str">
        <f>"PFES1162728224_0001"</f>
        <v>PFES1162728224_0001</v>
      </c>
      <c r="L1071" s="16">
        <v>1</v>
      </c>
      <c r="M1071" s="16">
        <v>1</v>
      </c>
    </row>
    <row r="1072" spans="1:13">
      <c r="A1072" s="7">
        <v>43811</v>
      </c>
      <c r="B1072" s="8">
        <v>0.68125000000000002</v>
      </c>
      <c r="C1072" s="16" t="str">
        <f>"FES1162728276"</f>
        <v>FES1162728276</v>
      </c>
      <c r="D1072" s="16" t="s">
        <v>19</v>
      </c>
      <c r="E1072" s="16" t="s">
        <v>73</v>
      </c>
      <c r="F1072" s="16" t="str">
        <f>"2170716161 "</f>
        <v xml:space="preserve">2170716161 </v>
      </c>
      <c r="G1072" s="16" t="str">
        <f t="shared" si="31"/>
        <v>ON1</v>
      </c>
      <c r="H1072" s="16" t="s">
        <v>21</v>
      </c>
      <c r="I1072" s="16" t="s">
        <v>74</v>
      </c>
      <c r="J1072" s="16" t="str">
        <f>""</f>
        <v/>
      </c>
      <c r="K1072" s="16" t="str">
        <f>"PFES1162728276_0001"</f>
        <v>PFES1162728276_0001</v>
      </c>
      <c r="L1072" s="16">
        <v>1</v>
      </c>
      <c r="M1072" s="16">
        <v>1</v>
      </c>
    </row>
    <row r="1073" spans="1:13">
      <c r="A1073" s="7">
        <v>43811</v>
      </c>
      <c r="B1073" s="8">
        <v>0.68125000000000002</v>
      </c>
      <c r="C1073" s="16" t="str">
        <f>"FES1162728114"</f>
        <v>FES1162728114</v>
      </c>
      <c r="D1073" s="16" t="s">
        <v>19</v>
      </c>
      <c r="E1073" s="16" t="s">
        <v>648</v>
      </c>
      <c r="F1073" s="16" t="str">
        <f>"2170718651 "</f>
        <v xml:space="preserve">2170718651 </v>
      </c>
      <c r="G1073" s="16" t="str">
        <f t="shared" si="31"/>
        <v>ON1</v>
      </c>
      <c r="H1073" s="16" t="s">
        <v>21</v>
      </c>
      <c r="I1073" s="16" t="s">
        <v>270</v>
      </c>
      <c r="J1073" s="16" t="str">
        <f>""</f>
        <v/>
      </c>
      <c r="K1073" s="16" t="str">
        <f>"PFES1162728114_0001"</f>
        <v>PFES1162728114_0001</v>
      </c>
      <c r="L1073" s="16">
        <v>1</v>
      </c>
      <c r="M1073" s="16">
        <v>1</v>
      </c>
    </row>
    <row r="1074" spans="1:13">
      <c r="A1074" s="7">
        <v>43811</v>
      </c>
      <c r="B1074" s="8">
        <v>0.68055555555555547</v>
      </c>
      <c r="C1074" s="16" t="str">
        <f>"FES1162728172"</f>
        <v>FES1162728172</v>
      </c>
      <c r="D1074" s="16" t="s">
        <v>19</v>
      </c>
      <c r="E1074" s="16" t="s">
        <v>649</v>
      </c>
      <c r="F1074" s="16" t="str">
        <f>"21707143932 "</f>
        <v xml:space="preserve">21707143932 </v>
      </c>
      <c r="G1074" s="16" t="str">
        <f t="shared" si="31"/>
        <v>ON1</v>
      </c>
      <c r="H1074" s="16" t="s">
        <v>21</v>
      </c>
      <c r="I1074" s="16" t="s">
        <v>346</v>
      </c>
      <c r="J1074" s="16" t="str">
        <f>""</f>
        <v/>
      </c>
      <c r="K1074" s="16" t="str">
        <f>"PFES1162728172_0001"</f>
        <v>PFES1162728172_0001</v>
      </c>
      <c r="L1074" s="16">
        <v>1</v>
      </c>
      <c r="M1074" s="16">
        <v>1</v>
      </c>
    </row>
    <row r="1075" spans="1:13">
      <c r="A1075" s="7">
        <v>43811</v>
      </c>
      <c r="B1075" s="8">
        <v>0.68055555555555547</v>
      </c>
      <c r="C1075" s="16" t="str">
        <f>"FES1162728285"</f>
        <v>FES1162728285</v>
      </c>
      <c r="D1075" s="16" t="s">
        <v>19</v>
      </c>
      <c r="E1075" s="16" t="s">
        <v>645</v>
      </c>
      <c r="F1075" s="16" t="str">
        <f>"217071628 "</f>
        <v xml:space="preserve">217071628 </v>
      </c>
      <c r="G1075" s="16" t="str">
        <f t="shared" si="31"/>
        <v>ON1</v>
      </c>
      <c r="H1075" s="16" t="s">
        <v>21</v>
      </c>
      <c r="I1075" s="16" t="s">
        <v>359</v>
      </c>
      <c r="J1075" s="16" t="str">
        <f>""</f>
        <v/>
      </c>
      <c r="K1075" s="16" t="str">
        <f>"PFES1162728285_0001"</f>
        <v>PFES1162728285_0001</v>
      </c>
      <c r="L1075" s="16">
        <v>1</v>
      </c>
      <c r="M1075" s="16">
        <v>5</v>
      </c>
    </row>
    <row r="1076" spans="1:13">
      <c r="A1076" s="7">
        <v>43811</v>
      </c>
      <c r="B1076" s="8">
        <v>0.67986111111111114</v>
      </c>
      <c r="C1076" s="16" t="str">
        <f>"FES1162728161"</f>
        <v>FES1162728161</v>
      </c>
      <c r="D1076" s="16" t="s">
        <v>19</v>
      </c>
      <c r="E1076" s="16" t="s">
        <v>177</v>
      </c>
      <c r="F1076" s="16" t="str">
        <f>"2170719377 "</f>
        <v xml:space="preserve">2170719377 </v>
      </c>
      <c r="G1076" s="16" t="str">
        <f t="shared" si="31"/>
        <v>ON1</v>
      </c>
      <c r="H1076" s="16" t="s">
        <v>21</v>
      </c>
      <c r="I1076" s="16" t="s">
        <v>178</v>
      </c>
      <c r="J1076" s="16" t="str">
        <f>""</f>
        <v/>
      </c>
      <c r="K1076" s="16" t="str">
        <f>"PFES1162728161_0001"</f>
        <v>PFES1162728161_0001</v>
      </c>
      <c r="L1076" s="16">
        <v>1</v>
      </c>
      <c r="M1076" s="16">
        <v>3</v>
      </c>
    </row>
    <row r="1077" spans="1:13">
      <c r="A1077" s="7">
        <v>43811</v>
      </c>
      <c r="B1077" s="8">
        <v>0.67986111111111114</v>
      </c>
      <c r="C1077" s="16" t="str">
        <f>"FES1162728280"</f>
        <v>FES1162728280</v>
      </c>
      <c r="D1077" s="16" t="s">
        <v>19</v>
      </c>
      <c r="E1077" s="16" t="s">
        <v>621</v>
      </c>
      <c r="F1077" s="16" t="str">
        <f>"2170716253 "</f>
        <v xml:space="preserve">2170716253 </v>
      </c>
      <c r="G1077" s="16" t="str">
        <f t="shared" si="31"/>
        <v>ON1</v>
      </c>
      <c r="H1077" s="16" t="s">
        <v>21</v>
      </c>
      <c r="I1077" s="16" t="s">
        <v>161</v>
      </c>
      <c r="J1077" s="16" t="str">
        <f>""</f>
        <v/>
      </c>
      <c r="K1077" s="16" t="str">
        <f>"PFES1162728280_0001"</f>
        <v>PFES1162728280_0001</v>
      </c>
      <c r="L1077" s="16">
        <v>1</v>
      </c>
      <c r="M1077" s="16">
        <v>2</v>
      </c>
    </row>
    <row r="1078" spans="1:13">
      <c r="A1078" s="7">
        <v>43811</v>
      </c>
      <c r="B1078" s="8">
        <v>0.6777777777777777</v>
      </c>
      <c r="C1078" s="16" t="str">
        <f>"FES1162728254"</f>
        <v>FES1162728254</v>
      </c>
      <c r="D1078" s="16" t="s">
        <v>19</v>
      </c>
      <c r="E1078" s="16" t="s">
        <v>305</v>
      </c>
      <c r="F1078" s="16" t="str">
        <f>"2170716670 "</f>
        <v xml:space="preserve">2170716670 </v>
      </c>
      <c r="G1078" s="16" t="str">
        <f t="shared" si="31"/>
        <v>ON1</v>
      </c>
      <c r="H1078" s="16" t="s">
        <v>21</v>
      </c>
      <c r="I1078" s="16" t="s">
        <v>306</v>
      </c>
      <c r="J1078" s="16" t="str">
        <f>""</f>
        <v/>
      </c>
      <c r="K1078" s="16" t="str">
        <f>"PFES1162728254_0001"</f>
        <v>PFES1162728254_0001</v>
      </c>
      <c r="L1078" s="16">
        <v>1</v>
      </c>
      <c r="M1078" s="16">
        <v>1</v>
      </c>
    </row>
    <row r="1079" spans="1:13">
      <c r="A1079" s="7">
        <v>43811</v>
      </c>
      <c r="B1079" s="8">
        <v>0.6777777777777777</v>
      </c>
      <c r="C1079" s="16" t="str">
        <f>"FES1162727995"</f>
        <v>FES1162727995</v>
      </c>
      <c r="D1079" s="16" t="s">
        <v>19</v>
      </c>
      <c r="E1079" s="16" t="s">
        <v>536</v>
      </c>
      <c r="F1079" s="16" t="str">
        <f>"21707192398 "</f>
        <v xml:space="preserve">21707192398 </v>
      </c>
      <c r="G1079" s="16" t="str">
        <f t="shared" si="31"/>
        <v>ON1</v>
      </c>
      <c r="H1079" s="16" t="s">
        <v>21</v>
      </c>
      <c r="I1079" s="16" t="s">
        <v>223</v>
      </c>
      <c r="J1079" s="16" t="str">
        <f>""</f>
        <v/>
      </c>
      <c r="K1079" s="16" t="str">
        <f>"PFES1162727995_0001"</f>
        <v>PFES1162727995_0001</v>
      </c>
      <c r="L1079" s="16">
        <v>1</v>
      </c>
      <c r="M1079" s="16">
        <v>1</v>
      </c>
    </row>
    <row r="1080" spans="1:13">
      <c r="A1080" s="7">
        <v>43811</v>
      </c>
      <c r="B1080" s="8">
        <v>0.67708333333333337</v>
      </c>
      <c r="C1080" s="16" t="str">
        <f>"FES1162728211"</f>
        <v>FES1162728211</v>
      </c>
      <c r="D1080" s="16" t="s">
        <v>19</v>
      </c>
      <c r="E1080" s="16" t="s">
        <v>610</v>
      </c>
      <c r="F1080" s="16" t="str">
        <f>"217071553 "</f>
        <v xml:space="preserve">217071553 </v>
      </c>
      <c r="G1080" s="16" t="str">
        <f t="shared" si="31"/>
        <v>ON1</v>
      </c>
      <c r="H1080" s="16" t="s">
        <v>21</v>
      </c>
      <c r="I1080" s="16" t="s">
        <v>56</v>
      </c>
      <c r="J1080" s="16" t="str">
        <f>""</f>
        <v/>
      </c>
      <c r="K1080" s="16" t="str">
        <f>"PFES1162728211_0001"</f>
        <v>PFES1162728211_0001</v>
      </c>
      <c r="L1080" s="16">
        <v>1</v>
      </c>
      <c r="M1080" s="16">
        <v>1</v>
      </c>
    </row>
    <row r="1081" spans="1:13">
      <c r="A1081" s="7">
        <v>43811</v>
      </c>
      <c r="B1081" s="8">
        <v>0.67708333333333337</v>
      </c>
      <c r="C1081" s="16" t="str">
        <f>"FES1162728221"</f>
        <v>FES1162728221</v>
      </c>
      <c r="D1081" s="16" t="s">
        <v>19</v>
      </c>
      <c r="E1081" s="16" t="s">
        <v>234</v>
      </c>
      <c r="F1081" s="16" t="str">
        <f>"2170712572 "</f>
        <v xml:space="preserve">2170712572 </v>
      </c>
      <c r="G1081" s="16" t="str">
        <f t="shared" si="31"/>
        <v>ON1</v>
      </c>
      <c r="H1081" s="16" t="s">
        <v>21</v>
      </c>
      <c r="I1081" s="16" t="s">
        <v>235</v>
      </c>
      <c r="J1081" s="16" t="str">
        <f>""</f>
        <v/>
      </c>
      <c r="K1081" s="16" t="str">
        <f>"PFES1162728221_0001"</f>
        <v>PFES1162728221_0001</v>
      </c>
      <c r="L1081" s="16">
        <v>1</v>
      </c>
      <c r="M1081" s="16">
        <v>1</v>
      </c>
    </row>
    <row r="1082" spans="1:13">
      <c r="A1082" s="7">
        <v>43811</v>
      </c>
      <c r="B1082" s="8">
        <v>0.67638888888888893</v>
      </c>
      <c r="C1082" s="16" t="str">
        <f>"FES1162728255"</f>
        <v>FES1162728255</v>
      </c>
      <c r="D1082" s="16" t="s">
        <v>19</v>
      </c>
      <c r="E1082" s="16" t="s">
        <v>24</v>
      </c>
      <c r="F1082" s="16" t="str">
        <f>"2170710675 "</f>
        <v xml:space="preserve">2170710675 </v>
      </c>
      <c r="G1082" s="16" t="str">
        <f t="shared" si="31"/>
        <v>ON1</v>
      </c>
      <c r="H1082" s="16" t="s">
        <v>21</v>
      </c>
      <c r="I1082" s="16" t="s">
        <v>25</v>
      </c>
      <c r="J1082" s="16" t="str">
        <f>""</f>
        <v/>
      </c>
      <c r="K1082" s="16" t="str">
        <f>"PFES1162728255_0001"</f>
        <v>PFES1162728255_0001</v>
      </c>
      <c r="L1082" s="16">
        <v>1</v>
      </c>
      <c r="M1082" s="16">
        <v>1</v>
      </c>
    </row>
    <row r="1083" spans="1:13">
      <c r="A1083" s="7">
        <v>43811</v>
      </c>
      <c r="B1083" s="8">
        <v>0.67638888888888893</v>
      </c>
      <c r="C1083" s="16" t="str">
        <f>"FES1162728246"</f>
        <v>FES1162728246</v>
      </c>
      <c r="D1083" s="16" t="s">
        <v>19</v>
      </c>
      <c r="E1083" s="16" t="s">
        <v>291</v>
      </c>
      <c r="F1083" s="16" t="str">
        <f>"2170712587 "</f>
        <v xml:space="preserve">2170712587 </v>
      </c>
      <c r="G1083" s="16" t="str">
        <f t="shared" si="31"/>
        <v>ON1</v>
      </c>
      <c r="H1083" s="16" t="s">
        <v>21</v>
      </c>
      <c r="I1083" s="16" t="s">
        <v>41</v>
      </c>
      <c r="J1083" s="16" t="str">
        <f>""</f>
        <v/>
      </c>
      <c r="K1083" s="16" t="str">
        <f>"PFES1162728246_0001"</f>
        <v>PFES1162728246_0001</v>
      </c>
      <c r="L1083" s="16">
        <v>1</v>
      </c>
      <c r="M1083" s="16">
        <v>1</v>
      </c>
    </row>
    <row r="1084" spans="1:13">
      <c r="A1084" s="7">
        <v>43811</v>
      </c>
      <c r="B1084" s="8">
        <v>0.67569444444444438</v>
      </c>
      <c r="C1084" s="16" t="str">
        <f>"FES1162728059"</f>
        <v>FES1162728059</v>
      </c>
      <c r="D1084" s="16" t="s">
        <v>19</v>
      </c>
      <c r="E1084" s="16" t="s">
        <v>422</v>
      </c>
      <c r="F1084" s="16" t="str">
        <f>"2170718147 "</f>
        <v xml:space="preserve">2170718147 </v>
      </c>
      <c r="G1084" s="16" t="str">
        <f t="shared" si="31"/>
        <v>ON1</v>
      </c>
      <c r="H1084" s="16" t="s">
        <v>21</v>
      </c>
      <c r="I1084" s="16" t="s">
        <v>204</v>
      </c>
      <c r="J1084" s="16" t="str">
        <f>""</f>
        <v/>
      </c>
      <c r="K1084" s="16" t="str">
        <f>"PFES1162728059_0001"</f>
        <v>PFES1162728059_0001</v>
      </c>
      <c r="L1084" s="16">
        <v>1</v>
      </c>
      <c r="M1084" s="16">
        <v>2</v>
      </c>
    </row>
    <row r="1085" spans="1:13">
      <c r="A1085" s="7">
        <v>43811</v>
      </c>
      <c r="B1085" s="8">
        <v>0.67569444444444438</v>
      </c>
      <c r="C1085" s="16" t="str">
        <f>"FES1162728259"</f>
        <v>FES1162728259</v>
      </c>
      <c r="D1085" s="16" t="s">
        <v>19</v>
      </c>
      <c r="E1085" s="16" t="s">
        <v>650</v>
      </c>
      <c r="F1085" s="16" t="str">
        <f>"217071601 "</f>
        <v xml:space="preserve">217071601 </v>
      </c>
      <c r="G1085" s="16" t="str">
        <f t="shared" si="31"/>
        <v>ON1</v>
      </c>
      <c r="H1085" s="16" t="s">
        <v>21</v>
      </c>
      <c r="I1085" s="16" t="s">
        <v>197</v>
      </c>
      <c r="J1085" s="16" t="str">
        <f>""</f>
        <v/>
      </c>
      <c r="K1085" s="16" t="str">
        <f>"PFES1162728259_0001"</f>
        <v>PFES1162728259_0001</v>
      </c>
      <c r="L1085" s="16">
        <v>1</v>
      </c>
      <c r="M1085" s="16">
        <v>2</v>
      </c>
    </row>
    <row r="1086" spans="1:13">
      <c r="A1086" s="7">
        <v>43811</v>
      </c>
      <c r="B1086" s="8">
        <v>0.67499999999999993</v>
      </c>
      <c r="C1086" s="16" t="str">
        <f>"FES1162728181"</f>
        <v>FES1162728181</v>
      </c>
      <c r="D1086" s="16" t="s">
        <v>19</v>
      </c>
      <c r="E1086" s="16" t="s">
        <v>93</v>
      </c>
      <c r="F1086" s="16" t="str">
        <f>"217071510 "</f>
        <v xml:space="preserve">217071510 </v>
      </c>
      <c r="G1086" s="16" t="str">
        <f t="shared" si="31"/>
        <v>ON1</v>
      </c>
      <c r="H1086" s="16" t="s">
        <v>21</v>
      </c>
      <c r="I1086" s="16" t="s">
        <v>308</v>
      </c>
      <c r="J1086" s="16" t="str">
        <f>""</f>
        <v/>
      </c>
      <c r="K1086" s="16" t="str">
        <f>"PFES1162728181_0001"</f>
        <v>PFES1162728181_0001</v>
      </c>
      <c r="L1086" s="16">
        <v>1</v>
      </c>
      <c r="M1086" s="16">
        <v>6</v>
      </c>
    </row>
    <row r="1087" spans="1:13">
      <c r="A1087" s="7">
        <v>43811</v>
      </c>
      <c r="B1087" s="8">
        <v>0.67499999999999993</v>
      </c>
      <c r="C1087" s="16" t="str">
        <f>"FES1162728240"</f>
        <v>FES1162728240</v>
      </c>
      <c r="D1087" s="16" t="s">
        <v>19</v>
      </c>
      <c r="E1087" s="16" t="s">
        <v>124</v>
      </c>
      <c r="F1087" s="16" t="str">
        <f>"2170721527 "</f>
        <v xml:space="preserve">2170721527 </v>
      </c>
      <c r="G1087" s="16" t="str">
        <f t="shared" si="31"/>
        <v>ON1</v>
      </c>
      <c r="H1087" s="16" t="s">
        <v>21</v>
      </c>
      <c r="I1087" s="16" t="s">
        <v>125</v>
      </c>
      <c r="J1087" s="16" t="str">
        <f>""</f>
        <v/>
      </c>
      <c r="K1087" s="16" t="str">
        <f>"PFES1162728240_0001"</f>
        <v>PFES1162728240_0001</v>
      </c>
      <c r="L1087" s="16">
        <v>1</v>
      </c>
      <c r="M1087" s="16">
        <v>3</v>
      </c>
    </row>
    <row r="1088" spans="1:13">
      <c r="A1088" s="7">
        <v>43811</v>
      </c>
      <c r="B1088" s="8">
        <v>0.6743055555555556</v>
      </c>
      <c r="C1088" s="16" t="str">
        <f>"FES1162728268"</f>
        <v>FES1162728268</v>
      </c>
      <c r="D1088" s="16" t="s">
        <v>19</v>
      </c>
      <c r="E1088" s="16" t="s">
        <v>124</v>
      </c>
      <c r="F1088" s="16" t="str">
        <f>"2170721602 "</f>
        <v xml:space="preserve">2170721602 </v>
      </c>
      <c r="G1088" s="16" t="str">
        <f t="shared" si="31"/>
        <v>ON1</v>
      </c>
      <c r="H1088" s="16" t="s">
        <v>21</v>
      </c>
      <c r="I1088" s="16" t="s">
        <v>125</v>
      </c>
      <c r="J1088" s="16" t="str">
        <f>""</f>
        <v/>
      </c>
      <c r="K1088" s="16" t="str">
        <f>"PFES1162728268_0001"</f>
        <v>PFES1162728268_0001</v>
      </c>
      <c r="L1088" s="16">
        <v>1</v>
      </c>
      <c r="M1088" s="16">
        <v>4</v>
      </c>
    </row>
    <row r="1089" spans="1:13">
      <c r="A1089" s="7">
        <v>43811</v>
      </c>
      <c r="B1089" s="8">
        <v>0.66388888888888886</v>
      </c>
      <c r="C1089" s="16" t="str">
        <f>"FES1162728200"</f>
        <v>FES1162728200</v>
      </c>
      <c r="D1089" s="16" t="s">
        <v>19</v>
      </c>
      <c r="E1089" s="16" t="s">
        <v>422</v>
      </c>
      <c r="F1089" s="16" t="str">
        <f>"2170712534 "</f>
        <v xml:space="preserve">2170712534 </v>
      </c>
      <c r="G1089" s="16" t="str">
        <f t="shared" si="31"/>
        <v>ON1</v>
      </c>
      <c r="H1089" s="16" t="s">
        <v>21</v>
      </c>
      <c r="I1089" s="16" t="s">
        <v>204</v>
      </c>
      <c r="J1089" s="16" t="str">
        <f>""</f>
        <v/>
      </c>
      <c r="K1089" s="16" t="str">
        <f>"PFES1162728200_0001"</f>
        <v>PFES1162728200_0001</v>
      </c>
      <c r="L1089" s="16">
        <v>1</v>
      </c>
      <c r="M1089" s="16">
        <v>1</v>
      </c>
    </row>
    <row r="1090" spans="1:13">
      <c r="A1090" s="7">
        <v>43811</v>
      </c>
      <c r="B1090" s="8">
        <v>0.66388888888888886</v>
      </c>
      <c r="C1090" s="16" t="str">
        <f>"FES1162728214"</f>
        <v>FES1162728214</v>
      </c>
      <c r="D1090" s="16" t="s">
        <v>19</v>
      </c>
      <c r="E1090" s="16" t="s">
        <v>611</v>
      </c>
      <c r="F1090" s="16" t="str">
        <f>"217071558 "</f>
        <v xml:space="preserve">217071558 </v>
      </c>
      <c r="G1090" s="16" t="str">
        <f t="shared" si="31"/>
        <v>ON1</v>
      </c>
      <c r="H1090" s="16" t="s">
        <v>21</v>
      </c>
      <c r="I1090" s="16" t="s">
        <v>317</v>
      </c>
      <c r="J1090" s="16" t="str">
        <f>""</f>
        <v/>
      </c>
      <c r="K1090" s="16" t="str">
        <f>"PFES1162728214_0001"</f>
        <v>PFES1162728214_0001</v>
      </c>
      <c r="L1090" s="16">
        <v>1</v>
      </c>
      <c r="M1090" s="16">
        <v>1</v>
      </c>
    </row>
    <row r="1091" spans="1:13">
      <c r="A1091" s="7">
        <v>43811</v>
      </c>
      <c r="B1091" s="8">
        <v>0.66319444444444442</v>
      </c>
      <c r="C1091" s="16" t="str">
        <f>"FES1162728220"</f>
        <v>FES1162728220</v>
      </c>
      <c r="D1091" s="16" t="s">
        <v>19</v>
      </c>
      <c r="E1091" s="16" t="s">
        <v>484</v>
      </c>
      <c r="F1091" s="16" t="str">
        <f>"2170717512 "</f>
        <v xml:space="preserve">2170717512 </v>
      </c>
      <c r="G1091" s="16" t="str">
        <f t="shared" si="31"/>
        <v>ON1</v>
      </c>
      <c r="H1091" s="16" t="s">
        <v>21</v>
      </c>
      <c r="I1091" s="16" t="s">
        <v>223</v>
      </c>
      <c r="J1091" s="16" t="str">
        <f>""</f>
        <v/>
      </c>
      <c r="K1091" s="16" t="str">
        <f>"PFES1162728220_0001"</f>
        <v>PFES1162728220_0001</v>
      </c>
      <c r="L1091" s="16">
        <v>1</v>
      </c>
      <c r="M1091" s="16">
        <v>1</v>
      </c>
    </row>
    <row r="1092" spans="1:13">
      <c r="A1092" s="7">
        <v>43811</v>
      </c>
      <c r="B1092" s="8">
        <v>0.66319444444444442</v>
      </c>
      <c r="C1092" s="16" t="str">
        <f>"FES1162727996"</f>
        <v>FES1162727996</v>
      </c>
      <c r="D1092" s="16" t="s">
        <v>19</v>
      </c>
      <c r="E1092" s="16" t="s">
        <v>651</v>
      </c>
      <c r="F1092" s="16" t="str">
        <f>"2170719261 "</f>
        <v xml:space="preserve">2170719261 </v>
      </c>
      <c r="G1092" s="16" t="str">
        <f t="shared" si="31"/>
        <v>ON1</v>
      </c>
      <c r="H1092" s="16" t="s">
        <v>21</v>
      </c>
      <c r="I1092" s="16" t="s">
        <v>56</v>
      </c>
      <c r="J1092" s="16" t="str">
        <f>""</f>
        <v/>
      </c>
      <c r="K1092" s="16" t="str">
        <f>"PFES1162727996_0001"</f>
        <v>PFES1162727996_0001</v>
      </c>
      <c r="L1092" s="16">
        <v>1</v>
      </c>
      <c r="M1092" s="16">
        <v>1</v>
      </c>
    </row>
    <row r="1093" spans="1:13">
      <c r="A1093" s="7">
        <v>43811</v>
      </c>
      <c r="B1093" s="8">
        <v>0.66319444444444442</v>
      </c>
      <c r="C1093" s="16" t="str">
        <f>"FES1162728243"</f>
        <v>FES1162728243</v>
      </c>
      <c r="D1093" s="16" t="s">
        <v>19</v>
      </c>
      <c r="E1093" s="16" t="s">
        <v>203</v>
      </c>
      <c r="F1093" s="16" t="str">
        <f>"21707121578 "</f>
        <v xml:space="preserve">21707121578 </v>
      </c>
      <c r="G1093" s="16" t="str">
        <f t="shared" si="31"/>
        <v>ON1</v>
      </c>
      <c r="H1093" s="16" t="s">
        <v>21</v>
      </c>
      <c r="I1093" s="16" t="s">
        <v>204</v>
      </c>
      <c r="J1093" s="16" t="str">
        <f>""</f>
        <v/>
      </c>
      <c r="K1093" s="16" t="str">
        <f>"PFES1162728243_0001"</f>
        <v>PFES1162728243_0001</v>
      </c>
      <c r="L1093" s="16">
        <v>1</v>
      </c>
      <c r="M1093" s="16">
        <v>1</v>
      </c>
    </row>
    <row r="1094" spans="1:13">
      <c r="A1094" s="7">
        <v>43811</v>
      </c>
      <c r="B1094" s="8">
        <v>0.66249999999999998</v>
      </c>
      <c r="C1094" s="16" t="str">
        <f>"FES1162728204"</f>
        <v>FES1162728204</v>
      </c>
      <c r="D1094" s="16" t="s">
        <v>19</v>
      </c>
      <c r="E1094" s="16" t="s">
        <v>652</v>
      </c>
      <c r="F1094" s="16" t="str">
        <f>"21707151541 "</f>
        <v xml:space="preserve">21707151541 </v>
      </c>
      <c r="G1094" s="16" t="str">
        <f t="shared" si="31"/>
        <v>ON1</v>
      </c>
      <c r="H1094" s="16" t="s">
        <v>21</v>
      </c>
      <c r="I1094" s="16" t="s">
        <v>653</v>
      </c>
      <c r="J1094" s="16" t="str">
        <f>""</f>
        <v/>
      </c>
      <c r="K1094" s="16" t="str">
        <f>"PFES1162728204_0001"</f>
        <v>PFES1162728204_0001</v>
      </c>
      <c r="L1094" s="16">
        <v>1</v>
      </c>
      <c r="M1094" s="16">
        <v>1</v>
      </c>
    </row>
    <row r="1095" spans="1:13">
      <c r="A1095" s="7">
        <v>43811</v>
      </c>
      <c r="B1095" s="8">
        <v>0.66249999999999998</v>
      </c>
      <c r="C1095" s="16" t="str">
        <f>"009935712074"</f>
        <v>009935712074</v>
      </c>
      <c r="D1095" s="16" t="s">
        <v>19</v>
      </c>
      <c r="E1095" s="16" t="s">
        <v>422</v>
      </c>
      <c r="F1095" s="16" t="str">
        <f>"1162726475 "</f>
        <v xml:space="preserve">1162726475 </v>
      </c>
      <c r="G1095" s="16" t="str">
        <f t="shared" si="31"/>
        <v>ON1</v>
      </c>
      <c r="H1095" s="16" t="s">
        <v>21</v>
      </c>
      <c r="I1095" s="16" t="s">
        <v>204</v>
      </c>
      <c r="J1095" s="16" t="str">
        <f>"RESEND"</f>
        <v>RESEND</v>
      </c>
      <c r="K1095" s="16" t="str">
        <f>"P009935712074_0001"</f>
        <v>P009935712074_0001</v>
      </c>
      <c r="L1095" s="16">
        <v>1</v>
      </c>
      <c r="M1095" s="16">
        <v>1</v>
      </c>
    </row>
    <row r="1096" spans="1:13">
      <c r="A1096" s="7">
        <v>43811</v>
      </c>
      <c r="B1096" s="8">
        <v>0.66041666666666665</v>
      </c>
      <c r="C1096" s="16" t="str">
        <f>"FES1162728208"</f>
        <v>FES1162728208</v>
      </c>
      <c r="D1096" s="16" t="s">
        <v>19</v>
      </c>
      <c r="E1096" s="16" t="s">
        <v>654</v>
      </c>
      <c r="F1096" s="16" t="str">
        <f>"2170716445 "</f>
        <v xml:space="preserve">2170716445 </v>
      </c>
      <c r="G1096" s="16" t="str">
        <f t="shared" si="31"/>
        <v>ON1</v>
      </c>
      <c r="H1096" s="16" t="s">
        <v>21</v>
      </c>
      <c r="I1096" s="16" t="s">
        <v>56</v>
      </c>
      <c r="J1096" s="16" t="str">
        <f>""</f>
        <v/>
      </c>
      <c r="K1096" s="16" t="str">
        <f>"PFES1162728208_0001"</f>
        <v>PFES1162728208_0001</v>
      </c>
      <c r="L1096" s="16">
        <v>1</v>
      </c>
      <c r="M1096" s="16">
        <v>10</v>
      </c>
    </row>
    <row r="1097" spans="1:13">
      <c r="A1097" s="7">
        <v>43811</v>
      </c>
      <c r="B1097" s="8">
        <v>0.66041666666666665</v>
      </c>
      <c r="C1097" s="16" t="str">
        <f>"FES1162728111"</f>
        <v>FES1162728111</v>
      </c>
      <c r="D1097" s="16" t="s">
        <v>19</v>
      </c>
      <c r="E1097" s="16" t="s">
        <v>373</v>
      </c>
      <c r="F1097" s="16" t="str">
        <f>"2170718646 "</f>
        <v xml:space="preserve">2170718646 </v>
      </c>
      <c r="G1097" s="16" t="str">
        <f t="shared" si="31"/>
        <v>ON1</v>
      </c>
      <c r="H1097" s="16" t="s">
        <v>21</v>
      </c>
      <c r="I1097" s="16" t="s">
        <v>374</v>
      </c>
      <c r="J1097" s="16" t="str">
        <f>""</f>
        <v/>
      </c>
      <c r="K1097" s="16" t="str">
        <f>"PFES1162728111_0001"</f>
        <v>PFES1162728111_0001</v>
      </c>
      <c r="L1097" s="16">
        <v>1</v>
      </c>
      <c r="M1097" s="16">
        <v>4</v>
      </c>
    </row>
    <row r="1098" spans="1:13">
      <c r="A1098" s="7">
        <v>43811</v>
      </c>
      <c r="B1098" s="8">
        <v>0.66041666666666665</v>
      </c>
      <c r="C1098" s="16" t="str">
        <f>"FES1162728215"</f>
        <v>FES1162728215</v>
      </c>
      <c r="D1098" s="16" t="s">
        <v>19</v>
      </c>
      <c r="E1098" s="16" t="s">
        <v>410</v>
      </c>
      <c r="F1098" s="16" t="str">
        <f>"217071563 "</f>
        <v xml:space="preserve">217071563 </v>
      </c>
      <c r="G1098" s="16" t="str">
        <f t="shared" si="31"/>
        <v>ON1</v>
      </c>
      <c r="H1098" s="16" t="s">
        <v>21</v>
      </c>
      <c r="I1098" s="16" t="s">
        <v>411</v>
      </c>
      <c r="J1098" s="16" t="str">
        <f>""</f>
        <v/>
      </c>
      <c r="K1098" s="16" t="str">
        <f>"PFES1162728215_0001"</f>
        <v>PFES1162728215_0001</v>
      </c>
      <c r="L1098" s="16">
        <v>1</v>
      </c>
      <c r="M1098" s="16">
        <v>4</v>
      </c>
    </row>
    <row r="1099" spans="1:13">
      <c r="A1099" s="7">
        <v>43811</v>
      </c>
      <c r="B1099" s="8">
        <v>0.65972222222222221</v>
      </c>
      <c r="C1099" s="16" t="str">
        <f>"FES1162728219"</f>
        <v>FES1162728219</v>
      </c>
      <c r="D1099" s="16" t="s">
        <v>19</v>
      </c>
      <c r="E1099" s="16" t="s">
        <v>24</v>
      </c>
      <c r="F1099" s="16" t="str">
        <f>"217071568 "</f>
        <v xml:space="preserve">217071568 </v>
      </c>
      <c r="G1099" s="16" t="str">
        <f t="shared" si="31"/>
        <v>ON1</v>
      </c>
      <c r="H1099" s="16" t="s">
        <v>21</v>
      </c>
      <c r="I1099" s="16" t="s">
        <v>25</v>
      </c>
      <c r="J1099" s="16" t="str">
        <f>""</f>
        <v/>
      </c>
      <c r="K1099" s="16" t="str">
        <f>"PFES1162728219_0001"</f>
        <v>PFES1162728219_0001</v>
      </c>
      <c r="L1099" s="16">
        <v>1</v>
      </c>
      <c r="M1099" s="16">
        <v>2</v>
      </c>
    </row>
    <row r="1100" spans="1:13">
      <c r="A1100" s="7">
        <v>43811</v>
      </c>
      <c r="B1100" s="8">
        <v>0.65833333333333333</v>
      </c>
      <c r="C1100" s="16" t="str">
        <f>"FES1162728274"</f>
        <v>FES1162728274</v>
      </c>
      <c r="D1100" s="16" t="s">
        <v>19</v>
      </c>
      <c r="E1100" s="16" t="s">
        <v>577</v>
      </c>
      <c r="F1100" s="16" t="str">
        <f>"217071+6100 "</f>
        <v xml:space="preserve">217071+6100 </v>
      </c>
      <c r="G1100" s="16" t="str">
        <f t="shared" si="31"/>
        <v>ON1</v>
      </c>
      <c r="H1100" s="16" t="s">
        <v>21</v>
      </c>
      <c r="I1100" s="16" t="s">
        <v>578</v>
      </c>
      <c r="J1100" s="16" t="str">
        <f>""</f>
        <v/>
      </c>
      <c r="K1100" s="16" t="str">
        <f>"PFES1162728274_0001"</f>
        <v>PFES1162728274_0001</v>
      </c>
      <c r="L1100" s="16">
        <v>1</v>
      </c>
      <c r="M1100" s="16">
        <v>5</v>
      </c>
    </row>
    <row r="1101" spans="1:13">
      <c r="A1101" s="7">
        <v>43811</v>
      </c>
      <c r="B1101" s="8">
        <v>0.65833333333333333</v>
      </c>
      <c r="C1101" s="16" t="str">
        <f>"FES1162728273"</f>
        <v>FES1162728273</v>
      </c>
      <c r="D1101" s="16" t="s">
        <v>19</v>
      </c>
      <c r="E1101" s="16" t="s">
        <v>577</v>
      </c>
      <c r="F1101" s="16" t="str">
        <f>"217071609 "</f>
        <v xml:space="preserve">217071609 </v>
      </c>
      <c r="G1101" s="16" t="str">
        <f t="shared" si="31"/>
        <v>ON1</v>
      </c>
      <c r="H1101" s="16" t="s">
        <v>21</v>
      </c>
      <c r="I1101" s="16" t="s">
        <v>578</v>
      </c>
      <c r="J1101" s="16" t="str">
        <f>""</f>
        <v/>
      </c>
      <c r="K1101" s="16" t="str">
        <f>"PFES1162728273_0001"</f>
        <v>PFES1162728273_0001</v>
      </c>
      <c r="L1101" s="16">
        <v>1</v>
      </c>
      <c r="M1101" s="16">
        <v>1</v>
      </c>
    </row>
    <row r="1102" spans="1:13">
      <c r="A1102" s="7">
        <v>43811</v>
      </c>
      <c r="B1102" s="8">
        <v>0.65833333333333333</v>
      </c>
      <c r="C1102" s="16" t="str">
        <f>"FES1162728269"</f>
        <v>FES1162728269</v>
      </c>
      <c r="D1102" s="16" t="s">
        <v>19</v>
      </c>
      <c r="E1102" s="16" t="s">
        <v>101</v>
      </c>
      <c r="F1102" s="16" t="str">
        <f>"217071603 "</f>
        <v xml:space="preserve">217071603 </v>
      </c>
      <c r="G1102" s="16" t="str">
        <f t="shared" si="31"/>
        <v>ON1</v>
      </c>
      <c r="H1102" s="16" t="s">
        <v>21</v>
      </c>
      <c r="I1102" s="16" t="s">
        <v>102</v>
      </c>
      <c r="J1102" s="16" t="str">
        <f>""</f>
        <v/>
      </c>
      <c r="K1102" s="16" t="str">
        <f>"PFES1162728269_0001"</f>
        <v>PFES1162728269_0001</v>
      </c>
      <c r="L1102" s="16">
        <v>1</v>
      </c>
      <c r="M1102" s="16">
        <v>1</v>
      </c>
    </row>
    <row r="1103" spans="1:13">
      <c r="A1103" s="7">
        <v>43811</v>
      </c>
      <c r="B1103" s="8">
        <v>0.65763888888888888</v>
      </c>
      <c r="C1103" s="16" t="str">
        <f>"FES1162728278"</f>
        <v>FES1162728278</v>
      </c>
      <c r="D1103" s="16" t="s">
        <v>19</v>
      </c>
      <c r="E1103" s="16" t="s">
        <v>93</v>
      </c>
      <c r="F1103" s="16" t="str">
        <f>"217071180 "</f>
        <v xml:space="preserve">217071180 </v>
      </c>
      <c r="G1103" s="16" t="str">
        <f t="shared" si="31"/>
        <v>ON1</v>
      </c>
      <c r="H1103" s="16" t="s">
        <v>21</v>
      </c>
      <c r="I1103" s="16" t="s">
        <v>48</v>
      </c>
      <c r="J1103" s="16" t="str">
        <f>""</f>
        <v/>
      </c>
      <c r="K1103" s="16" t="str">
        <f>"PFES1162728278_0001"</f>
        <v>PFES1162728278_0001</v>
      </c>
      <c r="L1103" s="16">
        <v>1</v>
      </c>
      <c r="M1103" s="16">
        <v>1</v>
      </c>
    </row>
    <row r="1104" spans="1:13">
      <c r="A1104" s="7">
        <v>43811</v>
      </c>
      <c r="B1104" s="8">
        <v>0.65555555555555556</v>
      </c>
      <c r="C1104" s="16" t="str">
        <f>"FES1162728231"</f>
        <v>FES1162728231</v>
      </c>
      <c r="D1104" s="16" t="s">
        <v>19</v>
      </c>
      <c r="E1104" s="16" t="s">
        <v>139</v>
      </c>
      <c r="F1104" s="16" t="str">
        <f>"2170783686 "</f>
        <v xml:space="preserve">2170783686 </v>
      </c>
      <c r="G1104" s="16" t="str">
        <f t="shared" si="31"/>
        <v>ON1</v>
      </c>
      <c r="H1104" s="16" t="s">
        <v>21</v>
      </c>
      <c r="I1104" s="16" t="s">
        <v>123</v>
      </c>
      <c r="J1104" s="16" t="str">
        <f>""</f>
        <v/>
      </c>
      <c r="K1104" s="16" t="str">
        <f>"PFES1162728231_0001"</f>
        <v>PFES1162728231_0001</v>
      </c>
      <c r="L1104" s="16">
        <v>1</v>
      </c>
      <c r="M1104" s="16">
        <v>2</v>
      </c>
    </row>
    <row r="1105" spans="1:13">
      <c r="A1105" s="7">
        <v>43811</v>
      </c>
      <c r="B1105" s="8">
        <v>0.65486111111111112</v>
      </c>
      <c r="C1105" s="16" t="str">
        <f>"FES1162728232"</f>
        <v>FES1162728232</v>
      </c>
      <c r="D1105" s="16" t="s">
        <v>19</v>
      </c>
      <c r="E1105" s="16" t="s">
        <v>101</v>
      </c>
      <c r="F1105" s="16" t="str">
        <f>"2170718921 "</f>
        <v xml:space="preserve">2170718921 </v>
      </c>
      <c r="G1105" s="16" t="str">
        <f t="shared" si="31"/>
        <v>ON1</v>
      </c>
      <c r="H1105" s="16" t="s">
        <v>21</v>
      </c>
      <c r="I1105" s="16" t="s">
        <v>102</v>
      </c>
      <c r="J1105" s="16" t="str">
        <f>""</f>
        <v/>
      </c>
      <c r="K1105" s="16" t="str">
        <f>"PFES1162728232_0001"</f>
        <v>PFES1162728232_0001</v>
      </c>
      <c r="L1105" s="16">
        <v>1</v>
      </c>
      <c r="M1105" s="16">
        <v>2</v>
      </c>
    </row>
    <row r="1106" spans="1:13">
      <c r="A1106" s="7">
        <v>43811</v>
      </c>
      <c r="B1106" s="8">
        <v>0.65486111111111112</v>
      </c>
      <c r="C1106" s="16" t="str">
        <f>"FES1162728236"</f>
        <v>FES1162728236</v>
      </c>
      <c r="D1106" s="16" t="s">
        <v>19</v>
      </c>
      <c r="E1106" s="16" t="s">
        <v>44</v>
      </c>
      <c r="F1106" s="16" t="str">
        <f>"2170719533 "</f>
        <v xml:space="preserve">2170719533 </v>
      </c>
      <c r="G1106" s="16" t="str">
        <f t="shared" si="31"/>
        <v>ON1</v>
      </c>
      <c r="H1106" s="16" t="s">
        <v>21</v>
      </c>
      <c r="I1106" s="16" t="s">
        <v>45</v>
      </c>
      <c r="J1106" s="16" t="str">
        <f>""</f>
        <v/>
      </c>
      <c r="K1106" s="16" t="str">
        <f>"PFES1162728236_0001"</f>
        <v>PFES1162728236_0001</v>
      </c>
      <c r="L1106" s="16">
        <v>1</v>
      </c>
      <c r="M1106" s="16">
        <v>2</v>
      </c>
    </row>
    <row r="1107" spans="1:13">
      <c r="A1107" s="7">
        <v>43811</v>
      </c>
      <c r="B1107" s="8">
        <v>0.65416666666666667</v>
      </c>
      <c r="C1107" s="16" t="str">
        <f>"FES1162728257"</f>
        <v>FES1162728257</v>
      </c>
      <c r="D1107" s="16" t="s">
        <v>19</v>
      </c>
      <c r="E1107" s="16" t="s">
        <v>120</v>
      </c>
      <c r="F1107" s="16" t="str">
        <f>"217071126 "</f>
        <v xml:space="preserve">217071126 </v>
      </c>
      <c r="G1107" s="16" t="str">
        <f t="shared" si="31"/>
        <v>ON1</v>
      </c>
      <c r="H1107" s="16" t="s">
        <v>21</v>
      </c>
      <c r="I1107" s="16" t="s">
        <v>121</v>
      </c>
      <c r="J1107" s="16" t="str">
        <f>""</f>
        <v/>
      </c>
      <c r="K1107" s="16" t="str">
        <f>"PFES1162728257_0001"</f>
        <v>PFES1162728257_0001</v>
      </c>
      <c r="L1107" s="16">
        <v>1</v>
      </c>
      <c r="M1107" s="16">
        <v>3</v>
      </c>
    </row>
    <row r="1108" spans="1:13">
      <c r="A1108" s="7">
        <v>43811</v>
      </c>
      <c r="B1108" s="8">
        <v>0.65416666666666667</v>
      </c>
      <c r="C1108" s="16" t="str">
        <f>"FES1162728229"</f>
        <v>FES1162728229</v>
      </c>
      <c r="D1108" s="16" t="s">
        <v>19</v>
      </c>
      <c r="E1108" s="16" t="s">
        <v>644</v>
      </c>
      <c r="F1108" s="16" t="str">
        <f>"217071726 "</f>
        <v xml:space="preserve">217071726 </v>
      </c>
      <c r="G1108" s="16" t="str">
        <f t="shared" si="31"/>
        <v>ON1</v>
      </c>
      <c r="H1108" s="16" t="s">
        <v>21</v>
      </c>
      <c r="I1108" s="16" t="s">
        <v>123</v>
      </c>
      <c r="J1108" s="16" t="str">
        <f>""</f>
        <v/>
      </c>
      <c r="K1108" s="16" t="str">
        <f>"PFES1162728229_0001"</f>
        <v>PFES1162728229_0001</v>
      </c>
      <c r="L1108" s="16">
        <v>1</v>
      </c>
      <c r="M1108" s="16">
        <v>14</v>
      </c>
    </row>
    <row r="1109" spans="1:13">
      <c r="A1109" s="7">
        <v>43811</v>
      </c>
      <c r="B1109" s="8">
        <v>0.65347222222222223</v>
      </c>
      <c r="C1109" s="16" t="str">
        <f>"FES1162728272"</f>
        <v>FES1162728272</v>
      </c>
      <c r="D1109" s="16" t="s">
        <v>19</v>
      </c>
      <c r="E1109" s="16" t="s">
        <v>151</v>
      </c>
      <c r="F1109" s="16" t="str">
        <f>"217071425 "</f>
        <v xml:space="preserve">217071425 </v>
      </c>
      <c r="G1109" s="16" t="str">
        <f t="shared" si="31"/>
        <v>ON1</v>
      </c>
      <c r="H1109" s="16" t="s">
        <v>21</v>
      </c>
      <c r="I1109" s="16" t="s">
        <v>152</v>
      </c>
      <c r="J1109" s="16" t="str">
        <f>""</f>
        <v/>
      </c>
      <c r="K1109" s="16" t="str">
        <f>"PFES1162728272_0001"</f>
        <v>PFES1162728272_0001</v>
      </c>
      <c r="L1109" s="16">
        <v>1</v>
      </c>
      <c r="M1109" s="16">
        <v>1</v>
      </c>
    </row>
    <row r="1110" spans="1:13">
      <c r="A1110" s="7">
        <v>43811</v>
      </c>
      <c r="B1110" s="8">
        <v>0.65277777777777779</v>
      </c>
      <c r="C1110" s="16" t="str">
        <f>"FES1162728265"</f>
        <v>FES1162728265</v>
      </c>
      <c r="D1110" s="16" t="s">
        <v>19</v>
      </c>
      <c r="E1110" s="16" t="s">
        <v>167</v>
      </c>
      <c r="F1110" s="16" t="str">
        <f>"2170721416 "</f>
        <v xml:space="preserve">2170721416 </v>
      </c>
      <c r="G1110" s="16" t="str">
        <f t="shared" si="31"/>
        <v>ON1</v>
      </c>
      <c r="H1110" s="16" t="s">
        <v>21</v>
      </c>
      <c r="I1110" s="16" t="s">
        <v>168</v>
      </c>
      <c r="J1110" s="16" t="str">
        <f>""</f>
        <v/>
      </c>
      <c r="K1110" s="16" t="str">
        <f>"PFES1162728265_0001"</f>
        <v>PFES1162728265_0001</v>
      </c>
      <c r="L1110" s="16">
        <v>1</v>
      </c>
      <c r="M1110" s="16">
        <v>6</v>
      </c>
    </row>
    <row r="1111" spans="1:13">
      <c r="A1111" s="7">
        <v>43811</v>
      </c>
      <c r="B1111" s="8">
        <v>0.65277777777777779</v>
      </c>
      <c r="C1111" s="16" t="str">
        <f>"FES1162728260"</f>
        <v>FES1162728260</v>
      </c>
      <c r="D1111" s="16" t="s">
        <v>19</v>
      </c>
      <c r="E1111" s="16" t="s">
        <v>343</v>
      </c>
      <c r="F1111" s="16" t="str">
        <f>"2170718539 "</f>
        <v xml:space="preserve">2170718539 </v>
      </c>
      <c r="G1111" s="16" t="str">
        <f t="shared" si="31"/>
        <v>ON1</v>
      </c>
      <c r="H1111" s="16" t="s">
        <v>21</v>
      </c>
      <c r="I1111" s="16" t="s">
        <v>145</v>
      </c>
      <c r="J1111" s="16" t="str">
        <f>""</f>
        <v/>
      </c>
      <c r="K1111" s="16" t="str">
        <f>"PFES1162728260_0001"</f>
        <v>PFES1162728260_0001</v>
      </c>
      <c r="L1111" s="16">
        <v>1</v>
      </c>
      <c r="M1111" s="16">
        <v>1</v>
      </c>
    </row>
    <row r="1112" spans="1:13">
      <c r="A1112" s="7">
        <v>43811</v>
      </c>
      <c r="B1112" s="8">
        <v>0.62916666666666665</v>
      </c>
      <c r="C1112" s="16" t="str">
        <f>"FES1162728234"</f>
        <v>FES1162728234</v>
      </c>
      <c r="D1112" s="16" t="s">
        <v>19</v>
      </c>
      <c r="E1112" s="16" t="s">
        <v>655</v>
      </c>
      <c r="F1112" s="16" t="str">
        <f>"2170719260 "</f>
        <v xml:space="preserve">2170719260 </v>
      </c>
      <c r="G1112" s="16" t="str">
        <f t="shared" si="31"/>
        <v>ON1</v>
      </c>
      <c r="H1112" s="16" t="s">
        <v>21</v>
      </c>
      <c r="I1112" s="16" t="s">
        <v>656</v>
      </c>
      <c r="J1112" s="16" t="str">
        <f>""</f>
        <v/>
      </c>
      <c r="K1112" s="16" t="str">
        <f>"PFES1162728234_0001"</f>
        <v>PFES1162728234_0001</v>
      </c>
      <c r="L1112" s="16">
        <v>1</v>
      </c>
      <c r="M1112" s="16">
        <v>18</v>
      </c>
    </row>
    <row r="1113" spans="1:13">
      <c r="A1113" s="7">
        <v>43811</v>
      </c>
      <c r="B1113" s="8">
        <v>0.62569444444444444</v>
      </c>
      <c r="C1113" s="16" t="str">
        <f>"FES1162728250"</f>
        <v>FES1162728250</v>
      </c>
      <c r="D1113" s="16" t="s">
        <v>19</v>
      </c>
      <c r="E1113" s="16" t="s">
        <v>486</v>
      </c>
      <c r="F1113" s="16" t="str">
        <f>"217071592 "</f>
        <v xml:space="preserve">217071592 </v>
      </c>
      <c r="G1113" s="16" t="str">
        <f t="shared" si="31"/>
        <v>ON1</v>
      </c>
      <c r="H1113" s="16" t="s">
        <v>21</v>
      </c>
      <c r="I1113" s="16" t="s">
        <v>487</v>
      </c>
      <c r="J1113" s="16" t="str">
        <f>""</f>
        <v/>
      </c>
      <c r="K1113" s="16" t="str">
        <f>"PFES1162728250_0001"</f>
        <v>PFES1162728250_0001</v>
      </c>
      <c r="L1113" s="16">
        <v>1</v>
      </c>
      <c r="M1113" s="16">
        <v>7</v>
      </c>
    </row>
    <row r="1114" spans="1:13">
      <c r="A1114" s="7">
        <v>43811</v>
      </c>
      <c r="B1114" s="8">
        <v>0.625</v>
      </c>
      <c r="C1114" s="16" t="str">
        <f>"FES1162728263"</f>
        <v>FES1162728263</v>
      </c>
      <c r="D1114" s="16" t="s">
        <v>19</v>
      </c>
      <c r="E1114" s="16" t="s">
        <v>443</v>
      </c>
      <c r="F1114" s="16" t="str">
        <f>"2170719967 "</f>
        <v xml:space="preserve">2170719967 </v>
      </c>
      <c r="G1114" s="16" t="str">
        <f t="shared" si="31"/>
        <v>ON1</v>
      </c>
      <c r="H1114" s="16" t="s">
        <v>21</v>
      </c>
      <c r="I1114" s="16" t="s">
        <v>444</v>
      </c>
      <c r="J1114" s="16" t="str">
        <f>""</f>
        <v/>
      </c>
      <c r="K1114" s="16" t="str">
        <f>"PFES1162728263_0001"</f>
        <v>PFES1162728263_0001</v>
      </c>
      <c r="L1114" s="16">
        <v>1</v>
      </c>
      <c r="M1114" s="16">
        <v>1</v>
      </c>
    </row>
    <row r="1115" spans="1:13">
      <c r="A1115" s="7">
        <v>43811</v>
      </c>
      <c r="B1115" s="8">
        <v>0.625</v>
      </c>
      <c r="C1115" s="16" t="str">
        <f>"FES1162728110"</f>
        <v>FES1162728110</v>
      </c>
      <c r="D1115" s="16" t="s">
        <v>19</v>
      </c>
      <c r="E1115" s="16" t="s">
        <v>499</v>
      </c>
      <c r="F1115" s="16" t="str">
        <f>"2170718643 "</f>
        <v xml:space="preserve">2170718643 </v>
      </c>
      <c r="G1115" s="16" t="str">
        <f t="shared" si="31"/>
        <v>ON1</v>
      </c>
      <c r="H1115" s="16" t="s">
        <v>21</v>
      </c>
      <c r="I1115" s="16" t="s">
        <v>408</v>
      </c>
      <c r="J1115" s="16" t="str">
        <f>""</f>
        <v/>
      </c>
      <c r="K1115" s="16" t="str">
        <f>"PFES1162728110_0001"</f>
        <v>PFES1162728110_0001</v>
      </c>
      <c r="L1115" s="16">
        <v>1</v>
      </c>
      <c r="M1115" s="16">
        <v>1</v>
      </c>
    </row>
    <row r="1116" spans="1:13">
      <c r="A1116" s="7">
        <v>43811</v>
      </c>
      <c r="B1116" s="8">
        <v>0.62430555555555556</v>
      </c>
      <c r="C1116" s="16" t="str">
        <f>"FES1162728270"</f>
        <v>FES1162728270</v>
      </c>
      <c r="D1116" s="16" t="s">
        <v>19</v>
      </c>
      <c r="E1116" s="16" t="s">
        <v>118</v>
      </c>
      <c r="F1116" s="16" t="str">
        <f>"21707190606 "</f>
        <v xml:space="preserve">21707190606 </v>
      </c>
      <c r="G1116" s="16" t="str">
        <f t="shared" si="31"/>
        <v>ON1</v>
      </c>
      <c r="H1116" s="16" t="s">
        <v>21</v>
      </c>
      <c r="I1116" s="16" t="s">
        <v>119</v>
      </c>
      <c r="J1116" s="16" t="str">
        <f>""</f>
        <v/>
      </c>
      <c r="K1116" s="16" t="str">
        <f>"PFES1162728270_0001"</f>
        <v>PFES1162728270_0001</v>
      </c>
      <c r="L1116" s="16">
        <v>1</v>
      </c>
      <c r="M1116" s="16">
        <v>1</v>
      </c>
    </row>
    <row r="1117" spans="1:13">
      <c r="A1117" s="7">
        <v>43811</v>
      </c>
      <c r="B1117" s="8">
        <v>0.62430555555555556</v>
      </c>
      <c r="C1117" s="16" t="str">
        <f>"FES1162728116"</f>
        <v>FES1162728116</v>
      </c>
      <c r="D1117" s="16" t="s">
        <v>19</v>
      </c>
      <c r="E1117" s="16" t="s">
        <v>657</v>
      </c>
      <c r="F1117" s="16" t="str">
        <f>"2170718769 "</f>
        <v xml:space="preserve">2170718769 </v>
      </c>
      <c r="G1117" s="16" t="str">
        <f t="shared" si="31"/>
        <v>ON1</v>
      </c>
      <c r="H1117" s="16" t="s">
        <v>21</v>
      </c>
      <c r="I1117" s="16" t="s">
        <v>342</v>
      </c>
      <c r="J1117" s="16" t="str">
        <f>""</f>
        <v/>
      </c>
      <c r="K1117" s="16" t="str">
        <f>"PFES1162728116_0001"</f>
        <v>PFES1162728116_0001</v>
      </c>
      <c r="L1117" s="16">
        <v>1</v>
      </c>
      <c r="M1117" s="16">
        <v>3</v>
      </c>
    </row>
    <row r="1118" spans="1:13">
      <c r="A1118" s="7">
        <v>43811</v>
      </c>
      <c r="B1118" s="8">
        <v>0.62291666666666667</v>
      </c>
      <c r="C1118" s="16" t="str">
        <f>"FES1162728004"</f>
        <v>FES1162728004</v>
      </c>
      <c r="D1118" s="16" t="s">
        <v>19</v>
      </c>
      <c r="E1118" s="16" t="s">
        <v>310</v>
      </c>
      <c r="F1118" s="16" t="str">
        <f>"2170719327 "</f>
        <v xml:space="preserve">2170719327 </v>
      </c>
      <c r="G1118" s="16" t="str">
        <f t="shared" si="31"/>
        <v>ON1</v>
      </c>
      <c r="H1118" s="16" t="s">
        <v>21</v>
      </c>
      <c r="I1118" s="16" t="s">
        <v>294</v>
      </c>
      <c r="J1118" s="16" t="str">
        <f>""</f>
        <v/>
      </c>
      <c r="K1118" s="16" t="str">
        <f>"PFES1162728004_0001"</f>
        <v>PFES1162728004_0001</v>
      </c>
      <c r="L1118" s="16">
        <v>1</v>
      </c>
      <c r="M1118" s="16">
        <v>1</v>
      </c>
    </row>
    <row r="1119" spans="1:13">
      <c r="A1119" s="7">
        <v>43811</v>
      </c>
      <c r="B1119" s="8">
        <v>0.62222222222222223</v>
      </c>
      <c r="C1119" s="16" t="str">
        <f>"FES1162728007"</f>
        <v>FES1162728007</v>
      </c>
      <c r="D1119" s="16" t="s">
        <v>19</v>
      </c>
      <c r="E1119" s="16" t="s">
        <v>310</v>
      </c>
      <c r="F1119" s="16" t="str">
        <f>"2170719420 "</f>
        <v xml:space="preserve">2170719420 </v>
      </c>
      <c r="G1119" s="16" t="str">
        <f t="shared" si="31"/>
        <v>ON1</v>
      </c>
      <c r="H1119" s="16" t="s">
        <v>21</v>
      </c>
      <c r="I1119" s="16" t="s">
        <v>294</v>
      </c>
      <c r="J1119" s="16" t="str">
        <f>""</f>
        <v/>
      </c>
      <c r="K1119" s="16" t="str">
        <f>"PFES1162728007_0001"</f>
        <v>PFES1162728007_0001</v>
      </c>
      <c r="L1119" s="16">
        <v>1</v>
      </c>
      <c r="M1119" s="16">
        <v>1</v>
      </c>
    </row>
    <row r="1120" spans="1:13">
      <c r="A1120" s="7">
        <v>43811</v>
      </c>
      <c r="B1120" s="8">
        <v>0.62222222222222223</v>
      </c>
      <c r="C1120" s="16" t="str">
        <f>"FES1162728230"</f>
        <v>FES1162728230</v>
      </c>
      <c r="D1120" s="16" t="s">
        <v>19</v>
      </c>
      <c r="E1120" s="16" t="s">
        <v>75</v>
      </c>
      <c r="F1120" s="16" t="str">
        <f>"2170718007 "</f>
        <v xml:space="preserve">2170718007 </v>
      </c>
      <c r="G1120" s="16" t="str">
        <f t="shared" si="31"/>
        <v>ON1</v>
      </c>
      <c r="H1120" s="16" t="s">
        <v>21</v>
      </c>
      <c r="I1120" s="16" t="s">
        <v>76</v>
      </c>
      <c r="J1120" s="16" t="str">
        <f>""</f>
        <v/>
      </c>
      <c r="K1120" s="16" t="str">
        <f>"PFES1162728230_0001"</f>
        <v>PFES1162728230_0001</v>
      </c>
      <c r="L1120" s="16">
        <v>1</v>
      </c>
      <c r="M1120" s="16">
        <v>9</v>
      </c>
    </row>
    <row r="1121" spans="1:13">
      <c r="A1121" s="7">
        <v>43811</v>
      </c>
      <c r="B1121" s="8">
        <v>0.6166666666666667</v>
      </c>
      <c r="C1121" s="16" t="str">
        <f>"FES1162728227"</f>
        <v>FES1162728227</v>
      </c>
      <c r="D1121" s="16" t="s">
        <v>19</v>
      </c>
      <c r="E1121" s="16" t="s">
        <v>241</v>
      </c>
      <c r="F1121" s="16" t="str">
        <f>"217071582 "</f>
        <v xml:space="preserve">217071582 </v>
      </c>
      <c r="G1121" s="16" t="str">
        <f t="shared" si="31"/>
        <v>ON1</v>
      </c>
      <c r="H1121" s="16" t="s">
        <v>21</v>
      </c>
      <c r="I1121" s="16" t="s">
        <v>72</v>
      </c>
      <c r="J1121" s="16" t="str">
        <f>""</f>
        <v/>
      </c>
      <c r="K1121" s="16" t="str">
        <f>"PFES1162728227_0001"</f>
        <v>PFES1162728227_0001</v>
      </c>
      <c r="L1121" s="16">
        <v>1</v>
      </c>
      <c r="M1121" s="16">
        <v>1</v>
      </c>
    </row>
    <row r="1122" spans="1:13">
      <c r="A1122" s="7">
        <v>43811</v>
      </c>
      <c r="B1122" s="8">
        <v>0.6166666666666667</v>
      </c>
      <c r="C1122" s="16" t="str">
        <f>"FES1162728117"</f>
        <v>FES1162728117</v>
      </c>
      <c r="D1122" s="16" t="s">
        <v>19</v>
      </c>
      <c r="E1122" s="16" t="s">
        <v>82</v>
      </c>
      <c r="F1122" s="16" t="str">
        <f>"2170718681 "</f>
        <v xml:space="preserve">2170718681 </v>
      </c>
      <c r="G1122" s="16" t="str">
        <f t="shared" si="31"/>
        <v>ON1</v>
      </c>
      <c r="H1122" s="16" t="s">
        <v>21</v>
      </c>
      <c r="I1122" s="16" t="s">
        <v>72</v>
      </c>
      <c r="J1122" s="16" t="str">
        <f>""</f>
        <v/>
      </c>
      <c r="K1122" s="16" t="str">
        <f>"PFES1162728117_0001"</f>
        <v>PFES1162728117_0001</v>
      </c>
      <c r="L1122" s="16">
        <v>1</v>
      </c>
      <c r="M1122" s="16">
        <v>3</v>
      </c>
    </row>
    <row r="1123" spans="1:13">
      <c r="A1123" s="7">
        <v>43811</v>
      </c>
      <c r="B1123" s="8">
        <v>0.6166666666666667</v>
      </c>
      <c r="C1123" s="16" t="str">
        <f>"FES1162728184"</f>
        <v>FES1162728184</v>
      </c>
      <c r="D1123" s="16" t="s">
        <v>19</v>
      </c>
      <c r="E1123" s="16" t="s">
        <v>658</v>
      </c>
      <c r="F1123" s="16" t="str">
        <f>"2170721515 "</f>
        <v xml:space="preserve">2170721515 </v>
      </c>
      <c r="G1123" s="16" t="str">
        <f t="shared" si="31"/>
        <v>ON1</v>
      </c>
      <c r="H1123" s="16" t="s">
        <v>21</v>
      </c>
      <c r="I1123" s="16" t="s">
        <v>521</v>
      </c>
      <c r="J1123" s="16" t="str">
        <f>""</f>
        <v/>
      </c>
      <c r="K1123" s="16" t="str">
        <f>"PFES1162728184_0001"</f>
        <v>PFES1162728184_0001</v>
      </c>
      <c r="L1123" s="16">
        <v>1</v>
      </c>
      <c r="M1123" s="16">
        <v>12</v>
      </c>
    </row>
    <row r="1124" spans="1:13">
      <c r="A1124" s="7">
        <v>43811</v>
      </c>
      <c r="B1124" s="8">
        <v>0.61597222222222225</v>
      </c>
      <c r="C1124" s="16" t="str">
        <f>"FES1162728193"</f>
        <v>FES1162728193</v>
      </c>
      <c r="D1124" s="16" t="s">
        <v>19</v>
      </c>
      <c r="E1124" s="16" t="s">
        <v>165</v>
      </c>
      <c r="F1124" s="16" t="str">
        <f>"2170721528 "</f>
        <v xml:space="preserve">2170721528 </v>
      </c>
      <c r="G1124" s="16" t="str">
        <f t="shared" si="31"/>
        <v>ON1</v>
      </c>
      <c r="H1124" s="16" t="s">
        <v>21</v>
      </c>
      <c r="I1124" s="16" t="s">
        <v>166</v>
      </c>
      <c r="J1124" s="16" t="str">
        <f>""</f>
        <v/>
      </c>
      <c r="K1124" s="16" t="str">
        <f>"PFES1162728193_0001"</f>
        <v>PFES1162728193_0001</v>
      </c>
      <c r="L1124" s="16">
        <v>1</v>
      </c>
      <c r="M1124" s="16">
        <v>4</v>
      </c>
    </row>
    <row r="1125" spans="1:13">
      <c r="A1125" s="7">
        <v>43811</v>
      </c>
      <c r="B1125" s="8">
        <v>0.61527777777777781</v>
      </c>
      <c r="C1125" s="16" t="str">
        <f>"FES1162728154"</f>
        <v>FES1162728154</v>
      </c>
      <c r="D1125" s="16" t="s">
        <v>19</v>
      </c>
      <c r="E1125" s="16" t="s">
        <v>44</v>
      </c>
      <c r="F1125" s="16" t="str">
        <f>"2170718964 "</f>
        <v xml:space="preserve">2170718964 </v>
      </c>
      <c r="G1125" s="16" t="str">
        <f t="shared" ref="G1125" si="32">"ON1"</f>
        <v>ON1</v>
      </c>
      <c r="H1125" s="16" t="s">
        <v>21</v>
      </c>
      <c r="I1125" s="16" t="s">
        <v>45</v>
      </c>
      <c r="J1125" s="16" t="str">
        <f>""</f>
        <v/>
      </c>
      <c r="K1125" s="16" t="str">
        <f>"PFES1162728154_0001"</f>
        <v>PFES1162728154_0001</v>
      </c>
      <c r="L1125" s="16">
        <v>1</v>
      </c>
      <c r="M1125" s="16">
        <v>21</v>
      </c>
    </row>
    <row r="1126" spans="1:13">
      <c r="A1126" s="7">
        <v>43811</v>
      </c>
      <c r="B1126" s="8">
        <v>0.61458333333333337</v>
      </c>
      <c r="C1126" s="16" t="str">
        <f>"FES1162728186"</f>
        <v>FES1162728186</v>
      </c>
      <c r="D1126" s="16" t="s">
        <v>19</v>
      </c>
      <c r="E1126" s="16" t="s">
        <v>44</v>
      </c>
      <c r="F1126" s="16" t="str">
        <f>"2170721517 "</f>
        <v xml:space="preserve">2170721517 </v>
      </c>
      <c r="G1126" s="16" t="str">
        <f>"DBC"</f>
        <v>DBC</v>
      </c>
      <c r="H1126" s="16" t="s">
        <v>21</v>
      </c>
      <c r="I1126" s="16" t="s">
        <v>45</v>
      </c>
      <c r="J1126" s="16" t="str">
        <f>""</f>
        <v/>
      </c>
      <c r="K1126" s="16" t="str">
        <f>"PFES1162728186_0001"</f>
        <v>PFES1162728186_0001</v>
      </c>
      <c r="L1126" s="16">
        <v>1</v>
      </c>
      <c r="M1126" s="16">
        <v>22</v>
      </c>
    </row>
    <row r="1127" spans="1:13">
      <c r="A1127" s="7">
        <v>43811</v>
      </c>
      <c r="B1127" s="8">
        <v>0.61458333333333337</v>
      </c>
      <c r="C1127" s="16" t="str">
        <f>"FES1162728217"</f>
        <v>FES1162728217</v>
      </c>
      <c r="D1127" s="16" t="s">
        <v>19</v>
      </c>
      <c r="E1127" s="16" t="s">
        <v>82</v>
      </c>
      <c r="F1127" s="16" t="str">
        <f>"2170721566 "</f>
        <v xml:space="preserve">2170721566 </v>
      </c>
      <c r="G1127" s="16" t="str">
        <f t="shared" ref="G1127:G1190" si="33">"ON1"</f>
        <v>ON1</v>
      </c>
      <c r="H1127" s="16" t="s">
        <v>21</v>
      </c>
      <c r="I1127" s="16" t="s">
        <v>72</v>
      </c>
      <c r="J1127" s="16" t="str">
        <f>""</f>
        <v/>
      </c>
      <c r="K1127" s="16" t="str">
        <f>"PFES1162728217_0001"</f>
        <v>PFES1162728217_0001</v>
      </c>
      <c r="L1127" s="16">
        <v>1</v>
      </c>
      <c r="M1127" s="16">
        <v>2</v>
      </c>
    </row>
    <row r="1128" spans="1:13">
      <c r="A1128" s="7">
        <v>43811</v>
      </c>
      <c r="B1128" s="8">
        <v>0.61319444444444449</v>
      </c>
      <c r="C1128" s="16" t="str">
        <f>"009935723057"</f>
        <v>009935723057</v>
      </c>
      <c r="D1128" s="16" t="s">
        <v>19</v>
      </c>
      <c r="E1128" s="16" t="s">
        <v>659</v>
      </c>
      <c r="F1128" s="16" t="str">
        <f>"JJUJJHHHN "</f>
        <v xml:space="preserve">JJUJJHHHN </v>
      </c>
      <c r="G1128" s="16" t="str">
        <f t="shared" si="33"/>
        <v>ON1</v>
      </c>
      <c r="H1128" s="16" t="s">
        <v>21</v>
      </c>
      <c r="I1128" s="16" t="s">
        <v>660</v>
      </c>
      <c r="J1128" s="16" t="str">
        <f>""</f>
        <v/>
      </c>
      <c r="K1128" s="16" t="str">
        <f>"P009935723057_0001"</f>
        <v>P009935723057_0001</v>
      </c>
      <c r="L1128" s="16">
        <v>1</v>
      </c>
      <c r="M1128" s="16">
        <v>1</v>
      </c>
    </row>
    <row r="1129" spans="1:13">
      <c r="A1129" s="7">
        <v>43811</v>
      </c>
      <c r="B1129" s="8">
        <v>0.60347222222222219</v>
      </c>
      <c r="C1129" s="16" t="str">
        <f>"FES1162728086"</f>
        <v>FES1162728086</v>
      </c>
      <c r="D1129" s="16" t="s">
        <v>19</v>
      </c>
      <c r="E1129" s="16" t="s">
        <v>497</v>
      </c>
      <c r="F1129" s="16" t="str">
        <f>"2170718408 "</f>
        <v xml:space="preserve">2170718408 </v>
      </c>
      <c r="G1129" s="16" t="str">
        <f t="shared" si="33"/>
        <v>ON1</v>
      </c>
      <c r="H1129" s="16" t="s">
        <v>21</v>
      </c>
      <c r="I1129" s="16" t="s">
        <v>498</v>
      </c>
      <c r="J1129" s="16" t="str">
        <f>""</f>
        <v/>
      </c>
      <c r="K1129" s="16" t="str">
        <f>"PFES1162728086_0001"</f>
        <v>PFES1162728086_0001</v>
      </c>
      <c r="L1129" s="16">
        <v>1</v>
      </c>
      <c r="M1129" s="16">
        <v>1</v>
      </c>
    </row>
    <row r="1130" spans="1:13">
      <c r="A1130" s="7">
        <v>43811</v>
      </c>
      <c r="B1130" s="8">
        <v>0.60277777777777775</v>
      </c>
      <c r="C1130" s="16" t="str">
        <f>"FES1162728078"</f>
        <v>FES1162728078</v>
      </c>
      <c r="D1130" s="16" t="s">
        <v>19</v>
      </c>
      <c r="E1130" s="16" t="s">
        <v>431</v>
      </c>
      <c r="F1130" s="16" t="str">
        <f>"21707183474 "</f>
        <v xml:space="preserve">21707183474 </v>
      </c>
      <c r="G1130" s="16" t="str">
        <f t="shared" si="33"/>
        <v>ON1</v>
      </c>
      <c r="H1130" s="16" t="s">
        <v>21</v>
      </c>
      <c r="I1130" s="16" t="s">
        <v>29</v>
      </c>
      <c r="J1130" s="16" t="str">
        <f>""</f>
        <v/>
      </c>
      <c r="K1130" s="16" t="str">
        <f>"PFES1162728078_0001"</f>
        <v>PFES1162728078_0001</v>
      </c>
      <c r="L1130" s="16">
        <v>1</v>
      </c>
      <c r="M1130" s="16">
        <v>1</v>
      </c>
    </row>
    <row r="1131" spans="1:13">
      <c r="A1131" s="7">
        <v>43811</v>
      </c>
      <c r="B1131" s="8">
        <v>0.60277777777777775</v>
      </c>
      <c r="C1131" s="16" t="str">
        <f>"FES1162728145"</f>
        <v>FES1162728145</v>
      </c>
      <c r="D1131" s="16" t="s">
        <v>19</v>
      </c>
      <c r="E1131" s="16" t="s">
        <v>258</v>
      </c>
      <c r="F1131" s="16" t="str">
        <f>"2170720592 "</f>
        <v xml:space="preserve">2170720592 </v>
      </c>
      <c r="G1131" s="16" t="str">
        <f t="shared" si="33"/>
        <v>ON1</v>
      </c>
      <c r="H1131" s="16" t="s">
        <v>21</v>
      </c>
      <c r="I1131" s="16" t="s">
        <v>257</v>
      </c>
      <c r="J1131" s="16" t="str">
        <f>""</f>
        <v/>
      </c>
      <c r="K1131" s="16" t="str">
        <f>"PFES1162728145_0001"</f>
        <v>PFES1162728145_0001</v>
      </c>
      <c r="L1131" s="16">
        <v>1</v>
      </c>
      <c r="M1131" s="16">
        <v>1</v>
      </c>
    </row>
    <row r="1132" spans="1:13">
      <c r="A1132" s="7">
        <v>43811</v>
      </c>
      <c r="B1132" s="8">
        <v>0.60277777777777775</v>
      </c>
      <c r="C1132" s="16" t="str">
        <f>"FES1162728062"</f>
        <v>FES1162728062</v>
      </c>
      <c r="D1132" s="16" t="s">
        <v>19</v>
      </c>
      <c r="E1132" s="16" t="s">
        <v>661</v>
      </c>
      <c r="F1132" s="16" t="str">
        <f>"2170718150 "</f>
        <v xml:space="preserve">2170718150 </v>
      </c>
      <c r="G1132" s="16" t="str">
        <f t="shared" si="33"/>
        <v>ON1</v>
      </c>
      <c r="H1132" s="16" t="s">
        <v>21</v>
      </c>
      <c r="I1132" s="16" t="s">
        <v>662</v>
      </c>
      <c r="J1132" s="16" t="str">
        <f>""</f>
        <v/>
      </c>
      <c r="K1132" s="16" t="str">
        <f>"PFES1162728062_0001"</f>
        <v>PFES1162728062_0001</v>
      </c>
      <c r="L1132" s="16">
        <v>1</v>
      </c>
      <c r="M1132" s="16">
        <v>1</v>
      </c>
    </row>
    <row r="1133" spans="1:13">
      <c r="A1133" s="7">
        <v>43811</v>
      </c>
      <c r="B1133" s="8">
        <v>0.6020833333333333</v>
      </c>
      <c r="C1133" s="16" t="str">
        <f>"FES1162728079"</f>
        <v>FES1162728079</v>
      </c>
      <c r="D1133" s="16" t="s">
        <v>19</v>
      </c>
      <c r="E1133" s="16" t="s">
        <v>82</v>
      </c>
      <c r="F1133" s="16" t="str">
        <f>"2170713848 "</f>
        <v xml:space="preserve">2170713848 </v>
      </c>
      <c r="G1133" s="16" t="str">
        <f t="shared" si="33"/>
        <v>ON1</v>
      </c>
      <c r="H1133" s="16" t="s">
        <v>21</v>
      </c>
      <c r="I1133" s="16" t="s">
        <v>72</v>
      </c>
      <c r="J1133" s="16" t="str">
        <f>""</f>
        <v/>
      </c>
      <c r="K1133" s="16" t="str">
        <f>"PFES1162728079_0001"</f>
        <v>PFES1162728079_0001</v>
      </c>
      <c r="L1133" s="16">
        <v>1</v>
      </c>
      <c r="M1133" s="16">
        <v>1</v>
      </c>
    </row>
    <row r="1134" spans="1:13">
      <c r="A1134" s="7">
        <v>43811</v>
      </c>
      <c r="B1134" s="8">
        <v>0.6020833333333333</v>
      </c>
      <c r="C1134" s="16" t="str">
        <f>"FES1162728076"</f>
        <v>FES1162728076</v>
      </c>
      <c r="D1134" s="16" t="s">
        <v>19</v>
      </c>
      <c r="E1134" s="16" t="s">
        <v>663</v>
      </c>
      <c r="F1134" s="16" t="str">
        <f>"2170748327 "</f>
        <v xml:space="preserve">2170748327 </v>
      </c>
      <c r="G1134" s="16" t="str">
        <f t="shared" si="33"/>
        <v>ON1</v>
      </c>
      <c r="H1134" s="16" t="s">
        <v>21</v>
      </c>
      <c r="I1134" s="16" t="s">
        <v>72</v>
      </c>
      <c r="J1134" s="16" t="str">
        <f>""</f>
        <v/>
      </c>
      <c r="K1134" s="16" t="str">
        <f>"PFES1162728076_0001"</f>
        <v>PFES1162728076_0001</v>
      </c>
      <c r="L1134" s="16">
        <v>1</v>
      </c>
      <c r="M1134" s="16">
        <v>1</v>
      </c>
    </row>
    <row r="1135" spans="1:13">
      <c r="A1135" s="7">
        <v>43811</v>
      </c>
      <c r="B1135" s="8">
        <v>0.6020833333333333</v>
      </c>
      <c r="C1135" s="16" t="str">
        <f>"FES1162728095"</f>
        <v>FES1162728095</v>
      </c>
      <c r="D1135" s="16" t="s">
        <v>19</v>
      </c>
      <c r="E1135" s="16" t="s">
        <v>664</v>
      </c>
      <c r="F1135" s="16" t="str">
        <f>"2170718353 "</f>
        <v xml:space="preserve">2170718353 </v>
      </c>
      <c r="G1135" s="16" t="str">
        <f t="shared" si="33"/>
        <v>ON1</v>
      </c>
      <c r="H1135" s="16" t="s">
        <v>21</v>
      </c>
      <c r="I1135" s="16" t="s">
        <v>119</v>
      </c>
      <c r="J1135" s="16" t="str">
        <f>""</f>
        <v/>
      </c>
      <c r="K1135" s="16" t="str">
        <f>"PFES1162728095_0001"</f>
        <v>PFES1162728095_0001</v>
      </c>
      <c r="L1135" s="16">
        <v>1</v>
      </c>
      <c r="M1135" s="16">
        <v>1</v>
      </c>
    </row>
    <row r="1136" spans="1:13">
      <c r="A1136" s="7">
        <v>43811</v>
      </c>
      <c r="B1136" s="8">
        <v>0.60138888888888886</v>
      </c>
      <c r="C1136" s="16" t="str">
        <f>"FES1162728144"</f>
        <v>FES1162728144</v>
      </c>
      <c r="D1136" s="16" t="s">
        <v>19</v>
      </c>
      <c r="E1136" s="16" t="s">
        <v>185</v>
      </c>
      <c r="F1136" s="16" t="str">
        <f>"2170719946 "</f>
        <v xml:space="preserve">2170719946 </v>
      </c>
      <c r="G1136" s="16" t="str">
        <f t="shared" si="33"/>
        <v>ON1</v>
      </c>
      <c r="H1136" s="16" t="s">
        <v>21</v>
      </c>
      <c r="I1136" s="16" t="s">
        <v>186</v>
      </c>
      <c r="J1136" s="16" t="str">
        <f>""</f>
        <v/>
      </c>
      <c r="K1136" s="16" t="str">
        <f>"PFES1162728144_0001"</f>
        <v>PFES1162728144_0001</v>
      </c>
      <c r="L1136" s="16">
        <v>1</v>
      </c>
      <c r="M1136" s="16">
        <v>1</v>
      </c>
    </row>
    <row r="1137" spans="1:13">
      <c r="A1137" s="7">
        <v>43811</v>
      </c>
      <c r="B1137" s="8">
        <v>0.60138888888888886</v>
      </c>
      <c r="C1137" s="16" t="str">
        <f>"FES1162728065"</f>
        <v>FES1162728065</v>
      </c>
      <c r="D1137" s="16" t="s">
        <v>19</v>
      </c>
      <c r="E1137" s="16" t="s">
        <v>519</v>
      </c>
      <c r="F1137" s="16" t="str">
        <f>"2170718194 "</f>
        <v xml:space="preserve">2170718194 </v>
      </c>
      <c r="G1137" s="16" t="str">
        <f t="shared" si="33"/>
        <v>ON1</v>
      </c>
      <c r="H1137" s="16" t="s">
        <v>21</v>
      </c>
      <c r="I1137" s="16" t="s">
        <v>119</v>
      </c>
      <c r="J1137" s="16" t="str">
        <f>""</f>
        <v/>
      </c>
      <c r="K1137" s="16" t="str">
        <f>"PFES1162728065_0001"</f>
        <v>PFES1162728065_0001</v>
      </c>
      <c r="L1137" s="16">
        <v>1</v>
      </c>
      <c r="M1137" s="16">
        <v>1</v>
      </c>
    </row>
    <row r="1138" spans="1:13">
      <c r="A1138" s="7">
        <v>43811</v>
      </c>
      <c r="B1138" s="8">
        <v>0.60069444444444442</v>
      </c>
      <c r="C1138" s="16" t="str">
        <f>"FES1162728223"</f>
        <v>FES1162728223</v>
      </c>
      <c r="D1138" s="16" t="s">
        <v>19</v>
      </c>
      <c r="E1138" s="16" t="s">
        <v>59</v>
      </c>
      <c r="F1138" s="16" t="str">
        <f>"2170715757 "</f>
        <v xml:space="preserve">2170715757 </v>
      </c>
      <c r="G1138" s="16" t="str">
        <f t="shared" si="33"/>
        <v>ON1</v>
      </c>
      <c r="H1138" s="16" t="s">
        <v>21</v>
      </c>
      <c r="I1138" s="16" t="s">
        <v>60</v>
      </c>
      <c r="J1138" s="16" t="str">
        <f>""</f>
        <v/>
      </c>
      <c r="K1138" s="16" t="str">
        <f>"PFES1162728223_0001"</f>
        <v>PFES1162728223_0001</v>
      </c>
      <c r="L1138" s="16">
        <v>1</v>
      </c>
      <c r="M1138" s="16">
        <v>1</v>
      </c>
    </row>
    <row r="1139" spans="1:13">
      <c r="A1139" s="7">
        <v>43811</v>
      </c>
      <c r="B1139" s="8">
        <v>0.60069444444444442</v>
      </c>
      <c r="C1139" s="16" t="str">
        <f>"FES1162728191"</f>
        <v>FES1162728191</v>
      </c>
      <c r="D1139" s="16" t="s">
        <v>19</v>
      </c>
      <c r="E1139" s="16" t="s">
        <v>142</v>
      </c>
      <c r="F1139" s="16" t="str">
        <f>"217071253 "</f>
        <v xml:space="preserve">217071253 </v>
      </c>
      <c r="G1139" s="16" t="str">
        <f t="shared" si="33"/>
        <v>ON1</v>
      </c>
      <c r="H1139" s="16" t="s">
        <v>21</v>
      </c>
      <c r="I1139" s="16" t="s">
        <v>37</v>
      </c>
      <c r="J1139" s="16" t="str">
        <f>""</f>
        <v/>
      </c>
      <c r="K1139" s="16" t="str">
        <f>"PFES1162728191_0001"</f>
        <v>PFES1162728191_0001</v>
      </c>
      <c r="L1139" s="16">
        <v>1</v>
      </c>
      <c r="M1139" s="16">
        <v>1</v>
      </c>
    </row>
    <row r="1140" spans="1:13">
      <c r="A1140" s="7">
        <v>43811</v>
      </c>
      <c r="B1140" s="8">
        <v>0.6</v>
      </c>
      <c r="C1140" s="16" t="str">
        <f>"FES1162728209"</f>
        <v>FES1162728209</v>
      </c>
      <c r="D1140" s="16" t="s">
        <v>19</v>
      </c>
      <c r="E1140" s="16" t="s">
        <v>379</v>
      </c>
      <c r="F1140" s="16" t="str">
        <f>"2170721550 "</f>
        <v xml:space="preserve">2170721550 </v>
      </c>
      <c r="G1140" s="16" t="str">
        <f t="shared" si="33"/>
        <v>ON1</v>
      </c>
      <c r="H1140" s="16" t="s">
        <v>21</v>
      </c>
      <c r="I1140" s="16" t="s">
        <v>370</v>
      </c>
      <c r="J1140" s="16" t="str">
        <f>""</f>
        <v/>
      </c>
      <c r="K1140" s="16" t="str">
        <f>"PFES1162728209_0001"</f>
        <v>PFES1162728209_0001</v>
      </c>
      <c r="L1140" s="16">
        <v>1</v>
      </c>
      <c r="M1140" s="16">
        <v>1</v>
      </c>
    </row>
    <row r="1141" spans="1:13">
      <c r="A1141" s="7">
        <v>43811</v>
      </c>
      <c r="B1141" s="8">
        <v>0.6</v>
      </c>
      <c r="C1141" s="16" t="str">
        <f>"FES1162728225"</f>
        <v>FES1162728225</v>
      </c>
      <c r="D1141" s="16" t="s">
        <v>19</v>
      </c>
      <c r="E1141" s="16" t="s">
        <v>154</v>
      </c>
      <c r="F1141" s="16" t="str">
        <f>"2170712457 "</f>
        <v xml:space="preserve">2170712457 </v>
      </c>
      <c r="G1141" s="16" t="str">
        <f t="shared" si="33"/>
        <v>ON1</v>
      </c>
      <c r="H1141" s="16" t="s">
        <v>21</v>
      </c>
      <c r="I1141" s="16" t="s">
        <v>155</v>
      </c>
      <c r="J1141" s="16" t="str">
        <f>""</f>
        <v/>
      </c>
      <c r="K1141" s="16" t="str">
        <f>"PFES1162728225_0001"</f>
        <v>PFES1162728225_0001</v>
      </c>
      <c r="L1141" s="16">
        <v>1</v>
      </c>
      <c r="M1141" s="16">
        <v>1</v>
      </c>
    </row>
    <row r="1142" spans="1:13">
      <c r="A1142" s="7">
        <v>43811</v>
      </c>
      <c r="B1142" s="8">
        <v>0.6</v>
      </c>
      <c r="C1142" s="16" t="str">
        <f>"FES1162728245"</f>
        <v>FES1162728245</v>
      </c>
      <c r="D1142" s="16" t="s">
        <v>19</v>
      </c>
      <c r="E1142" s="16" t="s">
        <v>151</v>
      </c>
      <c r="F1142" s="16" t="str">
        <f>"2170715858 "</f>
        <v xml:space="preserve">2170715858 </v>
      </c>
      <c r="G1142" s="16" t="str">
        <f t="shared" si="33"/>
        <v>ON1</v>
      </c>
      <c r="H1142" s="16" t="s">
        <v>21</v>
      </c>
      <c r="I1142" s="16" t="s">
        <v>152</v>
      </c>
      <c r="J1142" s="16" t="str">
        <f>""</f>
        <v/>
      </c>
      <c r="K1142" s="16" t="str">
        <f>"PFES1162728245_0001"</f>
        <v>PFES1162728245_0001</v>
      </c>
      <c r="L1142" s="16">
        <v>1</v>
      </c>
      <c r="M1142" s="16">
        <v>1</v>
      </c>
    </row>
    <row r="1143" spans="1:13">
      <c r="A1143" s="7">
        <v>43811</v>
      </c>
      <c r="B1143" s="8">
        <v>0.59930555555555554</v>
      </c>
      <c r="C1143" s="16" t="str">
        <f>"FES1162728183"</f>
        <v>FES1162728183</v>
      </c>
      <c r="D1143" s="16" t="s">
        <v>19</v>
      </c>
      <c r="E1143" s="16" t="s">
        <v>57</v>
      </c>
      <c r="F1143" s="16" t="str">
        <f>"21707121514 "</f>
        <v xml:space="preserve">21707121514 </v>
      </c>
      <c r="G1143" s="16" t="str">
        <f t="shared" si="33"/>
        <v>ON1</v>
      </c>
      <c r="H1143" s="16" t="s">
        <v>21</v>
      </c>
      <c r="I1143" s="16" t="s">
        <v>58</v>
      </c>
      <c r="J1143" s="16" t="str">
        <f>""</f>
        <v/>
      </c>
      <c r="K1143" s="16" t="str">
        <f>"PFES1162728183_0001"</f>
        <v>PFES1162728183_0001</v>
      </c>
      <c r="L1143" s="16">
        <v>1</v>
      </c>
      <c r="M1143" s="16">
        <v>1</v>
      </c>
    </row>
    <row r="1144" spans="1:13">
      <c r="A1144" s="7">
        <v>43811</v>
      </c>
      <c r="B1144" s="8">
        <v>0.59930555555555554</v>
      </c>
      <c r="C1144" s="16" t="str">
        <f>"FES1162728094"</f>
        <v>FES1162728094</v>
      </c>
      <c r="D1144" s="16" t="s">
        <v>19</v>
      </c>
      <c r="E1144" s="16" t="s">
        <v>665</v>
      </c>
      <c r="F1144" s="16" t="str">
        <f>"2170718258 "</f>
        <v xml:space="preserve">2170718258 </v>
      </c>
      <c r="G1144" s="16" t="str">
        <f t="shared" si="33"/>
        <v>ON1</v>
      </c>
      <c r="H1144" s="16" t="s">
        <v>21</v>
      </c>
      <c r="I1144" s="16" t="s">
        <v>70</v>
      </c>
      <c r="J1144" s="16" t="str">
        <f>""</f>
        <v/>
      </c>
      <c r="K1144" s="16" t="str">
        <f>"PFES1162728094_0001"</f>
        <v>PFES1162728094_0001</v>
      </c>
      <c r="L1144" s="16">
        <v>1</v>
      </c>
      <c r="M1144" s="16">
        <v>1</v>
      </c>
    </row>
    <row r="1145" spans="1:13">
      <c r="A1145" s="7">
        <v>43811</v>
      </c>
      <c r="B1145" s="8">
        <v>0.59930555555555554</v>
      </c>
      <c r="C1145" s="16" t="str">
        <f>"FES1162728097"</f>
        <v>FES1162728097</v>
      </c>
      <c r="D1145" s="16" t="s">
        <v>19</v>
      </c>
      <c r="E1145" s="16" t="s">
        <v>71</v>
      </c>
      <c r="F1145" s="16" t="str">
        <f>"2170718552 "</f>
        <v xml:space="preserve">2170718552 </v>
      </c>
      <c r="G1145" s="16" t="str">
        <f t="shared" si="33"/>
        <v>ON1</v>
      </c>
      <c r="H1145" s="16" t="s">
        <v>21</v>
      </c>
      <c r="I1145" s="16" t="s">
        <v>72</v>
      </c>
      <c r="J1145" s="16" t="str">
        <f>""</f>
        <v/>
      </c>
      <c r="K1145" s="16" t="str">
        <f>"PFES1162728097_0001"</f>
        <v>PFES1162728097_0001</v>
      </c>
      <c r="L1145" s="16">
        <v>1</v>
      </c>
      <c r="M1145" s="16">
        <v>1</v>
      </c>
    </row>
    <row r="1146" spans="1:13">
      <c r="A1146" s="7">
        <v>43811</v>
      </c>
      <c r="B1146" s="8">
        <v>0.59861111111111109</v>
      </c>
      <c r="C1146" s="16" t="str">
        <f>"FES1162728177"</f>
        <v>FES1162728177</v>
      </c>
      <c r="D1146" s="16" t="s">
        <v>19</v>
      </c>
      <c r="E1146" s="16" t="s">
        <v>443</v>
      </c>
      <c r="F1146" s="16" t="str">
        <f>"2170721503 "</f>
        <v xml:space="preserve">2170721503 </v>
      </c>
      <c r="G1146" s="16" t="str">
        <f t="shared" si="33"/>
        <v>ON1</v>
      </c>
      <c r="H1146" s="16" t="s">
        <v>21</v>
      </c>
      <c r="I1146" s="16" t="s">
        <v>444</v>
      </c>
      <c r="J1146" s="16" t="str">
        <f>""</f>
        <v/>
      </c>
      <c r="K1146" s="16" t="str">
        <f>"PFES1162728177_0001"</f>
        <v>PFES1162728177_0001</v>
      </c>
      <c r="L1146" s="16">
        <v>1</v>
      </c>
      <c r="M1146" s="16">
        <v>3</v>
      </c>
    </row>
    <row r="1147" spans="1:13">
      <c r="A1147" s="7">
        <v>43811</v>
      </c>
      <c r="B1147" s="8">
        <v>0.59861111111111109</v>
      </c>
      <c r="C1147" s="16" t="str">
        <f>"FES1162728203"</f>
        <v>FES1162728203</v>
      </c>
      <c r="D1147" s="16" t="s">
        <v>19</v>
      </c>
      <c r="E1147" s="16" t="s">
        <v>151</v>
      </c>
      <c r="F1147" s="16" t="str">
        <f>"217071539 "</f>
        <v xml:space="preserve">217071539 </v>
      </c>
      <c r="G1147" s="16" t="str">
        <f t="shared" si="33"/>
        <v>ON1</v>
      </c>
      <c r="H1147" s="16" t="s">
        <v>21</v>
      </c>
      <c r="I1147" s="16" t="s">
        <v>152</v>
      </c>
      <c r="J1147" s="16" t="str">
        <f>""</f>
        <v/>
      </c>
      <c r="K1147" s="16" t="str">
        <f>"PFES1162728203_0001"</f>
        <v>PFES1162728203_0001</v>
      </c>
      <c r="L1147" s="16">
        <v>1</v>
      </c>
      <c r="M1147" s="16">
        <v>1</v>
      </c>
    </row>
    <row r="1148" spans="1:13">
      <c r="A1148" s="7">
        <v>43811</v>
      </c>
      <c r="B1148" s="8">
        <v>0.59791666666666665</v>
      </c>
      <c r="C1148" s="16" t="str">
        <f>"FES1162728210"</f>
        <v>FES1162728210</v>
      </c>
      <c r="D1148" s="16" t="s">
        <v>19</v>
      </c>
      <c r="E1148" s="16" t="s">
        <v>349</v>
      </c>
      <c r="F1148" s="16" t="str">
        <f>"2170721552 "</f>
        <v xml:space="preserve">2170721552 </v>
      </c>
      <c r="G1148" s="16" t="str">
        <f t="shared" si="33"/>
        <v>ON1</v>
      </c>
      <c r="H1148" s="16" t="s">
        <v>21</v>
      </c>
      <c r="I1148" s="16" t="s">
        <v>145</v>
      </c>
      <c r="J1148" s="16" t="str">
        <f>""</f>
        <v/>
      </c>
      <c r="K1148" s="16" t="str">
        <f>"PFES1162728210_0001"</f>
        <v>PFES1162728210_0001</v>
      </c>
      <c r="L1148" s="16">
        <v>1</v>
      </c>
      <c r="M1148" s="16">
        <v>3</v>
      </c>
    </row>
    <row r="1149" spans="1:13">
      <c r="A1149" s="7">
        <v>43811</v>
      </c>
      <c r="B1149" s="8">
        <v>0.59583333333333333</v>
      </c>
      <c r="C1149" s="16" t="str">
        <f>"FES1162727963"</f>
        <v>FES1162727963</v>
      </c>
      <c r="D1149" s="16" t="s">
        <v>19</v>
      </c>
      <c r="E1149" s="16" t="s">
        <v>666</v>
      </c>
      <c r="F1149" s="16" t="str">
        <f>"2170718389 "</f>
        <v xml:space="preserve">2170718389 </v>
      </c>
      <c r="G1149" s="16" t="str">
        <f t="shared" si="33"/>
        <v>ON1</v>
      </c>
      <c r="H1149" s="16" t="s">
        <v>21</v>
      </c>
      <c r="I1149" s="16" t="s">
        <v>571</v>
      </c>
      <c r="J1149" s="16" t="str">
        <f>""</f>
        <v/>
      </c>
      <c r="K1149" s="16" t="str">
        <f>"PFES1162727963_0001"</f>
        <v>PFES1162727963_0001</v>
      </c>
      <c r="L1149" s="16">
        <v>1</v>
      </c>
      <c r="M1149" s="16">
        <v>1</v>
      </c>
    </row>
    <row r="1150" spans="1:13">
      <c r="A1150" s="7">
        <v>43811</v>
      </c>
      <c r="B1150" s="8">
        <v>0.59513888888888888</v>
      </c>
      <c r="C1150" s="16" t="str">
        <f>"FES1162728133"</f>
        <v>FES1162728133</v>
      </c>
      <c r="D1150" s="16" t="s">
        <v>19</v>
      </c>
      <c r="E1150" s="16" t="s">
        <v>24</v>
      </c>
      <c r="F1150" s="16" t="str">
        <f>"2170719082 "</f>
        <v xml:space="preserve">2170719082 </v>
      </c>
      <c r="G1150" s="16" t="str">
        <f t="shared" si="33"/>
        <v>ON1</v>
      </c>
      <c r="H1150" s="16" t="s">
        <v>21</v>
      </c>
      <c r="I1150" s="16" t="s">
        <v>25</v>
      </c>
      <c r="J1150" s="16" t="str">
        <f>""</f>
        <v/>
      </c>
      <c r="K1150" s="16" t="str">
        <f>"PFES1162728133_0001"</f>
        <v>PFES1162728133_0001</v>
      </c>
      <c r="L1150" s="16">
        <v>1</v>
      </c>
      <c r="M1150" s="16">
        <v>10</v>
      </c>
    </row>
    <row r="1151" spans="1:13">
      <c r="A1151" s="7">
        <v>43811</v>
      </c>
      <c r="B1151" s="8">
        <v>0.59513888888888888</v>
      </c>
      <c r="C1151" s="16" t="str">
        <f>"FES1162728112"</f>
        <v>FES1162728112</v>
      </c>
      <c r="D1151" s="16" t="s">
        <v>19</v>
      </c>
      <c r="E1151" s="16" t="s">
        <v>667</v>
      </c>
      <c r="F1151" s="16" t="str">
        <f>"2170718647 "</f>
        <v xml:space="preserve">2170718647 </v>
      </c>
      <c r="G1151" s="16" t="str">
        <f t="shared" si="33"/>
        <v>ON1</v>
      </c>
      <c r="H1151" s="16" t="s">
        <v>21</v>
      </c>
      <c r="I1151" s="16" t="s">
        <v>430</v>
      </c>
      <c r="J1151" s="16" t="str">
        <f>""</f>
        <v/>
      </c>
      <c r="K1151" s="16" t="str">
        <f>"PFES1162728112_0001"</f>
        <v>PFES1162728112_0001</v>
      </c>
      <c r="L1151" s="16">
        <v>1</v>
      </c>
      <c r="M1151" s="16">
        <v>2</v>
      </c>
    </row>
    <row r="1152" spans="1:13">
      <c r="A1152" s="7">
        <v>43811</v>
      </c>
      <c r="B1152" s="8">
        <v>0.59513888888888888</v>
      </c>
      <c r="C1152" s="16" t="str">
        <f>"FES1162728090"</f>
        <v>FES1162728090</v>
      </c>
      <c r="D1152" s="16" t="s">
        <v>19</v>
      </c>
      <c r="E1152" s="16" t="s">
        <v>488</v>
      </c>
      <c r="F1152" s="16" t="str">
        <f>"2170718440 "</f>
        <v xml:space="preserve">2170718440 </v>
      </c>
      <c r="G1152" s="16" t="str">
        <f t="shared" si="33"/>
        <v>ON1</v>
      </c>
      <c r="H1152" s="16" t="s">
        <v>21</v>
      </c>
      <c r="I1152" s="16" t="s">
        <v>489</v>
      </c>
      <c r="J1152" s="16" t="str">
        <f>""</f>
        <v/>
      </c>
      <c r="K1152" s="16" t="str">
        <f>"PFES1162728090_0001"</f>
        <v>PFES1162728090_0001</v>
      </c>
      <c r="L1152" s="16">
        <v>1</v>
      </c>
      <c r="M1152" s="16">
        <v>2</v>
      </c>
    </row>
    <row r="1153" spans="1:13">
      <c r="A1153" s="7">
        <v>43811</v>
      </c>
      <c r="B1153" s="8">
        <v>0.59444444444444444</v>
      </c>
      <c r="C1153" s="16" t="str">
        <f>"FES1162728249"</f>
        <v>FES1162728249</v>
      </c>
      <c r="D1153" s="16" t="s">
        <v>19</v>
      </c>
      <c r="E1153" s="16" t="s">
        <v>297</v>
      </c>
      <c r="F1153" s="16" t="str">
        <f>"2170710597 "</f>
        <v xml:space="preserve">2170710597 </v>
      </c>
      <c r="G1153" s="16" t="str">
        <f t="shared" si="33"/>
        <v>ON1</v>
      </c>
      <c r="H1153" s="16" t="s">
        <v>21</v>
      </c>
      <c r="I1153" s="16" t="s">
        <v>123</v>
      </c>
      <c r="J1153" s="16" t="str">
        <f>""</f>
        <v/>
      </c>
      <c r="K1153" s="16" t="str">
        <f>"PFES1162728249_0001"</f>
        <v>PFES1162728249_0001</v>
      </c>
      <c r="L1153" s="16">
        <v>1</v>
      </c>
      <c r="M1153" s="16">
        <v>2</v>
      </c>
    </row>
    <row r="1154" spans="1:13">
      <c r="A1154" s="7">
        <v>43811</v>
      </c>
      <c r="B1154" s="8">
        <v>0.59444444444444444</v>
      </c>
      <c r="C1154" s="16" t="str">
        <f>"FES1162728205"</f>
        <v>FES1162728205</v>
      </c>
      <c r="D1154" s="16" t="s">
        <v>19</v>
      </c>
      <c r="E1154" s="16" t="s">
        <v>44</v>
      </c>
      <c r="F1154" s="16" t="str">
        <f>"21707121453 "</f>
        <v xml:space="preserve">21707121453 </v>
      </c>
      <c r="G1154" s="16" t="str">
        <f t="shared" si="33"/>
        <v>ON1</v>
      </c>
      <c r="H1154" s="16" t="s">
        <v>21</v>
      </c>
      <c r="I1154" s="16" t="s">
        <v>45</v>
      </c>
      <c r="J1154" s="16" t="str">
        <f>""</f>
        <v/>
      </c>
      <c r="K1154" s="16" t="str">
        <f>"PFES1162728205_0001"</f>
        <v>PFES1162728205_0001</v>
      </c>
      <c r="L1154" s="16">
        <v>1</v>
      </c>
      <c r="M1154" s="16">
        <v>5</v>
      </c>
    </row>
    <row r="1155" spans="1:13">
      <c r="A1155" s="7">
        <v>43811</v>
      </c>
      <c r="B1155" s="8">
        <v>0.59375</v>
      </c>
      <c r="C1155" s="16" t="str">
        <f>"FES1162727985"</f>
        <v>FES1162727985</v>
      </c>
      <c r="D1155" s="16" t="s">
        <v>19</v>
      </c>
      <c r="E1155" s="16" t="s">
        <v>292</v>
      </c>
      <c r="F1155" s="16" t="str">
        <f>"2170719092 "</f>
        <v xml:space="preserve">2170719092 </v>
      </c>
      <c r="G1155" s="16" t="str">
        <f t="shared" si="33"/>
        <v>ON1</v>
      </c>
      <c r="H1155" s="16" t="s">
        <v>21</v>
      </c>
      <c r="I1155" s="16" t="s">
        <v>78</v>
      </c>
      <c r="J1155" s="16" t="str">
        <f>""</f>
        <v/>
      </c>
      <c r="K1155" s="16" t="str">
        <f>"PFES1162727985_0001"</f>
        <v>PFES1162727985_0001</v>
      </c>
      <c r="L1155" s="16">
        <v>1</v>
      </c>
      <c r="M1155" s="16">
        <v>18</v>
      </c>
    </row>
    <row r="1156" spans="1:13">
      <c r="A1156" s="7">
        <v>43811</v>
      </c>
      <c r="B1156" s="8">
        <v>0.58680555555555558</v>
      </c>
      <c r="C1156" s="16" t="str">
        <f>"FES1162728037"</f>
        <v>FES1162728037</v>
      </c>
      <c r="D1156" s="16" t="s">
        <v>19</v>
      </c>
      <c r="E1156" s="16" t="s">
        <v>177</v>
      </c>
      <c r="F1156" s="16" t="str">
        <f>"2170712470 "</f>
        <v xml:space="preserve">2170712470 </v>
      </c>
      <c r="G1156" s="16" t="str">
        <f t="shared" si="33"/>
        <v>ON1</v>
      </c>
      <c r="H1156" s="16" t="s">
        <v>21</v>
      </c>
      <c r="I1156" s="16" t="s">
        <v>178</v>
      </c>
      <c r="J1156" s="16" t="str">
        <f>""</f>
        <v/>
      </c>
      <c r="K1156" s="16" t="str">
        <f>"PFES1162728037_0001"</f>
        <v>PFES1162728037_0001</v>
      </c>
      <c r="L1156" s="16">
        <v>1</v>
      </c>
      <c r="M1156" s="16">
        <v>2</v>
      </c>
    </row>
    <row r="1157" spans="1:13">
      <c r="A1157" s="7">
        <v>43811</v>
      </c>
      <c r="B1157" s="8">
        <v>0.58611111111111114</v>
      </c>
      <c r="C1157" s="16" t="str">
        <f>"FES1162728179"</f>
        <v>FES1162728179</v>
      </c>
      <c r="D1157" s="16" t="s">
        <v>19</v>
      </c>
      <c r="E1157" s="16" t="s">
        <v>173</v>
      </c>
      <c r="F1157" s="16" t="str">
        <f>"217071506 "</f>
        <v xml:space="preserve">217071506 </v>
      </c>
      <c r="G1157" s="16" t="str">
        <f t="shared" si="33"/>
        <v>ON1</v>
      </c>
      <c r="H1157" s="16" t="s">
        <v>21</v>
      </c>
      <c r="I1157" s="16" t="s">
        <v>130</v>
      </c>
      <c r="J1157" s="16" t="str">
        <f>""</f>
        <v/>
      </c>
      <c r="K1157" s="16" t="str">
        <f>"PFES1162728179_0001"</f>
        <v>PFES1162728179_0001</v>
      </c>
      <c r="L1157" s="16">
        <v>1</v>
      </c>
      <c r="M1157" s="16">
        <v>5</v>
      </c>
    </row>
    <row r="1158" spans="1:13">
      <c r="A1158" s="7">
        <v>43811</v>
      </c>
      <c r="B1158" s="8">
        <v>0.58611111111111114</v>
      </c>
      <c r="C1158" s="16" t="str">
        <f>"FES1162728044"</f>
        <v>FES1162728044</v>
      </c>
      <c r="D1158" s="16" t="s">
        <v>19</v>
      </c>
      <c r="E1158" s="16" t="s">
        <v>177</v>
      </c>
      <c r="F1158" s="16" t="str">
        <f>"217071479 "</f>
        <v xml:space="preserve">217071479 </v>
      </c>
      <c r="G1158" s="16" t="str">
        <f t="shared" si="33"/>
        <v>ON1</v>
      </c>
      <c r="H1158" s="16" t="s">
        <v>21</v>
      </c>
      <c r="I1158" s="16" t="s">
        <v>178</v>
      </c>
      <c r="J1158" s="16" t="str">
        <f>""</f>
        <v/>
      </c>
      <c r="K1158" s="16" t="str">
        <f>"PFES1162728044_0001"</f>
        <v>PFES1162728044_0001</v>
      </c>
      <c r="L1158" s="16">
        <v>1</v>
      </c>
      <c r="M1158" s="16">
        <v>3</v>
      </c>
    </row>
    <row r="1159" spans="1:13">
      <c r="A1159" s="7">
        <v>43811</v>
      </c>
      <c r="B1159" s="8">
        <v>0.58611111111111114</v>
      </c>
      <c r="C1159" s="16" t="str">
        <f>"FES1162728147"</f>
        <v>FES1162728147</v>
      </c>
      <c r="D1159" s="16" t="s">
        <v>19</v>
      </c>
      <c r="E1159" s="16" t="s">
        <v>24</v>
      </c>
      <c r="F1159" s="16" t="str">
        <f>"217071948 "</f>
        <v xml:space="preserve">217071948 </v>
      </c>
      <c r="G1159" s="16" t="str">
        <f t="shared" si="33"/>
        <v>ON1</v>
      </c>
      <c r="H1159" s="16" t="s">
        <v>21</v>
      </c>
      <c r="I1159" s="16" t="s">
        <v>25</v>
      </c>
      <c r="J1159" s="16" t="str">
        <f>""</f>
        <v/>
      </c>
      <c r="K1159" s="16" t="str">
        <f>"PFES1162728147_0001"</f>
        <v>PFES1162728147_0001</v>
      </c>
      <c r="L1159" s="16">
        <v>1</v>
      </c>
      <c r="M1159" s="16">
        <v>1</v>
      </c>
    </row>
    <row r="1160" spans="1:13">
      <c r="A1160" s="7">
        <v>43811</v>
      </c>
      <c r="B1160" s="8">
        <v>0.5854166666666667</v>
      </c>
      <c r="C1160" s="16" t="str">
        <f>"FES1162728174"</f>
        <v>FES1162728174</v>
      </c>
      <c r="D1160" s="16" t="s">
        <v>19</v>
      </c>
      <c r="E1160" s="16" t="s">
        <v>631</v>
      </c>
      <c r="F1160" s="16" t="str">
        <f>"2170712497 "</f>
        <v xml:space="preserve">2170712497 </v>
      </c>
      <c r="G1160" s="16" t="str">
        <f t="shared" si="33"/>
        <v>ON1</v>
      </c>
      <c r="H1160" s="16" t="s">
        <v>21</v>
      </c>
      <c r="I1160" s="16" t="s">
        <v>175</v>
      </c>
      <c r="J1160" s="16" t="str">
        <f>""</f>
        <v/>
      </c>
      <c r="K1160" s="16" t="str">
        <f>"PFES1162728174_0001"</f>
        <v>PFES1162728174_0001</v>
      </c>
      <c r="L1160" s="16">
        <v>1</v>
      </c>
      <c r="M1160" s="16">
        <v>13</v>
      </c>
    </row>
    <row r="1161" spans="1:13">
      <c r="A1161" s="7">
        <v>43811</v>
      </c>
      <c r="B1161" s="8">
        <v>0.5854166666666667</v>
      </c>
      <c r="C1161" s="16" t="str">
        <f>"FES1162727911"</f>
        <v>FES1162727911</v>
      </c>
      <c r="D1161" s="16" t="s">
        <v>19</v>
      </c>
      <c r="E1161" s="16" t="s">
        <v>668</v>
      </c>
      <c r="F1161" s="16" t="str">
        <f>"217071512 "</f>
        <v xml:space="preserve">217071512 </v>
      </c>
      <c r="G1161" s="16" t="str">
        <f t="shared" si="33"/>
        <v>ON1</v>
      </c>
      <c r="H1161" s="16" t="s">
        <v>21</v>
      </c>
      <c r="I1161" s="16" t="s">
        <v>669</v>
      </c>
      <c r="J1161" s="16" t="str">
        <f>""</f>
        <v/>
      </c>
      <c r="K1161" s="16" t="str">
        <f>"PFES1162727911_0001"</f>
        <v>PFES1162727911_0001</v>
      </c>
      <c r="L1161" s="16">
        <v>1</v>
      </c>
      <c r="M1161" s="16">
        <v>3</v>
      </c>
    </row>
    <row r="1162" spans="1:13">
      <c r="A1162" s="7">
        <v>43811</v>
      </c>
      <c r="B1162" s="8">
        <v>0.58472222222222225</v>
      </c>
      <c r="C1162" s="16" t="str">
        <f>"FES1162727971"</f>
        <v>FES1162727971</v>
      </c>
      <c r="D1162" s="16" t="s">
        <v>19</v>
      </c>
      <c r="E1162" s="16" t="s">
        <v>245</v>
      </c>
      <c r="F1162" s="16" t="str">
        <f>"2170718932 "</f>
        <v xml:space="preserve">2170718932 </v>
      </c>
      <c r="G1162" s="16" t="str">
        <f t="shared" si="33"/>
        <v>ON1</v>
      </c>
      <c r="H1162" s="16" t="s">
        <v>21</v>
      </c>
      <c r="I1162" s="16" t="s">
        <v>288</v>
      </c>
      <c r="J1162" s="16" t="str">
        <f>""</f>
        <v/>
      </c>
      <c r="K1162" s="16" t="str">
        <f>"PFES1162727971_0001"</f>
        <v>PFES1162727971_0001</v>
      </c>
      <c r="L1162" s="16">
        <v>1</v>
      </c>
      <c r="M1162" s="16">
        <v>3</v>
      </c>
    </row>
    <row r="1163" spans="1:13">
      <c r="A1163" s="7">
        <v>43811</v>
      </c>
      <c r="B1163" s="8">
        <v>0.58472222222222225</v>
      </c>
      <c r="C1163" s="16" t="str">
        <f>"FES1162727936"</f>
        <v>FES1162727936</v>
      </c>
      <c r="D1163" s="16" t="s">
        <v>19</v>
      </c>
      <c r="E1163" s="16" t="s">
        <v>84</v>
      </c>
      <c r="F1163" s="16" t="str">
        <f>"2170721417 "</f>
        <v xml:space="preserve">2170721417 </v>
      </c>
      <c r="G1163" s="16" t="str">
        <f t="shared" si="33"/>
        <v>ON1</v>
      </c>
      <c r="H1163" s="16" t="s">
        <v>21</v>
      </c>
      <c r="I1163" s="16" t="s">
        <v>85</v>
      </c>
      <c r="J1163" s="16" t="str">
        <f>""</f>
        <v/>
      </c>
      <c r="K1163" s="16" t="str">
        <f>"PFES1162727936_0001"</f>
        <v>PFES1162727936_0001</v>
      </c>
      <c r="L1163" s="16">
        <v>1</v>
      </c>
      <c r="M1163" s="16">
        <v>5</v>
      </c>
    </row>
    <row r="1164" spans="1:13">
      <c r="A1164" s="7">
        <v>43811</v>
      </c>
      <c r="B1164" s="8">
        <v>0.58472222222222225</v>
      </c>
      <c r="C1164" s="16" t="str">
        <f>"FES1162727965"</f>
        <v>FES1162727965</v>
      </c>
      <c r="D1164" s="16" t="s">
        <v>19</v>
      </c>
      <c r="E1164" s="16" t="s">
        <v>670</v>
      </c>
      <c r="F1164" s="16" t="str">
        <f>"2170718627 "</f>
        <v xml:space="preserve">2170718627 </v>
      </c>
      <c r="G1164" s="16" t="str">
        <f t="shared" si="33"/>
        <v>ON1</v>
      </c>
      <c r="H1164" s="16" t="s">
        <v>21</v>
      </c>
      <c r="I1164" s="16" t="s">
        <v>562</v>
      </c>
      <c r="J1164" s="16" t="str">
        <f>""</f>
        <v/>
      </c>
      <c r="K1164" s="16" t="str">
        <f>"PFES1162727965_0001"</f>
        <v>PFES1162727965_0001</v>
      </c>
      <c r="L1164" s="16">
        <v>1</v>
      </c>
      <c r="M1164" s="16">
        <v>2</v>
      </c>
    </row>
    <row r="1165" spans="1:13">
      <c r="A1165" s="7">
        <v>43811</v>
      </c>
      <c r="B1165" s="8">
        <v>0.58402777777777781</v>
      </c>
      <c r="C1165" s="16" t="str">
        <f>"FES1162728049"</f>
        <v>FES1162728049</v>
      </c>
      <c r="D1165" s="16" t="s">
        <v>19</v>
      </c>
      <c r="E1165" s="16" t="s">
        <v>671</v>
      </c>
      <c r="F1165" s="16" t="str">
        <f>"2170713453 "</f>
        <v xml:space="preserve">2170713453 </v>
      </c>
      <c r="G1165" s="16" t="str">
        <f t="shared" si="33"/>
        <v>ON1</v>
      </c>
      <c r="H1165" s="16" t="s">
        <v>21</v>
      </c>
      <c r="I1165" s="16" t="s">
        <v>220</v>
      </c>
      <c r="J1165" s="16" t="str">
        <f>""</f>
        <v/>
      </c>
      <c r="K1165" s="16" t="str">
        <f>"PFES1162728049_0001"</f>
        <v>PFES1162728049_0001</v>
      </c>
      <c r="L1165" s="16">
        <v>1</v>
      </c>
      <c r="M1165" s="16">
        <v>8</v>
      </c>
    </row>
    <row r="1166" spans="1:13">
      <c r="A1166" s="7">
        <v>43811</v>
      </c>
      <c r="B1166" s="8">
        <v>0.58402777777777781</v>
      </c>
      <c r="C1166" s="16" t="str">
        <f>"FES1162728101"</f>
        <v>FES1162728101</v>
      </c>
      <c r="D1166" s="16" t="s">
        <v>19</v>
      </c>
      <c r="E1166" s="16" t="s">
        <v>542</v>
      </c>
      <c r="F1166" s="16" t="str">
        <f>"2170718578 "</f>
        <v xml:space="preserve">2170718578 </v>
      </c>
      <c r="G1166" s="16" t="str">
        <f t="shared" si="33"/>
        <v>ON1</v>
      </c>
      <c r="H1166" s="16" t="s">
        <v>21</v>
      </c>
      <c r="I1166" s="16" t="s">
        <v>246</v>
      </c>
      <c r="J1166" s="16" t="str">
        <f>""</f>
        <v/>
      </c>
      <c r="K1166" s="16" t="str">
        <f>"PFES1162728101_0001"</f>
        <v>PFES1162728101_0001</v>
      </c>
      <c r="L1166" s="16">
        <v>1</v>
      </c>
      <c r="M1166" s="16">
        <v>2</v>
      </c>
    </row>
    <row r="1167" spans="1:13">
      <c r="A1167" s="7">
        <v>43811</v>
      </c>
      <c r="B1167" s="8">
        <v>0.58333333333333337</v>
      </c>
      <c r="C1167" s="16" t="str">
        <f>"FES1162728170"</f>
        <v>FES1162728170</v>
      </c>
      <c r="D1167" s="16" t="s">
        <v>19</v>
      </c>
      <c r="E1167" s="16" t="s">
        <v>672</v>
      </c>
      <c r="F1167" s="16" t="str">
        <f>"217071491 "</f>
        <v xml:space="preserve">217071491 </v>
      </c>
      <c r="G1167" s="16" t="str">
        <f t="shared" si="33"/>
        <v>ON1</v>
      </c>
      <c r="H1167" s="16" t="s">
        <v>21</v>
      </c>
      <c r="I1167" s="16" t="s">
        <v>463</v>
      </c>
      <c r="J1167" s="16" t="str">
        <f>""</f>
        <v/>
      </c>
      <c r="K1167" s="16" t="str">
        <f>"PFES1162728170_0001"</f>
        <v>PFES1162728170_0001</v>
      </c>
      <c r="L1167" s="16">
        <v>1</v>
      </c>
      <c r="M1167" s="16">
        <v>2</v>
      </c>
    </row>
    <row r="1168" spans="1:13">
      <c r="A1168" s="7">
        <v>43811</v>
      </c>
      <c r="B1168" s="8">
        <v>0.58263888888888882</v>
      </c>
      <c r="C1168" s="16" t="str">
        <f>"FES1162728226"</f>
        <v>FES1162728226</v>
      </c>
      <c r="D1168" s="16" t="s">
        <v>19</v>
      </c>
      <c r="E1168" s="16" t="s">
        <v>274</v>
      </c>
      <c r="F1168" s="16" t="str">
        <f>"217071218581 "</f>
        <v xml:space="preserve">217071218581 </v>
      </c>
      <c r="G1168" s="16" t="str">
        <f t="shared" si="33"/>
        <v>ON1</v>
      </c>
      <c r="H1168" s="16" t="s">
        <v>21</v>
      </c>
      <c r="I1168" s="16" t="s">
        <v>45</v>
      </c>
      <c r="J1168" s="16" t="str">
        <f>""</f>
        <v/>
      </c>
      <c r="K1168" s="16" t="str">
        <f>"PFES1162728226_0001"</f>
        <v>PFES1162728226_0001</v>
      </c>
      <c r="L1168" s="16">
        <v>1</v>
      </c>
      <c r="M1168" s="16">
        <v>1</v>
      </c>
    </row>
    <row r="1169" spans="1:13">
      <c r="A1169" s="7">
        <v>43811</v>
      </c>
      <c r="B1169" s="8">
        <v>0.58263888888888882</v>
      </c>
      <c r="C1169" s="16" t="str">
        <f>"FES1162728202"</f>
        <v>FES1162728202</v>
      </c>
      <c r="D1169" s="16" t="s">
        <v>19</v>
      </c>
      <c r="E1169" s="16" t="s">
        <v>543</v>
      </c>
      <c r="F1169" s="16" t="str">
        <f>"217071537 "</f>
        <v xml:space="preserve">217071537 </v>
      </c>
      <c r="G1169" s="16" t="str">
        <f t="shared" si="33"/>
        <v>ON1</v>
      </c>
      <c r="H1169" s="16" t="s">
        <v>21</v>
      </c>
      <c r="I1169" s="16" t="s">
        <v>544</v>
      </c>
      <c r="J1169" s="16" t="str">
        <f>""</f>
        <v/>
      </c>
      <c r="K1169" s="16" t="str">
        <f>"PFES1162728202_0001"</f>
        <v>PFES1162728202_0001</v>
      </c>
      <c r="L1169" s="16">
        <v>1</v>
      </c>
      <c r="M1169" s="16">
        <v>1</v>
      </c>
    </row>
    <row r="1170" spans="1:13">
      <c r="A1170" s="7">
        <v>43811</v>
      </c>
      <c r="B1170" s="8">
        <v>0.58263888888888882</v>
      </c>
      <c r="C1170" s="16" t="str">
        <f>"FES1162728036"</f>
        <v>FES1162728036</v>
      </c>
      <c r="D1170" s="16" t="s">
        <v>19</v>
      </c>
      <c r="E1170" s="16" t="s">
        <v>135</v>
      </c>
      <c r="F1170" s="16" t="str">
        <f>"2170712465 "</f>
        <v xml:space="preserve">2170712465 </v>
      </c>
      <c r="G1170" s="16" t="str">
        <f t="shared" si="33"/>
        <v>ON1</v>
      </c>
      <c r="H1170" s="16" t="s">
        <v>21</v>
      </c>
      <c r="I1170" s="16" t="s">
        <v>136</v>
      </c>
      <c r="J1170" s="16" t="str">
        <f>""</f>
        <v/>
      </c>
      <c r="K1170" s="16" t="str">
        <f>"PFES1162728036_0001"</f>
        <v>PFES1162728036_0001</v>
      </c>
      <c r="L1170" s="16">
        <v>1</v>
      </c>
      <c r="M1170" s="16">
        <v>1</v>
      </c>
    </row>
    <row r="1171" spans="1:13">
      <c r="A1171" s="7">
        <v>43811</v>
      </c>
      <c r="B1171" s="8">
        <v>0.58194444444444449</v>
      </c>
      <c r="C1171" s="16" t="str">
        <f>"FES1162727980"</f>
        <v>FES1162727980</v>
      </c>
      <c r="D1171" s="16" t="s">
        <v>19</v>
      </c>
      <c r="E1171" s="16" t="s">
        <v>529</v>
      </c>
      <c r="F1171" s="16" t="str">
        <f>"2170719034 "</f>
        <v xml:space="preserve">2170719034 </v>
      </c>
      <c r="G1171" s="16" t="str">
        <f t="shared" si="33"/>
        <v>ON1</v>
      </c>
      <c r="H1171" s="16" t="s">
        <v>21</v>
      </c>
      <c r="I1171" s="16" t="s">
        <v>136</v>
      </c>
      <c r="J1171" s="16" t="str">
        <f>""</f>
        <v/>
      </c>
      <c r="K1171" s="16" t="str">
        <f>"PFES1162727980_0001"</f>
        <v>PFES1162727980_0001</v>
      </c>
      <c r="L1171" s="16">
        <v>1</v>
      </c>
      <c r="M1171" s="16">
        <v>1</v>
      </c>
    </row>
    <row r="1172" spans="1:13">
      <c r="A1172" s="7">
        <v>43811</v>
      </c>
      <c r="B1172" s="8">
        <v>0.58194444444444449</v>
      </c>
      <c r="C1172" s="16" t="str">
        <f>"FES1162728073"</f>
        <v>FES1162728073</v>
      </c>
      <c r="D1172" s="16" t="s">
        <v>19</v>
      </c>
      <c r="E1172" s="16" t="s">
        <v>310</v>
      </c>
      <c r="F1172" s="16" t="str">
        <f>"2170718260 "</f>
        <v xml:space="preserve">2170718260 </v>
      </c>
      <c r="G1172" s="16" t="str">
        <f t="shared" si="33"/>
        <v>ON1</v>
      </c>
      <c r="H1172" s="16" t="s">
        <v>21</v>
      </c>
      <c r="I1172" s="16" t="s">
        <v>294</v>
      </c>
      <c r="J1172" s="16" t="str">
        <f>""</f>
        <v/>
      </c>
      <c r="K1172" s="16" t="str">
        <f>"PFES1162728073_0001"</f>
        <v>PFES1162728073_0001</v>
      </c>
      <c r="L1172" s="16">
        <v>1</v>
      </c>
      <c r="M1172" s="16">
        <v>1</v>
      </c>
    </row>
    <row r="1173" spans="1:13">
      <c r="A1173" s="7">
        <v>43811</v>
      </c>
      <c r="B1173" s="8">
        <v>0.58124999999999993</v>
      </c>
      <c r="C1173" s="16" t="str">
        <f>"FES1162728060"</f>
        <v>FES1162728060</v>
      </c>
      <c r="D1173" s="16" t="s">
        <v>19</v>
      </c>
      <c r="E1173" s="16" t="s">
        <v>105</v>
      </c>
      <c r="F1173" s="16" t="str">
        <f>"2170718148 "</f>
        <v xml:space="preserve">2170718148 </v>
      </c>
      <c r="G1173" s="16" t="str">
        <f t="shared" si="33"/>
        <v>ON1</v>
      </c>
      <c r="H1173" s="16" t="s">
        <v>21</v>
      </c>
      <c r="I1173" s="16" t="s">
        <v>106</v>
      </c>
      <c r="J1173" s="16" t="str">
        <f>""</f>
        <v/>
      </c>
      <c r="K1173" s="16" t="str">
        <f>"PFES1162728060_0001"</f>
        <v>PFES1162728060_0001</v>
      </c>
      <c r="L1173" s="16">
        <v>1</v>
      </c>
      <c r="M1173" s="16">
        <v>1</v>
      </c>
    </row>
    <row r="1174" spans="1:13">
      <c r="A1174" s="7">
        <v>43811</v>
      </c>
      <c r="B1174" s="8">
        <v>0.58124999999999993</v>
      </c>
      <c r="C1174" s="16" t="str">
        <f>"FES1162728088"</f>
        <v>FES1162728088</v>
      </c>
      <c r="D1174" s="16" t="s">
        <v>19</v>
      </c>
      <c r="E1174" s="16" t="s">
        <v>293</v>
      </c>
      <c r="F1174" s="16" t="str">
        <f>"2170718413 "</f>
        <v xml:space="preserve">2170718413 </v>
      </c>
      <c r="G1174" s="16" t="str">
        <f t="shared" si="33"/>
        <v>ON1</v>
      </c>
      <c r="H1174" s="16" t="s">
        <v>21</v>
      </c>
      <c r="I1174" s="16" t="s">
        <v>294</v>
      </c>
      <c r="J1174" s="16" t="str">
        <f>""</f>
        <v/>
      </c>
      <c r="K1174" s="16" t="str">
        <f>"PFES1162728088_0001"</f>
        <v>PFES1162728088_0001</v>
      </c>
      <c r="L1174" s="16">
        <v>1</v>
      </c>
      <c r="M1174" s="16">
        <v>1</v>
      </c>
    </row>
    <row r="1175" spans="1:13">
      <c r="A1175" s="7">
        <v>43811</v>
      </c>
      <c r="B1175" s="8">
        <v>0.58124999999999993</v>
      </c>
      <c r="C1175" s="16" t="str">
        <f>"FES1162727974"</f>
        <v>FES1162727974</v>
      </c>
      <c r="D1175" s="16" t="s">
        <v>19</v>
      </c>
      <c r="E1175" s="16" t="s">
        <v>673</v>
      </c>
      <c r="F1175" s="16" t="str">
        <f>"2170718940 "</f>
        <v xml:space="preserve">2170718940 </v>
      </c>
      <c r="G1175" s="16" t="str">
        <f t="shared" si="33"/>
        <v>ON1</v>
      </c>
      <c r="H1175" s="16" t="s">
        <v>21</v>
      </c>
      <c r="I1175" s="16" t="s">
        <v>674</v>
      </c>
      <c r="J1175" s="16" t="str">
        <f>""</f>
        <v/>
      </c>
      <c r="K1175" s="16" t="str">
        <f>"PFES1162727974_0001"</f>
        <v>PFES1162727974_0001</v>
      </c>
      <c r="L1175" s="16">
        <v>1</v>
      </c>
      <c r="M1175" s="16">
        <v>1</v>
      </c>
    </row>
    <row r="1176" spans="1:13">
      <c r="A1176" s="7">
        <v>43811</v>
      </c>
      <c r="B1176" s="8">
        <v>0.5805555555555556</v>
      </c>
      <c r="C1176" s="16" t="str">
        <f>"FES1162727947"</f>
        <v>FES1162727947</v>
      </c>
      <c r="D1176" s="16" t="s">
        <v>19</v>
      </c>
      <c r="E1176" s="16" t="s">
        <v>675</v>
      </c>
      <c r="F1176" s="16" t="str">
        <f>"2170721433 "</f>
        <v xml:space="preserve">2170721433 </v>
      </c>
      <c r="G1176" s="16" t="str">
        <f t="shared" si="33"/>
        <v>ON1</v>
      </c>
      <c r="H1176" s="16" t="s">
        <v>21</v>
      </c>
      <c r="I1176" s="16" t="s">
        <v>136</v>
      </c>
      <c r="J1176" s="16" t="str">
        <f>""</f>
        <v/>
      </c>
      <c r="K1176" s="16" t="str">
        <f>"PFES1162727947_0001"</f>
        <v>PFES1162727947_0001</v>
      </c>
      <c r="L1176" s="16">
        <v>1</v>
      </c>
      <c r="M1176" s="16">
        <v>1</v>
      </c>
    </row>
    <row r="1177" spans="1:13">
      <c r="A1177" s="7">
        <v>43811</v>
      </c>
      <c r="B1177" s="8">
        <v>0.57986111111111105</v>
      </c>
      <c r="C1177" s="16" t="str">
        <f>"FES1162728109"</f>
        <v>FES1162728109</v>
      </c>
      <c r="D1177" s="16" t="s">
        <v>19</v>
      </c>
      <c r="E1177" s="16" t="s">
        <v>524</v>
      </c>
      <c r="F1177" s="16" t="str">
        <f>"21707186417 "</f>
        <v xml:space="preserve">21707186417 </v>
      </c>
      <c r="G1177" s="16" t="str">
        <f t="shared" si="33"/>
        <v>ON1</v>
      </c>
      <c r="H1177" s="16" t="s">
        <v>21</v>
      </c>
      <c r="I1177" s="16" t="s">
        <v>248</v>
      </c>
      <c r="J1177" s="16" t="str">
        <f>""</f>
        <v/>
      </c>
      <c r="K1177" s="16" t="str">
        <f>"PFES1162728109_0001"</f>
        <v>PFES1162728109_0001</v>
      </c>
      <c r="L1177" s="16">
        <v>1</v>
      </c>
      <c r="M1177" s="16">
        <v>1</v>
      </c>
    </row>
    <row r="1178" spans="1:13">
      <c r="A1178" s="7">
        <v>43811</v>
      </c>
      <c r="B1178" s="8">
        <v>0.5756944444444444</v>
      </c>
      <c r="C1178" s="16" t="str">
        <f>"FES1162727972"</f>
        <v>FES1162727972</v>
      </c>
      <c r="D1178" s="16" t="s">
        <v>19</v>
      </c>
      <c r="E1178" s="16" t="s">
        <v>373</v>
      </c>
      <c r="F1178" s="16" t="str">
        <f>"2170718935 "</f>
        <v xml:space="preserve">2170718935 </v>
      </c>
      <c r="G1178" s="16" t="str">
        <f t="shared" si="33"/>
        <v>ON1</v>
      </c>
      <c r="H1178" s="16" t="s">
        <v>21</v>
      </c>
      <c r="I1178" s="16" t="s">
        <v>374</v>
      </c>
      <c r="J1178" s="16" t="str">
        <f>""</f>
        <v/>
      </c>
      <c r="K1178" s="16" t="str">
        <f>"PFES1162727972_0001"</f>
        <v>PFES1162727972_0001</v>
      </c>
      <c r="L1178" s="16">
        <v>1</v>
      </c>
      <c r="M1178" s="16">
        <v>1</v>
      </c>
    </row>
    <row r="1179" spans="1:13">
      <c r="A1179" s="7">
        <v>43811</v>
      </c>
      <c r="B1179" s="8">
        <v>0.57500000000000007</v>
      </c>
      <c r="C1179" s="16" t="str">
        <f>"FES1162728071"</f>
        <v>FES1162728071</v>
      </c>
      <c r="D1179" s="16" t="s">
        <v>19</v>
      </c>
      <c r="E1179" s="16" t="s">
        <v>676</v>
      </c>
      <c r="F1179" s="16" t="str">
        <f>"2170718241 "</f>
        <v xml:space="preserve">2170718241 </v>
      </c>
      <c r="G1179" s="16" t="str">
        <f t="shared" si="33"/>
        <v>ON1</v>
      </c>
      <c r="H1179" s="16" t="s">
        <v>21</v>
      </c>
      <c r="I1179" s="16" t="s">
        <v>56</v>
      </c>
      <c r="J1179" s="16" t="str">
        <f>""</f>
        <v/>
      </c>
      <c r="K1179" s="16" t="str">
        <f>"PFES1162728071_0001"</f>
        <v>PFES1162728071_0001</v>
      </c>
      <c r="L1179" s="16">
        <v>1</v>
      </c>
      <c r="M1179" s="16">
        <v>1</v>
      </c>
    </row>
    <row r="1180" spans="1:13">
      <c r="A1180" s="7">
        <v>43811</v>
      </c>
      <c r="B1180" s="8">
        <v>0.57500000000000007</v>
      </c>
      <c r="C1180" s="16" t="str">
        <f>"FES1162728058"</f>
        <v>FES1162728058</v>
      </c>
      <c r="D1180" s="16" t="s">
        <v>19</v>
      </c>
      <c r="E1180" s="16" t="s">
        <v>239</v>
      </c>
      <c r="F1180" s="16" t="str">
        <f>"2170718145 "</f>
        <v xml:space="preserve">2170718145 </v>
      </c>
      <c r="G1180" s="16" t="str">
        <f t="shared" si="33"/>
        <v>ON1</v>
      </c>
      <c r="H1180" s="16" t="s">
        <v>21</v>
      </c>
      <c r="I1180" s="16" t="s">
        <v>175</v>
      </c>
      <c r="J1180" s="16" t="str">
        <f>""</f>
        <v/>
      </c>
      <c r="K1180" s="16" t="str">
        <f>"PFES1162728058_0001"</f>
        <v>PFES1162728058_0001</v>
      </c>
      <c r="L1180" s="16">
        <v>1</v>
      </c>
      <c r="M1180" s="16">
        <v>1</v>
      </c>
    </row>
    <row r="1181" spans="1:13">
      <c r="A1181" s="7">
        <v>43811</v>
      </c>
      <c r="B1181" s="8">
        <v>0.57500000000000007</v>
      </c>
      <c r="C1181" s="16" t="str">
        <f>"FES1162727966"</f>
        <v>FES1162727966</v>
      </c>
      <c r="D1181" s="16" t="s">
        <v>19</v>
      </c>
      <c r="E1181" s="16" t="s">
        <v>221</v>
      </c>
      <c r="F1181" s="16" t="str">
        <f>"2170718706 "</f>
        <v xml:space="preserve">2170718706 </v>
      </c>
      <c r="G1181" s="16" t="str">
        <f t="shared" si="33"/>
        <v>ON1</v>
      </c>
      <c r="H1181" s="16" t="s">
        <v>21</v>
      </c>
      <c r="I1181" s="16" t="s">
        <v>56</v>
      </c>
      <c r="J1181" s="16" t="str">
        <f>""</f>
        <v/>
      </c>
      <c r="K1181" s="16" t="str">
        <f>"PFES1162727966_0001"</f>
        <v>PFES1162727966_0001</v>
      </c>
      <c r="L1181" s="16">
        <v>1</v>
      </c>
      <c r="M1181" s="16">
        <v>1</v>
      </c>
    </row>
    <row r="1182" spans="1:13">
      <c r="A1182" s="7">
        <v>43811</v>
      </c>
      <c r="B1182" s="8">
        <v>0.57430555555555551</v>
      </c>
      <c r="C1182" s="16" t="str">
        <f>"FES1162728138"</f>
        <v>FES1162728138</v>
      </c>
      <c r="D1182" s="16" t="s">
        <v>19</v>
      </c>
      <c r="E1182" s="16" t="s">
        <v>262</v>
      </c>
      <c r="F1182" s="16" t="str">
        <f>"2170719424 "</f>
        <v xml:space="preserve">2170719424 </v>
      </c>
      <c r="G1182" s="16" t="str">
        <f t="shared" si="33"/>
        <v>ON1</v>
      </c>
      <c r="H1182" s="16" t="s">
        <v>21</v>
      </c>
      <c r="I1182" s="16" t="s">
        <v>235</v>
      </c>
      <c r="J1182" s="16" t="str">
        <f>""</f>
        <v/>
      </c>
      <c r="K1182" s="16" t="str">
        <f>"PFES1162728138_0001"</f>
        <v>PFES1162728138_0001</v>
      </c>
      <c r="L1182" s="16">
        <v>1</v>
      </c>
      <c r="M1182" s="16">
        <v>1</v>
      </c>
    </row>
    <row r="1183" spans="1:13">
      <c r="A1183" s="7">
        <v>43811</v>
      </c>
      <c r="B1183" s="8">
        <v>0.57430555555555551</v>
      </c>
      <c r="C1183" s="16" t="str">
        <f>"FES1162727994"</f>
        <v>FES1162727994</v>
      </c>
      <c r="D1183" s="16" t="s">
        <v>19</v>
      </c>
      <c r="E1183" s="16" t="s">
        <v>651</v>
      </c>
      <c r="F1183" s="16" t="str">
        <f>"2170719236 "</f>
        <v xml:space="preserve">2170719236 </v>
      </c>
      <c r="G1183" s="16" t="str">
        <f t="shared" si="33"/>
        <v>ON1</v>
      </c>
      <c r="H1183" s="16" t="s">
        <v>21</v>
      </c>
      <c r="I1183" s="16" t="s">
        <v>56</v>
      </c>
      <c r="J1183" s="16" t="str">
        <f>""</f>
        <v/>
      </c>
      <c r="K1183" s="16" t="str">
        <f>"PFES1162727994_0001"</f>
        <v>PFES1162727994_0001</v>
      </c>
      <c r="L1183" s="16">
        <v>1</v>
      </c>
      <c r="M1183" s="16">
        <v>1</v>
      </c>
    </row>
    <row r="1184" spans="1:13">
      <c r="A1184" s="7">
        <v>43811</v>
      </c>
      <c r="B1184" s="8">
        <v>0.57430555555555551</v>
      </c>
      <c r="C1184" s="16" t="str">
        <f>"FES1162728047"</f>
        <v>FES1162728047</v>
      </c>
      <c r="D1184" s="16" t="s">
        <v>19</v>
      </c>
      <c r="E1184" s="16" t="s">
        <v>97</v>
      </c>
      <c r="F1184" s="16" t="str">
        <f>"21707011482 "</f>
        <v xml:space="preserve">21707011482 </v>
      </c>
      <c r="G1184" s="16" t="str">
        <f t="shared" si="33"/>
        <v>ON1</v>
      </c>
      <c r="H1184" s="16" t="s">
        <v>21</v>
      </c>
      <c r="I1184" s="16" t="s">
        <v>98</v>
      </c>
      <c r="J1184" s="16" t="str">
        <f>""</f>
        <v/>
      </c>
      <c r="K1184" s="16" t="str">
        <f>"PFES1162728047_0001"</f>
        <v>PFES1162728047_0001</v>
      </c>
      <c r="L1184" s="16">
        <v>1</v>
      </c>
      <c r="M1184" s="16">
        <v>3</v>
      </c>
    </row>
    <row r="1185" spans="1:13">
      <c r="A1185" s="7">
        <v>43811</v>
      </c>
      <c r="B1185" s="8">
        <v>0.55763888888888891</v>
      </c>
      <c r="C1185" s="16" t="str">
        <f>"FES1162728141"</f>
        <v>FES1162728141</v>
      </c>
      <c r="D1185" s="16" t="s">
        <v>19</v>
      </c>
      <c r="E1185" s="16" t="s">
        <v>534</v>
      </c>
      <c r="F1185" s="16" t="str">
        <f>"2170719492 "</f>
        <v xml:space="preserve">2170719492 </v>
      </c>
      <c r="G1185" s="16" t="str">
        <f t="shared" si="33"/>
        <v>ON1</v>
      </c>
      <c r="H1185" s="16" t="s">
        <v>21</v>
      </c>
      <c r="I1185" s="16" t="s">
        <v>535</v>
      </c>
      <c r="J1185" s="16" t="str">
        <f>""</f>
        <v/>
      </c>
      <c r="K1185" s="16" t="str">
        <f>"PFES1162728141_0001"</f>
        <v>PFES1162728141_0001</v>
      </c>
      <c r="L1185" s="16">
        <v>1</v>
      </c>
      <c r="M1185" s="16">
        <v>3</v>
      </c>
    </row>
    <row r="1186" spans="1:13">
      <c r="A1186" s="7">
        <v>43811</v>
      </c>
      <c r="B1186" s="8">
        <v>0.55694444444444446</v>
      </c>
      <c r="C1186" s="16" t="str">
        <f>"FES1162728096"</f>
        <v>FES1162728096</v>
      </c>
      <c r="D1186" s="16" t="s">
        <v>19</v>
      </c>
      <c r="E1186" s="16" t="s">
        <v>59</v>
      </c>
      <c r="F1186" s="16" t="str">
        <f>"2170718541 "</f>
        <v xml:space="preserve">2170718541 </v>
      </c>
      <c r="G1186" s="16" t="str">
        <f t="shared" si="33"/>
        <v>ON1</v>
      </c>
      <c r="H1186" s="16" t="s">
        <v>21</v>
      </c>
      <c r="I1186" s="16" t="s">
        <v>60</v>
      </c>
      <c r="J1186" s="16" t="str">
        <f>""</f>
        <v/>
      </c>
      <c r="K1186" s="16" t="str">
        <f>"PFES1162728096_0001"</f>
        <v>PFES1162728096_0001</v>
      </c>
      <c r="L1186" s="16">
        <v>1</v>
      </c>
      <c r="M1186" s="16">
        <v>7</v>
      </c>
    </row>
    <row r="1187" spans="1:13">
      <c r="A1187" s="7">
        <v>43811</v>
      </c>
      <c r="B1187" s="8">
        <v>0.55694444444444446</v>
      </c>
      <c r="C1187" s="16" t="str">
        <f>"FES1162728093"</f>
        <v>FES1162728093</v>
      </c>
      <c r="D1187" s="16" t="s">
        <v>19</v>
      </c>
      <c r="E1187" s="16" t="s">
        <v>142</v>
      </c>
      <c r="F1187" s="16" t="str">
        <f>"2170718518 "</f>
        <v xml:space="preserve">2170718518 </v>
      </c>
      <c r="G1187" s="16" t="str">
        <f t="shared" si="33"/>
        <v>ON1</v>
      </c>
      <c r="H1187" s="16" t="s">
        <v>21</v>
      </c>
      <c r="I1187" s="16" t="s">
        <v>37</v>
      </c>
      <c r="J1187" s="16" t="str">
        <f>""</f>
        <v/>
      </c>
      <c r="K1187" s="16" t="str">
        <f>"PFES1162728093_0001"</f>
        <v>PFES1162728093_0001</v>
      </c>
      <c r="L1187" s="16">
        <v>1</v>
      </c>
      <c r="M1187" s="16">
        <v>2</v>
      </c>
    </row>
    <row r="1188" spans="1:13">
      <c r="A1188" s="7">
        <v>43811</v>
      </c>
      <c r="B1188" s="8">
        <v>0.55625000000000002</v>
      </c>
      <c r="C1188" s="16" t="str">
        <f>"FES1162727984"</f>
        <v>FES1162727984</v>
      </c>
      <c r="D1188" s="16" t="s">
        <v>19</v>
      </c>
      <c r="E1188" s="16" t="s">
        <v>677</v>
      </c>
      <c r="F1188" s="16" t="str">
        <f>"2170719075 "</f>
        <v xml:space="preserve">2170719075 </v>
      </c>
      <c r="G1188" s="16" t="str">
        <f t="shared" si="33"/>
        <v>ON1</v>
      </c>
      <c r="H1188" s="16" t="s">
        <v>21</v>
      </c>
      <c r="I1188" s="16" t="s">
        <v>98</v>
      </c>
      <c r="J1188" s="16" t="str">
        <f>""</f>
        <v/>
      </c>
      <c r="K1188" s="16" t="str">
        <f>"PFES1162727984_0001"</f>
        <v>PFES1162727984_0001</v>
      </c>
      <c r="L1188" s="16">
        <v>1</v>
      </c>
      <c r="M1188" s="16">
        <v>1</v>
      </c>
    </row>
    <row r="1189" spans="1:13">
      <c r="A1189" s="7">
        <v>43811</v>
      </c>
      <c r="B1189" s="8">
        <v>0.55625000000000002</v>
      </c>
      <c r="C1189" s="16" t="str">
        <f>"FES1162728045"</f>
        <v>FES1162728045</v>
      </c>
      <c r="D1189" s="16" t="s">
        <v>19</v>
      </c>
      <c r="E1189" s="16" t="s">
        <v>24</v>
      </c>
      <c r="F1189" s="16" t="str">
        <f>"217071480 "</f>
        <v xml:space="preserve">217071480 </v>
      </c>
      <c r="G1189" s="16" t="str">
        <f t="shared" si="33"/>
        <v>ON1</v>
      </c>
      <c r="H1189" s="16" t="s">
        <v>21</v>
      </c>
      <c r="I1189" s="16" t="s">
        <v>25</v>
      </c>
      <c r="J1189" s="16" t="str">
        <f>""</f>
        <v/>
      </c>
      <c r="K1189" s="16" t="str">
        <f>"PFES1162728045_0001"</f>
        <v>PFES1162728045_0001</v>
      </c>
      <c r="L1189" s="16">
        <v>1</v>
      </c>
      <c r="M1189" s="16">
        <v>1</v>
      </c>
    </row>
    <row r="1190" spans="1:13">
      <c r="A1190" s="7">
        <v>43811</v>
      </c>
      <c r="B1190" s="8">
        <v>0.55625000000000002</v>
      </c>
      <c r="C1190" s="16" t="str">
        <f>"FES1162728100"</f>
        <v>FES1162728100</v>
      </c>
      <c r="D1190" s="16" t="s">
        <v>19</v>
      </c>
      <c r="E1190" s="16" t="s">
        <v>678</v>
      </c>
      <c r="F1190" s="16" t="str">
        <f>"2170718572 "</f>
        <v xml:space="preserve">2170718572 </v>
      </c>
      <c r="G1190" s="16" t="str">
        <f t="shared" si="33"/>
        <v>ON1</v>
      </c>
      <c r="H1190" s="16" t="s">
        <v>21</v>
      </c>
      <c r="I1190" s="16" t="s">
        <v>679</v>
      </c>
      <c r="J1190" s="16" t="str">
        <f>""</f>
        <v/>
      </c>
      <c r="K1190" s="16" t="str">
        <f>"PFES1162728100_0001"</f>
        <v>PFES1162728100_0001</v>
      </c>
      <c r="L1190" s="16">
        <v>1</v>
      </c>
      <c r="M1190" s="16">
        <v>1</v>
      </c>
    </row>
    <row r="1191" spans="1:13">
      <c r="A1191" s="7">
        <v>43811</v>
      </c>
      <c r="B1191" s="8">
        <v>0.55555555555555558</v>
      </c>
      <c r="C1191" s="16" t="str">
        <f>"FES1162728063"</f>
        <v>FES1162728063</v>
      </c>
      <c r="D1191" s="16" t="s">
        <v>19</v>
      </c>
      <c r="E1191" s="16" t="s">
        <v>680</v>
      </c>
      <c r="F1191" s="16" t="str">
        <f>"2170718163 "</f>
        <v xml:space="preserve">2170718163 </v>
      </c>
      <c r="G1191" s="16" t="str">
        <f t="shared" ref="G1191:G1248" si="34">"ON1"</f>
        <v>ON1</v>
      </c>
      <c r="H1191" s="16" t="s">
        <v>21</v>
      </c>
      <c r="I1191" s="16" t="s">
        <v>157</v>
      </c>
      <c r="J1191" s="16" t="str">
        <f>""</f>
        <v/>
      </c>
      <c r="K1191" s="16" t="str">
        <f>"PFES1162728063_0001"</f>
        <v>PFES1162728063_0001</v>
      </c>
      <c r="L1191" s="16">
        <v>1</v>
      </c>
      <c r="M1191" s="16">
        <v>1</v>
      </c>
    </row>
    <row r="1192" spans="1:13">
      <c r="A1192" s="7">
        <v>43811</v>
      </c>
      <c r="B1192" s="8">
        <v>0.55486111111111114</v>
      </c>
      <c r="C1192" s="16" t="str">
        <f>"FES1162728080"</f>
        <v>FES1162728080</v>
      </c>
      <c r="D1192" s="16" t="s">
        <v>19</v>
      </c>
      <c r="E1192" s="16" t="s">
        <v>26</v>
      </c>
      <c r="F1192" s="16" t="str">
        <f>"2170718351 "</f>
        <v xml:space="preserve">2170718351 </v>
      </c>
      <c r="G1192" s="16" t="str">
        <f t="shared" si="34"/>
        <v>ON1</v>
      </c>
      <c r="H1192" s="16" t="s">
        <v>21</v>
      </c>
      <c r="I1192" s="16" t="s">
        <v>27</v>
      </c>
      <c r="J1192" s="16" t="str">
        <f>""</f>
        <v/>
      </c>
      <c r="K1192" s="16" t="str">
        <f>"PFES1162728080_0001"</f>
        <v>PFES1162728080_0001</v>
      </c>
      <c r="L1192" s="16">
        <v>1</v>
      </c>
      <c r="M1192" s="16">
        <v>1</v>
      </c>
    </row>
    <row r="1193" spans="1:13">
      <c r="A1193" s="7">
        <v>43811</v>
      </c>
      <c r="B1193" s="8">
        <v>0.55486111111111114</v>
      </c>
      <c r="C1193" s="16" t="str">
        <f>"FES1162728108"</f>
        <v>FES1162728108</v>
      </c>
      <c r="D1193" s="16" t="s">
        <v>19</v>
      </c>
      <c r="E1193" s="16" t="s">
        <v>24</v>
      </c>
      <c r="F1193" s="16" t="str">
        <f>"2170718639 "</f>
        <v xml:space="preserve">2170718639 </v>
      </c>
      <c r="G1193" s="16" t="str">
        <f t="shared" si="34"/>
        <v>ON1</v>
      </c>
      <c r="H1193" s="16" t="s">
        <v>21</v>
      </c>
      <c r="I1193" s="16" t="s">
        <v>25</v>
      </c>
      <c r="J1193" s="16" t="str">
        <f>""</f>
        <v/>
      </c>
      <c r="K1193" s="16" t="str">
        <f>"PFES1162728108_0001"</f>
        <v>PFES1162728108_0001</v>
      </c>
      <c r="L1193" s="16">
        <v>1</v>
      </c>
      <c r="M1193" s="16">
        <v>1</v>
      </c>
    </row>
    <row r="1194" spans="1:13">
      <c r="A1194" s="7">
        <v>43811</v>
      </c>
      <c r="B1194" s="8">
        <v>0.5541666666666667</v>
      </c>
      <c r="C1194" s="16" t="str">
        <f>"FES1162728033"</f>
        <v>FES1162728033</v>
      </c>
      <c r="D1194" s="16" t="s">
        <v>19</v>
      </c>
      <c r="E1194" s="16" t="s">
        <v>247</v>
      </c>
      <c r="F1194" s="16" t="str">
        <f>"2170712461 "</f>
        <v xml:space="preserve">2170712461 </v>
      </c>
      <c r="G1194" s="16" t="str">
        <f t="shared" si="34"/>
        <v>ON1</v>
      </c>
      <c r="H1194" s="16" t="s">
        <v>21</v>
      </c>
      <c r="I1194" s="16" t="s">
        <v>248</v>
      </c>
      <c r="J1194" s="16" t="str">
        <f>""</f>
        <v/>
      </c>
      <c r="K1194" s="16" t="str">
        <f>"PFES1162728033_0001"</f>
        <v>PFES1162728033_0001</v>
      </c>
      <c r="L1194" s="16">
        <v>1</v>
      </c>
      <c r="M1194" s="16">
        <v>1</v>
      </c>
    </row>
    <row r="1195" spans="1:13">
      <c r="A1195" s="7">
        <v>43811</v>
      </c>
      <c r="B1195" s="8">
        <v>0.5541666666666667</v>
      </c>
      <c r="C1195" s="16" t="str">
        <f>"FES1162728129"</f>
        <v>FES1162728129</v>
      </c>
      <c r="D1195" s="16" t="s">
        <v>19</v>
      </c>
      <c r="E1195" s="16" t="s">
        <v>681</v>
      </c>
      <c r="F1195" s="16" t="str">
        <f>"2170718845 "</f>
        <v xml:space="preserve">2170718845 </v>
      </c>
      <c r="G1195" s="16" t="str">
        <f t="shared" si="34"/>
        <v>ON1</v>
      </c>
      <c r="H1195" s="16" t="s">
        <v>21</v>
      </c>
      <c r="I1195" s="16" t="s">
        <v>312</v>
      </c>
      <c r="J1195" s="16" t="str">
        <f>""</f>
        <v/>
      </c>
      <c r="K1195" s="16" t="str">
        <f>"PFES1162728129_0001"</f>
        <v>PFES1162728129_0001</v>
      </c>
      <c r="L1195" s="16">
        <v>1</v>
      </c>
      <c r="M1195" s="16">
        <v>1</v>
      </c>
    </row>
    <row r="1196" spans="1:13">
      <c r="A1196" s="7">
        <v>43811</v>
      </c>
      <c r="B1196" s="8">
        <v>0.5541666666666667</v>
      </c>
      <c r="C1196" s="16" t="str">
        <f>"FES1162728066"</f>
        <v>FES1162728066</v>
      </c>
      <c r="D1196" s="16" t="s">
        <v>19</v>
      </c>
      <c r="E1196" s="16" t="s">
        <v>682</v>
      </c>
      <c r="F1196" s="16" t="str">
        <f>"2170718214 "</f>
        <v xml:space="preserve">2170718214 </v>
      </c>
      <c r="G1196" s="16" t="str">
        <f t="shared" si="34"/>
        <v>ON1</v>
      </c>
      <c r="H1196" s="16" t="s">
        <v>21</v>
      </c>
      <c r="I1196" s="16" t="s">
        <v>175</v>
      </c>
      <c r="J1196" s="16" t="str">
        <f>""</f>
        <v/>
      </c>
      <c r="K1196" s="16" t="str">
        <f>"PFES1162728066_0001"</f>
        <v>PFES1162728066_0001</v>
      </c>
      <c r="L1196" s="16">
        <v>1</v>
      </c>
      <c r="M1196" s="16">
        <v>1</v>
      </c>
    </row>
    <row r="1197" spans="1:13">
      <c r="A1197" s="7">
        <v>43811</v>
      </c>
      <c r="B1197" s="8">
        <v>0.55347222222222225</v>
      </c>
      <c r="C1197" s="16" t="str">
        <f>"FES1162728118"</f>
        <v>FES1162728118</v>
      </c>
      <c r="D1197" s="16" t="s">
        <v>19</v>
      </c>
      <c r="E1197" s="16" t="s">
        <v>97</v>
      </c>
      <c r="F1197" s="16" t="str">
        <f>"2170718712 "</f>
        <v xml:space="preserve">2170718712 </v>
      </c>
      <c r="G1197" s="16" t="str">
        <f t="shared" si="34"/>
        <v>ON1</v>
      </c>
      <c r="H1197" s="16" t="s">
        <v>21</v>
      </c>
      <c r="I1197" s="16" t="s">
        <v>98</v>
      </c>
      <c r="J1197" s="16" t="str">
        <f>""</f>
        <v/>
      </c>
      <c r="K1197" s="16" t="str">
        <f>"PFES1162728118_0001"</f>
        <v>PFES1162728118_0001</v>
      </c>
      <c r="L1197" s="16">
        <v>1</v>
      </c>
      <c r="M1197" s="16">
        <v>1</v>
      </c>
    </row>
    <row r="1198" spans="1:13">
      <c r="A1198" s="7">
        <v>43811</v>
      </c>
      <c r="B1198" s="8">
        <v>0.55347222222222225</v>
      </c>
      <c r="C1198" s="16" t="str">
        <f>"FES1162728075"</f>
        <v>FES1162728075</v>
      </c>
      <c r="D1198" s="16" t="s">
        <v>19</v>
      </c>
      <c r="E1198" s="16" t="s">
        <v>547</v>
      </c>
      <c r="F1198" s="16" t="str">
        <f>"217078316 "</f>
        <v xml:space="preserve">217078316 </v>
      </c>
      <c r="G1198" s="16" t="str">
        <f t="shared" si="34"/>
        <v>ON1</v>
      </c>
      <c r="H1198" s="16" t="s">
        <v>21</v>
      </c>
      <c r="I1198" s="16" t="s">
        <v>411</v>
      </c>
      <c r="J1198" s="16" t="str">
        <f>""</f>
        <v/>
      </c>
      <c r="K1198" s="16" t="str">
        <f>"PFES1162728075_0001"</f>
        <v>PFES1162728075_0001</v>
      </c>
      <c r="L1198" s="16">
        <v>1</v>
      </c>
      <c r="M1198" s="16">
        <v>1</v>
      </c>
    </row>
    <row r="1199" spans="1:13">
      <c r="A1199" s="7">
        <v>43811</v>
      </c>
      <c r="B1199" s="8">
        <v>0.55277777777777781</v>
      </c>
      <c r="C1199" s="16" t="str">
        <f>"FES1162728139"</f>
        <v>FES1162728139</v>
      </c>
      <c r="D1199" s="16" t="s">
        <v>19</v>
      </c>
      <c r="E1199" s="16" t="s">
        <v>646</v>
      </c>
      <c r="F1199" s="16" t="str">
        <f>"2170719430 "</f>
        <v xml:space="preserve">2170719430 </v>
      </c>
      <c r="G1199" s="16" t="str">
        <f t="shared" si="34"/>
        <v>ON1</v>
      </c>
      <c r="H1199" s="16" t="s">
        <v>21</v>
      </c>
      <c r="I1199" s="16" t="s">
        <v>41</v>
      </c>
      <c r="J1199" s="16" t="str">
        <f>""</f>
        <v/>
      </c>
      <c r="K1199" s="16" t="str">
        <f>"PFES1162728139_0001"</f>
        <v>PFES1162728139_0001</v>
      </c>
      <c r="L1199" s="16">
        <v>1</v>
      </c>
      <c r="M1199" s="16">
        <v>1</v>
      </c>
    </row>
    <row r="1200" spans="1:13">
      <c r="A1200" s="7">
        <v>43811</v>
      </c>
      <c r="B1200" s="8">
        <v>0.54999999999999993</v>
      </c>
      <c r="C1200" s="16" t="str">
        <f>"FES1162728083"</f>
        <v>FES1162728083</v>
      </c>
      <c r="D1200" s="16" t="s">
        <v>19</v>
      </c>
      <c r="E1200" s="16" t="s">
        <v>666</v>
      </c>
      <c r="F1200" s="16" t="str">
        <f>"2170718387 "</f>
        <v xml:space="preserve">2170718387 </v>
      </c>
      <c r="G1200" s="16" t="str">
        <f t="shared" si="34"/>
        <v>ON1</v>
      </c>
      <c r="H1200" s="16" t="s">
        <v>21</v>
      </c>
      <c r="I1200" s="16" t="s">
        <v>571</v>
      </c>
      <c r="J1200" s="16" t="str">
        <f>""</f>
        <v/>
      </c>
      <c r="K1200" s="16" t="str">
        <f>"PFES1162728083_0001"</f>
        <v>PFES1162728083_0001</v>
      </c>
      <c r="L1200" s="16">
        <v>1</v>
      </c>
      <c r="M1200" s="16">
        <v>1</v>
      </c>
    </row>
    <row r="1201" spans="1:13">
      <c r="A1201" s="7">
        <v>43811</v>
      </c>
      <c r="B1201" s="8">
        <v>0.54652777777777783</v>
      </c>
      <c r="C1201" s="16" t="str">
        <f>"FES1162727991"</f>
        <v>FES1162727991</v>
      </c>
      <c r="D1201" s="16" t="s">
        <v>19</v>
      </c>
      <c r="E1201" s="16" t="s">
        <v>269</v>
      </c>
      <c r="F1201" s="16" t="str">
        <f>"2170719179 "</f>
        <v xml:space="preserve">2170719179 </v>
      </c>
      <c r="G1201" s="16" t="str">
        <f t="shared" si="34"/>
        <v>ON1</v>
      </c>
      <c r="H1201" s="16" t="s">
        <v>21</v>
      </c>
      <c r="I1201" s="16" t="s">
        <v>270</v>
      </c>
      <c r="J1201" s="16" t="str">
        <f>""</f>
        <v/>
      </c>
      <c r="K1201" s="16" t="str">
        <f>"PFES1162727991_0001"</f>
        <v>PFES1162727991_0001</v>
      </c>
      <c r="L1201" s="16">
        <v>1</v>
      </c>
      <c r="M1201" s="16">
        <v>19</v>
      </c>
    </row>
    <row r="1202" spans="1:13">
      <c r="A1202" s="7">
        <v>43811</v>
      </c>
      <c r="B1202" s="8">
        <v>0.54583333333333328</v>
      </c>
      <c r="C1202" s="16" t="str">
        <f>"FES1162728034"</f>
        <v>FES1162728034</v>
      </c>
      <c r="D1202" s="16" t="s">
        <v>19</v>
      </c>
      <c r="E1202" s="16" t="s">
        <v>24</v>
      </c>
      <c r="F1202" s="16" t="str">
        <f>"217071462 "</f>
        <v xml:space="preserve">217071462 </v>
      </c>
      <c r="G1202" s="16" t="str">
        <f t="shared" si="34"/>
        <v>ON1</v>
      </c>
      <c r="H1202" s="16" t="s">
        <v>21</v>
      </c>
      <c r="I1202" s="16" t="s">
        <v>25</v>
      </c>
      <c r="J1202" s="16" t="str">
        <f>""</f>
        <v/>
      </c>
      <c r="K1202" s="16" t="str">
        <f>"PFES1162728034_0001"</f>
        <v>PFES1162728034_0001</v>
      </c>
      <c r="L1202" s="16">
        <v>1</v>
      </c>
      <c r="M1202" s="16">
        <v>1</v>
      </c>
    </row>
    <row r="1203" spans="1:13">
      <c r="A1203" s="7">
        <v>43811</v>
      </c>
      <c r="B1203" s="8">
        <v>0.54583333333333328</v>
      </c>
      <c r="C1203" s="16" t="str">
        <f>"FES1162728159"</f>
        <v>FES1162728159</v>
      </c>
      <c r="D1203" s="16" t="s">
        <v>19</v>
      </c>
      <c r="E1203" s="16" t="s">
        <v>470</v>
      </c>
      <c r="F1203" s="16" t="str">
        <f>"2170719293 "</f>
        <v xml:space="preserve">2170719293 </v>
      </c>
      <c r="G1203" s="16" t="str">
        <f t="shared" si="34"/>
        <v>ON1</v>
      </c>
      <c r="H1203" s="16" t="s">
        <v>21</v>
      </c>
      <c r="I1203" s="16" t="s">
        <v>204</v>
      </c>
      <c r="J1203" s="16" t="str">
        <f>""</f>
        <v/>
      </c>
      <c r="K1203" s="16" t="str">
        <f>"PFES1162728159_0001"</f>
        <v>PFES1162728159_0001</v>
      </c>
      <c r="L1203" s="16">
        <v>1</v>
      </c>
      <c r="M1203" s="16">
        <v>1</v>
      </c>
    </row>
    <row r="1204" spans="1:13">
      <c r="A1204" s="7">
        <v>43811</v>
      </c>
      <c r="B1204" s="8">
        <v>0.54513888888888895</v>
      </c>
      <c r="C1204" s="16" t="str">
        <f>"FES1162728087"</f>
        <v>FES1162728087</v>
      </c>
      <c r="D1204" s="16" t="s">
        <v>19</v>
      </c>
      <c r="E1204" s="16" t="s">
        <v>647</v>
      </c>
      <c r="F1204" s="16" t="str">
        <f>"21707178124 "</f>
        <v xml:space="preserve">21707178124 </v>
      </c>
      <c r="G1204" s="16" t="str">
        <f t="shared" si="34"/>
        <v>ON1</v>
      </c>
      <c r="H1204" s="16" t="s">
        <v>21</v>
      </c>
      <c r="I1204" s="16" t="s">
        <v>175</v>
      </c>
      <c r="J1204" s="16" t="str">
        <f>""</f>
        <v/>
      </c>
      <c r="K1204" s="16" t="str">
        <f>"PFES1162728087_0001"</f>
        <v>PFES1162728087_0001</v>
      </c>
      <c r="L1204" s="16">
        <v>1</v>
      </c>
      <c r="M1204" s="16">
        <v>2</v>
      </c>
    </row>
    <row r="1205" spans="1:13">
      <c r="A1205" s="7">
        <v>43811</v>
      </c>
      <c r="B1205" s="8">
        <v>0.54513888888888895</v>
      </c>
      <c r="C1205" s="16" t="str">
        <f>"FES1162727976"</f>
        <v>FES1162727976</v>
      </c>
      <c r="D1205" s="16" t="s">
        <v>19</v>
      </c>
      <c r="E1205" s="16" t="s">
        <v>44</v>
      </c>
      <c r="F1205" s="16" t="str">
        <f>"2170718964 "</f>
        <v xml:space="preserve">2170718964 </v>
      </c>
      <c r="G1205" s="16" t="str">
        <f t="shared" si="34"/>
        <v>ON1</v>
      </c>
      <c r="H1205" s="16" t="s">
        <v>21</v>
      </c>
      <c r="I1205" s="16" t="s">
        <v>45</v>
      </c>
      <c r="J1205" s="16" t="str">
        <f>""</f>
        <v/>
      </c>
      <c r="K1205" s="16" t="str">
        <f>"PFES1162727976_0001"</f>
        <v>PFES1162727976_0001</v>
      </c>
      <c r="L1205" s="16">
        <v>1</v>
      </c>
      <c r="M1205" s="16">
        <v>9</v>
      </c>
    </row>
    <row r="1206" spans="1:13">
      <c r="A1206" s="7">
        <v>43811</v>
      </c>
      <c r="B1206" s="8">
        <v>0.54513888888888895</v>
      </c>
      <c r="C1206" s="16" t="str">
        <f>"FES1162728074"</f>
        <v>FES1162728074</v>
      </c>
      <c r="D1206" s="16" t="s">
        <v>19</v>
      </c>
      <c r="E1206" s="16" t="s">
        <v>44</v>
      </c>
      <c r="F1206" s="16" t="str">
        <f>"2170718278 "</f>
        <v xml:space="preserve">2170718278 </v>
      </c>
      <c r="G1206" s="16" t="str">
        <f t="shared" si="34"/>
        <v>ON1</v>
      </c>
      <c r="H1206" s="16" t="s">
        <v>21</v>
      </c>
      <c r="I1206" s="16" t="s">
        <v>45</v>
      </c>
      <c r="J1206" s="16" t="str">
        <f>""</f>
        <v/>
      </c>
      <c r="K1206" s="16" t="str">
        <f>"PFES1162728074_0001"</f>
        <v>PFES1162728074_0001</v>
      </c>
      <c r="L1206" s="16">
        <v>1</v>
      </c>
      <c r="M1206" s="16">
        <v>2</v>
      </c>
    </row>
    <row r="1207" spans="1:13">
      <c r="A1207" s="7">
        <v>43811</v>
      </c>
      <c r="B1207" s="8">
        <v>0.5444444444444444</v>
      </c>
      <c r="C1207" s="16" t="str">
        <f>"FES1162728127"</f>
        <v>FES1162728127</v>
      </c>
      <c r="D1207" s="16" t="s">
        <v>19</v>
      </c>
      <c r="E1207" s="16" t="s">
        <v>284</v>
      </c>
      <c r="F1207" s="16" t="str">
        <f>"2170718795 "</f>
        <v xml:space="preserve">2170718795 </v>
      </c>
      <c r="G1207" s="16" t="str">
        <f t="shared" si="34"/>
        <v>ON1</v>
      </c>
      <c r="H1207" s="16" t="s">
        <v>21</v>
      </c>
      <c r="I1207" s="16" t="s">
        <v>285</v>
      </c>
      <c r="J1207" s="16" t="str">
        <f>""</f>
        <v/>
      </c>
      <c r="K1207" s="16" t="str">
        <f>"PFES1162728127_0001"</f>
        <v>PFES1162728127_0001</v>
      </c>
      <c r="L1207" s="16">
        <v>1</v>
      </c>
      <c r="M1207" s="16">
        <v>4</v>
      </c>
    </row>
    <row r="1208" spans="1:13">
      <c r="A1208" s="7">
        <v>43811</v>
      </c>
      <c r="B1208" s="8">
        <v>0.5444444444444444</v>
      </c>
      <c r="C1208" s="16" t="str">
        <f>"FES1162728122"</f>
        <v>FES1162728122</v>
      </c>
      <c r="D1208" s="16" t="s">
        <v>19</v>
      </c>
      <c r="E1208" s="16" t="s">
        <v>543</v>
      </c>
      <c r="F1208" s="16" t="str">
        <f>"2170718745 "</f>
        <v xml:space="preserve">2170718745 </v>
      </c>
      <c r="G1208" s="16" t="str">
        <f t="shared" si="34"/>
        <v>ON1</v>
      </c>
      <c r="H1208" s="16" t="s">
        <v>21</v>
      </c>
      <c r="I1208" s="16" t="s">
        <v>544</v>
      </c>
      <c r="J1208" s="16" t="str">
        <f>""</f>
        <v/>
      </c>
      <c r="K1208" s="16" t="str">
        <f>"PFES1162728122_0001"</f>
        <v>PFES1162728122_0001</v>
      </c>
      <c r="L1208" s="16">
        <v>1</v>
      </c>
      <c r="M1208" s="16">
        <v>2</v>
      </c>
    </row>
    <row r="1209" spans="1:13">
      <c r="A1209" s="7">
        <v>43811</v>
      </c>
      <c r="B1209" s="8">
        <v>0.5444444444444444</v>
      </c>
      <c r="C1209" s="16" t="str">
        <f>"FES1162728068"</f>
        <v>FES1162728068</v>
      </c>
      <c r="D1209" s="16" t="s">
        <v>19</v>
      </c>
      <c r="E1209" s="16" t="s">
        <v>577</v>
      </c>
      <c r="F1209" s="16" t="str">
        <f>"2170718128 "</f>
        <v xml:space="preserve">2170718128 </v>
      </c>
      <c r="G1209" s="16" t="str">
        <f t="shared" si="34"/>
        <v>ON1</v>
      </c>
      <c r="H1209" s="16" t="s">
        <v>21</v>
      </c>
      <c r="I1209" s="16" t="s">
        <v>578</v>
      </c>
      <c r="J1209" s="16" t="str">
        <f>""</f>
        <v/>
      </c>
      <c r="K1209" s="16" t="str">
        <f>"PFES1162728068_0001"</f>
        <v>PFES1162728068_0001</v>
      </c>
      <c r="L1209" s="16">
        <v>1</v>
      </c>
      <c r="M1209" s="16">
        <v>2</v>
      </c>
    </row>
    <row r="1210" spans="1:13">
      <c r="A1210" s="7">
        <v>43811</v>
      </c>
      <c r="B1210" s="8">
        <v>0.54375000000000007</v>
      </c>
      <c r="C1210" s="16" t="str">
        <f>"FES1162728020"</f>
        <v>FES1162728020</v>
      </c>
      <c r="D1210" s="16" t="s">
        <v>19</v>
      </c>
      <c r="E1210" s="16" t="s">
        <v>279</v>
      </c>
      <c r="F1210" s="16" t="str">
        <f>"21707151153 "</f>
        <v xml:space="preserve">21707151153 </v>
      </c>
      <c r="G1210" s="16" t="str">
        <f t="shared" si="34"/>
        <v>ON1</v>
      </c>
      <c r="H1210" s="16" t="s">
        <v>21</v>
      </c>
      <c r="I1210" s="16" t="s">
        <v>70</v>
      </c>
      <c r="J1210" s="16" t="str">
        <f>""</f>
        <v/>
      </c>
      <c r="K1210" s="16" t="str">
        <f>"PFES1162728020_0001"</f>
        <v>PFES1162728020_0001</v>
      </c>
      <c r="L1210" s="16">
        <v>1</v>
      </c>
      <c r="M1210" s="16">
        <v>2</v>
      </c>
    </row>
    <row r="1211" spans="1:13">
      <c r="A1211" s="7">
        <v>43811</v>
      </c>
      <c r="B1211" s="8">
        <v>0.54375000000000007</v>
      </c>
      <c r="C1211" s="16" t="str">
        <f>"FES1162728002"</f>
        <v>FES1162728002</v>
      </c>
      <c r="D1211" s="16" t="s">
        <v>19</v>
      </c>
      <c r="E1211" s="16" t="s">
        <v>683</v>
      </c>
      <c r="F1211" s="16" t="str">
        <f>"2170719320 "</f>
        <v xml:space="preserve">2170719320 </v>
      </c>
      <c r="G1211" s="16" t="str">
        <f t="shared" si="34"/>
        <v>ON1</v>
      </c>
      <c r="H1211" s="16" t="s">
        <v>21</v>
      </c>
      <c r="I1211" s="16" t="s">
        <v>278</v>
      </c>
      <c r="J1211" s="16" t="str">
        <f>""</f>
        <v/>
      </c>
      <c r="K1211" s="16" t="str">
        <f>"PFES1162728002_0001"</f>
        <v>PFES1162728002_0001</v>
      </c>
      <c r="L1211" s="16">
        <v>1</v>
      </c>
      <c r="M1211" s="16">
        <v>2</v>
      </c>
    </row>
    <row r="1212" spans="1:13">
      <c r="A1212" s="7">
        <v>43811</v>
      </c>
      <c r="B1212" s="8">
        <v>0.54375000000000007</v>
      </c>
      <c r="C1212" s="16" t="str">
        <f>"FES1162727962"</f>
        <v>FES1162727962</v>
      </c>
      <c r="D1212" s="16" t="s">
        <v>19</v>
      </c>
      <c r="E1212" s="16" t="s">
        <v>71</v>
      </c>
      <c r="F1212" s="16" t="str">
        <f>"2170718220 "</f>
        <v xml:space="preserve">2170718220 </v>
      </c>
      <c r="G1212" s="16" t="str">
        <f t="shared" si="34"/>
        <v>ON1</v>
      </c>
      <c r="H1212" s="16" t="s">
        <v>21</v>
      </c>
      <c r="I1212" s="16" t="s">
        <v>72</v>
      </c>
      <c r="J1212" s="16" t="str">
        <f>""</f>
        <v/>
      </c>
      <c r="K1212" s="16" t="str">
        <f>"PFES1162727962_0001"</f>
        <v>PFES1162727962_0001</v>
      </c>
      <c r="L1212" s="16">
        <v>1</v>
      </c>
      <c r="M1212" s="16">
        <v>1</v>
      </c>
    </row>
    <row r="1213" spans="1:13">
      <c r="A1213" s="7">
        <v>43811</v>
      </c>
      <c r="B1213" s="8">
        <v>0.54305555555555551</v>
      </c>
      <c r="C1213" s="16" t="str">
        <f>"FES1162727988"</f>
        <v>FES1162727988</v>
      </c>
      <c r="D1213" s="16" t="s">
        <v>19</v>
      </c>
      <c r="E1213" s="16" t="s">
        <v>69</v>
      </c>
      <c r="F1213" s="16" t="str">
        <f>"2170719217 "</f>
        <v xml:space="preserve">2170719217 </v>
      </c>
      <c r="G1213" s="16" t="str">
        <f t="shared" si="34"/>
        <v>ON1</v>
      </c>
      <c r="H1213" s="16" t="s">
        <v>21</v>
      </c>
      <c r="I1213" s="16" t="s">
        <v>70</v>
      </c>
      <c r="J1213" s="16" t="str">
        <f>""</f>
        <v/>
      </c>
      <c r="K1213" s="16" t="str">
        <f>"PFES1162727988_0001"</f>
        <v>PFES1162727988_0001</v>
      </c>
      <c r="L1213" s="16">
        <v>1</v>
      </c>
      <c r="M1213" s="16">
        <v>1</v>
      </c>
    </row>
    <row r="1214" spans="1:13">
      <c r="A1214" s="7">
        <v>43811</v>
      </c>
      <c r="B1214" s="8">
        <v>0.54305555555555551</v>
      </c>
      <c r="C1214" s="16" t="str">
        <f>"FES1162728157"</f>
        <v>FES1162728157</v>
      </c>
      <c r="D1214" s="16" t="s">
        <v>19</v>
      </c>
      <c r="E1214" s="16" t="s">
        <v>65</v>
      </c>
      <c r="F1214" s="16" t="str">
        <f>"2170719059 "</f>
        <v xml:space="preserve">2170719059 </v>
      </c>
      <c r="G1214" s="16" t="str">
        <f t="shared" si="34"/>
        <v>ON1</v>
      </c>
      <c r="H1214" s="16" t="s">
        <v>21</v>
      </c>
      <c r="I1214" s="16" t="s">
        <v>66</v>
      </c>
      <c r="J1214" s="16" t="str">
        <f>""</f>
        <v/>
      </c>
      <c r="K1214" s="16" t="str">
        <f>"PFES1162728157_0001"</f>
        <v>PFES1162728157_0001</v>
      </c>
      <c r="L1214" s="16">
        <v>1</v>
      </c>
      <c r="M1214" s="16">
        <v>1</v>
      </c>
    </row>
    <row r="1215" spans="1:13">
      <c r="A1215" s="7">
        <v>43811</v>
      </c>
      <c r="B1215" s="8">
        <v>0.54236111111111118</v>
      </c>
      <c r="C1215" s="16" t="str">
        <f>"FES1162728023"</f>
        <v>FES1162728023</v>
      </c>
      <c r="D1215" s="16" t="s">
        <v>19</v>
      </c>
      <c r="E1215" s="16" t="s">
        <v>665</v>
      </c>
      <c r="F1215" s="16" t="str">
        <f>"2170712447 "</f>
        <v xml:space="preserve">2170712447 </v>
      </c>
      <c r="G1215" s="16" t="str">
        <f t="shared" si="34"/>
        <v>ON1</v>
      </c>
      <c r="H1215" s="16" t="s">
        <v>21</v>
      </c>
      <c r="I1215" s="16" t="s">
        <v>70</v>
      </c>
      <c r="J1215" s="16" t="str">
        <f>""</f>
        <v/>
      </c>
      <c r="K1215" s="16" t="str">
        <f>"PFES1162728023_0001"</f>
        <v>PFES1162728023_0001</v>
      </c>
      <c r="L1215" s="16">
        <v>1</v>
      </c>
      <c r="M1215" s="16">
        <v>1</v>
      </c>
    </row>
    <row r="1216" spans="1:13">
      <c r="A1216" s="7">
        <v>43811</v>
      </c>
      <c r="B1216" s="8">
        <v>0.54236111111111118</v>
      </c>
      <c r="C1216" s="16" t="str">
        <f>"FES1162727999"</f>
        <v>FES1162727999</v>
      </c>
      <c r="D1216" s="16" t="s">
        <v>19</v>
      </c>
      <c r="E1216" s="16" t="s">
        <v>639</v>
      </c>
      <c r="F1216" s="16" t="str">
        <f>"2170719283 "</f>
        <v xml:space="preserve">2170719283 </v>
      </c>
      <c r="G1216" s="16" t="str">
        <f t="shared" si="34"/>
        <v>ON1</v>
      </c>
      <c r="H1216" s="16" t="s">
        <v>21</v>
      </c>
      <c r="I1216" s="16" t="s">
        <v>438</v>
      </c>
      <c r="J1216" s="16" t="str">
        <f>""</f>
        <v/>
      </c>
      <c r="K1216" s="16" t="str">
        <f>"PFES1162727999_0001"</f>
        <v>PFES1162727999_0001</v>
      </c>
      <c r="L1216" s="16">
        <v>1</v>
      </c>
      <c r="M1216" s="16">
        <v>1</v>
      </c>
    </row>
    <row r="1217" spans="1:13">
      <c r="A1217" s="7">
        <v>43811</v>
      </c>
      <c r="B1217" s="8">
        <v>0.54236111111111118</v>
      </c>
      <c r="C1217" s="16" t="str">
        <f>"FES1162727997"</f>
        <v>FES1162727997</v>
      </c>
      <c r="D1217" s="16" t="s">
        <v>19</v>
      </c>
      <c r="E1217" s="16" t="s">
        <v>159</v>
      </c>
      <c r="F1217" s="16" t="str">
        <f>"21707192+68 "</f>
        <v xml:space="preserve">21707192+68 </v>
      </c>
      <c r="G1217" s="16" t="str">
        <f t="shared" si="34"/>
        <v>ON1</v>
      </c>
      <c r="H1217" s="16" t="s">
        <v>21</v>
      </c>
      <c r="I1217" s="16" t="s">
        <v>54</v>
      </c>
      <c r="J1217" s="16" t="str">
        <f>""</f>
        <v/>
      </c>
      <c r="K1217" s="16" t="str">
        <f>"PFES1162727997_0001"</f>
        <v>PFES1162727997_0001</v>
      </c>
      <c r="L1217" s="16">
        <v>1</v>
      </c>
      <c r="M1217" s="16">
        <v>1</v>
      </c>
    </row>
    <row r="1218" spans="1:13">
      <c r="A1218" s="7">
        <v>43811</v>
      </c>
      <c r="B1218" s="8">
        <v>0.54166666666666663</v>
      </c>
      <c r="C1218" s="16" t="str">
        <f>"FES1162727973"</f>
        <v>FES1162727973</v>
      </c>
      <c r="D1218" s="16" t="s">
        <v>19</v>
      </c>
      <c r="E1218" s="16" t="s">
        <v>684</v>
      </c>
      <c r="F1218" s="16" t="str">
        <f>"2170718937 "</f>
        <v xml:space="preserve">2170718937 </v>
      </c>
      <c r="G1218" s="16" t="str">
        <f t="shared" si="34"/>
        <v>ON1</v>
      </c>
      <c r="H1218" s="16" t="s">
        <v>21</v>
      </c>
      <c r="I1218" s="16" t="s">
        <v>685</v>
      </c>
      <c r="J1218" s="16" t="str">
        <f>""</f>
        <v/>
      </c>
      <c r="K1218" s="16" t="str">
        <f>"PFES1162727973_0001"</f>
        <v>PFES1162727973_0001</v>
      </c>
      <c r="L1218" s="16">
        <v>1</v>
      </c>
      <c r="M1218" s="16">
        <v>1</v>
      </c>
    </row>
    <row r="1219" spans="1:13">
      <c r="A1219" s="7">
        <v>43811</v>
      </c>
      <c r="B1219" s="8">
        <v>0.54097222222222219</v>
      </c>
      <c r="C1219" s="16" t="str">
        <f>"FES1162728003"</f>
        <v>FES1162728003</v>
      </c>
      <c r="D1219" s="16" t="s">
        <v>19</v>
      </c>
      <c r="E1219" s="16" t="s">
        <v>502</v>
      </c>
      <c r="F1219" s="16" t="str">
        <f>"2170719325 "</f>
        <v xml:space="preserve">2170719325 </v>
      </c>
      <c r="G1219" s="16" t="str">
        <f t="shared" si="34"/>
        <v>ON1</v>
      </c>
      <c r="H1219" s="16" t="s">
        <v>21</v>
      </c>
      <c r="I1219" s="16" t="s">
        <v>119</v>
      </c>
      <c r="J1219" s="16" t="str">
        <f>""</f>
        <v/>
      </c>
      <c r="K1219" s="16" t="str">
        <f>"PFES1162728003_0001"</f>
        <v>PFES1162728003_0001</v>
      </c>
      <c r="L1219" s="16">
        <v>1</v>
      </c>
      <c r="M1219" s="16">
        <v>1</v>
      </c>
    </row>
    <row r="1220" spans="1:13">
      <c r="A1220" s="7">
        <v>43811</v>
      </c>
      <c r="B1220" s="8">
        <v>0.5395833333333333</v>
      </c>
      <c r="C1220" s="16" t="str">
        <f>"FES1162728099"</f>
        <v>FES1162728099</v>
      </c>
      <c r="D1220" s="16" t="s">
        <v>19</v>
      </c>
      <c r="E1220" s="16" t="s">
        <v>340</v>
      </c>
      <c r="F1220" s="16" t="str">
        <f>"2170718565 "</f>
        <v xml:space="preserve">2170718565 </v>
      </c>
      <c r="G1220" s="16" t="str">
        <f t="shared" si="34"/>
        <v>ON1</v>
      </c>
      <c r="H1220" s="16" t="s">
        <v>21</v>
      </c>
      <c r="I1220" s="16" t="s">
        <v>121</v>
      </c>
      <c r="J1220" s="16" t="str">
        <f>""</f>
        <v/>
      </c>
      <c r="K1220" s="16" t="str">
        <f>"PFES1162728099_0001"</f>
        <v>PFES1162728099_0001</v>
      </c>
      <c r="L1220" s="16">
        <v>1</v>
      </c>
      <c r="M1220" s="16">
        <v>1</v>
      </c>
    </row>
    <row r="1221" spans="1:13">
      <c r="A1221" s="7">
        <v>43811</v>
      </c>
      <c r="B1221" s="8">
        <v>0.5395833333333333</v>
      </c>
      <c r="C1221" s="16" t="str">
        <f>"FES1162728143"</f>
        <v>FES1162728143</v>
      </c>
      <c r="D1221" s="16" t="s">
        <v>19</v>
      </c>
      <c r="E1221" s="16" t="s">
        <v>295</v>
      </c>
      <c r="F1221" s="16" t="str">
        <f>"2170719730 "</f>
        <v xml:space="preserve">2170719730 </v>
      </c>
      <c r="G1221" s="16" t="str">
        <f t="shared" si="34"/>
        <v>ON1</v>
      </c>
      <c r="H1221" s="16" t="s">
        <v>21</v>
      </c>
      <c r="I1221" s="16" t="s">
        <v>78</v>
      </c>
      <c r="J1221" s="16" t="str">
        <f>""</f>
        <v/>
      </c>
      <c r="K1221" s="16" t="str">
        <f>"PFES1162728143_0001"</f>
        <v>PFES1162728143_0001</v>
      </c>
      <c r="L1221" s="16">
        <v>1</v>
      </c>
      <c r="M1221" s="16">
        <v>1</v>
      </c>
    </row>
    <row r="1222" spans="1:13">
      <c r="A1222" s="7">
        <v>43811</v>
      </c>
      <c r="B1222" s="8">
        <v>0.53541666666666665</v>
      </c>
      <c r="C1222" s="16" t="str">
        <f>"FES1162728137"</f>
        <v>FES1162728137</v>
      </c>
      <c r="D1222" s="16" t="s">
        <v>19</v>
      </c>
      <c r="E1222" s="16" t="s">
        <v>171</v>
      </c>
      <c r="F1222" s="16" t="str">
        <f>"2170719162 "</f>
        <v xml:space="preserve">2170719162 </v>
      </c>
      <c r="G1222" s="16" t="str">
        <f t="shared" si="34"/>
        <v>ON1</v>
      </c>
      <c r="H1222" s="16" t="s">
        <v>21</v>
      </c>
      <c r="I1222" s="16" t="s">
        <v>145</v>
      </c>
      <c r="J1222" s="16" t="str">
        <f>""</f>
        <v/>
      </c>
      <c r="K1222" s="16" t="str">
        <f>"PFES1162728137_0001"</f>
        <v>PFES1162728137_0001</v>
      </c>
      <c r="L1222" s="16">
        <v>1</v>
      </c>
      <c r="M1222" s="16">
        <v>1</v>
      </c>
    </row>
    <row r="1223" spans="1:13">
      <c r="A1223" s="7">
        <v>43811</v>
      </c>
      <c r="B1223" s="8">
        <v>0.53541666666666665</v>
      </c>
      <c r="C1223" s="16" t="str">
        <f>"FES1162728173"</f>
        <v>FES1162728173</v>
      </c>
      <c r="D1223" s="16" t="s">
        <v>19</v>
      </c>
      <c r="E1223" s="16" t="s">
        <v>686</v>
      </c>
      <c r="F1223" s="16" t="str">
        <f>"2170721495 "</f>
        <v xml:space="preserve">2170721495 </v>
      </c>
      <c r="G1223" s="16" t="str">
        <f t="shared" si="34"/>
        <v>ON1</v>
      </c>
      <c r="H1223" s="16" t="s">
        <v>21</v>
      </c>
      <c r="I1223" s="16" t="s">
        <v>606</v>
      </c>
      <c r="J1223" s="16" t="str">
        <f>""</f>
        <v/>
      </c>
      <c r="K1223" s="16" t="str">
        <f>"PFES1162728173_0001"</f>
        <v>PFES1162728173_0001</v>
      </c>
      <c r="L1223" s="16">
        <v>1</v>
      </c>
      <c r="M1223" s="16">
        <v>1</v>
      </c>
    </row>
    <row r="1224" spans="1:13">
      <c r="A1224" s="7">
        <v>43811</v>
      </c>
      <c r="B1224" s="8">
        <v>0.53541666666666665</v>
      </c>
      <c r="C1224" s="16" t="str">
        <f>"FES1162728165"</f>
        <v>FES1162728165</v>
      </c>
      <c r="D1224" s="16" t="s">
        <v>19</v>
      </c>
      <c r="E1224" s="16" t="s">
        <v>142</v>
      </c>
      <c r="F1224" s="16" t="str">
        <f>"2170721309 "</f>
        <v xml:space="preserve">2170721309 </v>
      </c>
      <c r="G1224" s="16" t="str">
        <f t="shared" si="34"/>
        <v>ON1</v>
      </c>
      <c r="H1224" s="16" t="s">
        <v>21</v>
      </c>
      <c r="I1224" s="16" t="s">
        <v>37</v>
      </c>
      <c r="J1224" s="16" t="str">
        <f>""</f>
        <v/>
      </c>
      <c r="K1224" s="16" t="str">
        <f>"PFES1162728165_0001"</f>
        <v>PFES1162728165_0001</v>
      </c>
      <c r="L1224" s="16">
        <v>1</v>
      </c>
      <c r="M1224" s="16">
        <v>1</v>
      </c>
    </row>
    <row r="1225" spans="1:13">
      <c r="A1225" s="7">
        <v>43811</v>
      </c>
      <c r="B1225" s="8">
        <v>0.53472222222222221</v>
      </c>
      <c r="C1225" s="16" t="str">
        <f>"FES1162728175"</f>
        <v>FES1162728175</v>
      </c>
      <c r="D1225" s="16" t="s">
        <v>19</v>
      </c>
      <c r="E1225" s="16" t="s">
        <v>151</v>
      </c>
      <c r="F1225" s="16" t="str">
        <f>"2170721498 "</f>
        <v xml:space="preserve">2170721498 </v>
      </c>
      <c r="G1225" s="16" t="str">
        <f t="shared" si="34"/>
        <v>ON1</v>
      </c>
      <c r="H1225" s="16" t="s">
        <v>21</v>
      </c>
      <c r="I1225" s="16" t="s">
        <v>152</v>
      </c>
      <c r="J1225" s="16" t="str">
        <f>""</f>
        <v/>
      </c>
      <c r="K1225" s="16" t="str">
        <f>"PFES1162728175_0001"</f>
        <v>PFES1162728175_0001</v>
      </c>
      <c r="L1225" s="16">
        <v>1</v>
      </c>
      <c r="M1225" s="16">
        <v>1</v>
      </c>
    </row>
    <row r="1226" spans="1:13">
      <c r="A1226" s="7">
        <v>43811</v>
      </c>
      <c r="B1226" s="8">
        <v>0.53472222222222221</v>
      </c>
      <c r="C1226" s="16" t="str">
        <f>"FES1162728081"</f>
        <v>FES1162728081</v>
      </c>
      <c r="D1226" s="16" t="s">
        <v>19</v>
      </c>
      <c r="E1226" s="16" t="s">
        <v>236</v>
      </c>
      <c r="F1226" s="16" t="str">
        <f>"2170718354 "</f>
        <v xml:space="preserve">2170718354 </v>
      </c>
      <c r="G1226" s="16" t="str">
        <f t="shared" si="34"/>
        <v>ON1</v>
      </c>
      <c r="H1226" s="16" t="s">
        <v>21</v>
      </c>
      <c r="I1226" s="16" t="s">
        <v>237</v>
      </c>
      <c r="J1226" s="16" t="str">
        <f>""</f>
        <v/>
      </c>
      <c r="K1226" s="16" t="str">
        <f>"PFES1162728081_0001"</f>
        <v>PFES1162728081_0001</v>
      </c>
      <c r="L1226" s="16">
        <v>1</v>
      </c>
      <c r="M1226" s="16">
        <v>1</v>
      </c>
    </row>
    <row r="1227" spans="1:13">
      <c r="A1227" s="7">
        <v>43811</v>
      </c>
      <c r="B1227" s="8">
        <v>0.53472222222222221</v>
      </c>
      <c r="C1227" s="16" t="str">
        <f>"FES1162728054"</f>
        <v>FES1162728054</v>
      </c>
      <c r="D1227" s="16" t="s">
        <v>19</v>
      </c>
      <c r="E1227" s="16" t="s">
        <v>324</v>
      </c>
      <c r="F1227" s="16" t="str">
        <f>"2170717632 "</f>
        <v xml:space="preserve">2170717632 </v>
      </c>
      <c r="G1227" s="16" t="str">
        <f t="shared" si="34"/>
        <v>ON1</v>
      </c>
      <c r="H1227" s="16" t="s">
        <v>21</v>
      </c>
      <c r="I1227" s="16" t="s">
        <v>325</v>
      </c>
      <c r="J1227" s="16" t="str">
        <f>""</f>
        <v/>
      </c>
      <c r="K1227" s="16" t="str">
        <f>"PFES1162728054_0001"</f>
        <v>PFES1162728054_0001</v>
      </c>
      <c r="L1227" s="16">
        <v>1</v>
      </c>
      <c r="M1227" s="16">
        <v>1</v>
      </c>
    </row>
    <row r="1228" spans="1:13">
      <c r="A1228" s="7">
        <v>43811</v>
      </c>
      <c r="B1228" s="8">
        <v>0.53402777777777777</v>
      </c>
      <c r="C1228" s="16" t="str">
        <f>"FES1162728166"</f>
        <v>FES1162728166</v>
      </c>
      <c r="D1228" s="16" t="s">
        <v>19</v>
      </c>
      <c r="E1228" s="16" t="s">
        <v>153</v>
      </c>
      <c r="F1228" s="16" t="str">
        <f>"2170721395 "</f>
        <v xml:space="preserve">2170721395 </v>
      </c>
      <c r="G1228" s="16" t="str">
        <f t="shared" si="34"/>
        <v>ON1</v>
      </c>
      <c r="H1228" s="16" t="s">
        <v>21</v>
      </c>
      <c r="I1228" s="16" t="s">
        <v>145</v>
      </c>
      <c r="J1228" s="16" t="str">
        <f>""</f>
        <v/>
      </c>
      <c r="K1228" s="16" t="str">
        <f>"PFES1162728166_0001"</f>
        <v>PFES1162728166_0001</v>
      </c>
      <c r="L1228" s="16">
        <v>1</v>
      </c>
      <c r="M1228" s="16">
        <v>1</v>
      </c>
    </row>
    <row r="1229" spans="1:13">
      <c r="A1229" s="7">
        <v>43811</v>
      </c>
      <c r="B1229" s="8">
        <v>0.53402777777777777</v>
      </c>
      <c r="C1229" s="16" t="str">
        <f>"FES1162727982"</f>
        <v>FES1162727982</v>
      </c>
      <c r="D1229" s="16" t="s">
        <v>19</v>
      </c>
      <c r="E1229" s="16" t="s">
        <v>65</v>
      </c>
      <c r="F1229" s="16" t="str">
        <f>"2170719066 "</f>
        <v xml:space="preserve">2170719066 </v>
      </c>
      <c r="G1229" s="16" t="str">
        <f t="shared" si="34"/>
        <v>ON1</v>
      </c>
      <c r="H1229" s="16" t="s">
        <v>21</v>
      </c>
      <c r="I1229" s="16" t="s">
        <v>66</v>
      </c>
      <c r="J1229" s="16" t="str">
        <f>""</f>
        <v/>
      </c>
      <c r="K1229" s="16" t="str">
        <f>"PFES1162727982_0001"</f>
        <v>PFES1162727982_0001</v>
      </c>
      <c r="L1229" s="16">
        <v>1</v>
      </c>
      <c r="M1229" s="16">
        <v>1</v>
      </c>
    </row>
    <row r="1230" spans="1:13">
      <c r="A1230" s="7">
        <v>43811</v>
      </c>
      <c r="B1230" s="8">
        <v>0.53333333333333333</v>
      </c>
      <c r="C1230" s="16" t="str">
        <f>"FES1162728032"</f>
        <v>FES1162728032</v>
      </c>
      <c r="D1230" s="16" t="s">
        <v>19</v>
      </c>
      <c r="E1230" s="16" t="s">
        <v>34</v>
      </c>
      <c r="F1230" s="16" t="str">
        <f>"217072146 "</f>
        <v xml:space="preserve">217072146 </v>
      </c>
      <c r="G1230" s="16" t="str">
        <f t="shared" si="34"/>
        <v>ON1</v>
      </c>
      <c r="H1230" s="16" t="s">
        <v>21</v>
      </c>
      <c r="I1230" s="16" t="s">
        <v>35</v>
      </c>
      <c r="J1230" s="16" t="str">
        <f>""</f>
        <v/>
      </c>
      <c r="K1230" s="16" t="str">
        <f>"PFES1162728032_0001"</f>
        <v>PFES1162728032_0001</v>
      </c>
      <c r="L1230" s="16">
        <v>1</v>
      </c>
      <c r="M1230" s="16">
        <v>1</v>
      </c>
    </row>
    <row r="1231" spans="1:13">
      <c r="A1231" s="7">
        <v>43811</v>
      </c>
      <c r="B1231" s="8">
        <v>0.53333333333333333</v>
      </c>
      <c r="C1231" s="16" t="str">
        <f>"FES1162728160"</f>
        <v>FES1162728160</v>
      </c>
      <c r="D1231" s="16" t="s">
        <v>19</v>
      </c>
      <c r="E1231" s="16" t="s">
        <v>687</v>
      </c>
      <c r="F1231" s="16" t="str">
        <f>"2170719338 "</f>
        <v xml:space="preserve">2170719338 </v>
      </c>
      <c r="G1231" s="16" t="str">
        <f t="shared" si="34"/>
        <v>ON1</v>
      </c>
      <c r="H1231" s="16" t="s">
        <v>21</v>
      </c>
      <c r="I1231" s="16" t="s">
        <v>359</v>
      </c>
      <c r="J1231" s="16" t="str">
        <f>""</f>
        <v/>
      </c>
      <c r="K1231" s="16" t="str">
        <f>"PFES1162728160_0001"</f>
        <v>PFES1162728160_0001</v>
      </c>
      <c r="L1231" s="16">
        <v>1</v>
      </c>
      <c r="M1231" s="16">
        <v>1</v>
      </c>
    </row>
    <row r="1232" spans="1:13">
      <c r="A1232" s="7">
        <v>43811</v>
      </c>
      <c r="B1232" s="8">
        <v>0.53333333333333333</v>
      </c>
      <c r="C1232" s="16" t="str">
        <f>"FES1162728098"</f>
        <v>FES1162728098</v>
      </c>
      <c r="D1232" s="16" t="s">
        <v>19</v>
      </c>
      <c r="E1232" s="16" t="s">
        <v>688</v>
      </c>
      <c r="F1232" s="16" t="str">
        <f>"2170718553 "</f>
        <v xml:space="preserve">2170718553 </v>
      </c>
      <c r="G1232" s="16" t="str">
        <f t="shared" si="34"/>
        <v>ON1</v>
      </c>
      <c r="H1232" s="16" t="s">
        <v>21</v>
      </c>
      <c r="I1232" s="16" t="s">
        <v>355</v>
      </c>
      <c r="J1232" s="16" t="str">
        <f>""</f>
        <v/>
      </c>
      <c r="K1232" s="16" t="str">
        <f>"PFES1162728098_0001"</f>
        <v>PFES1162728098_0001</v>
      </c>
      <c r="L1232" s="16">
        <v>1</v>
      </c>
      <c r="M1232" s="16">
        <v>1</v>
      </c>
    </row>
    <row r="1233" spans="1:13">
      <c r="A1233" s="7">
        <v>43811</v>
      </c>
      <c r="B1233" s="8">
        <v>0.53263888888888888</v>
      </c>
      <c r="C1233" s="16" t="str">
        <f>"FES1162728115"</f>
        <v>FES1162728115</v>
      </c>
      <c r="D1233" s="16" t="s">
        <v>19</v>
      </c>
      <c r="E1233" s="16" t="s">
        <v>149</v>
      </c>
      <c r="F1233" s="16" t="str">
        <f>"2170718662 "</f>
        <v xml:space="preserve">2170718662 </v>
      </c>
      <c r="G1233" s="16" t="str">
        <f t="shared" si="34"/>
        <v>ON1</v>
      </c>
      <c r="H1233" s="16" t="s">
        <v>21</v>
      </c>
      <c r="I1233" s="16" t="s">
        <v>119</v>
      </c>
      <c r="J1233" s="16" t="str">
        <f>""</f>
        <v/>
      </c>
      <c r="K1233" s="16" t="str">
        <f>"PFES1162728115_0001"</f>
        <v>PFES1162728115_0001</v>
      </c>
      <c r="L1233" s="16">
        <v>1</v>
      </c>
      <c r="M1233" s="16">
        <v>1</v>
      </c>
    </row>
    <row r="1234" spans="1:13">
      <c r="A1234" s="7">
        <v>43811</v>
      </c>
      <c r="B1234" s="8">
        <v>0.53263888888888888</v>
      </c>
      <c r="C1234" s="16" t="str">
        <f>"FES1162728146"</f>
        <v>FES1162728146</v>
      </c>
      <c r="D1234" s="16" t="s">
        <v>19</v>
      </c>
      <c r="E1234" s="16" t="s">
        <v>600</v>
      </c>
      <c r="F1234" s="16" t="str">
        <f>"21707120593 "</f>
        <v xml:space="preserve">21707120593 </v>
      </c>
      <c r="G1234" s="16" t="str">
        <f t="shared" si="34"/>
        <v>ON1</v>
      </c>
      <c r="H1234" s="16" t="s">
        <v>21</v>
      </c>
      <c r="I1234" s="16" t="s">
        <v>191</v>
      </c>
      <c r="J1234" s="16" t="str">
        <f>""</f>
        <v/>
      </c>
      <c r="K1234" s="16" t="str">
        <f>"PFES1162728146_0001"</f>
        <v>PFES1162728146_0001</v>
      </c>
      <c r="L1234" s="16">
        <v>1</v>
      </c>
      <c r="M1234" s="16">
        <v>1</v>
      </c>
    </row>
    <row r="1235" spans="1:13">
      <c r="A1235" s="7">
        <v>43811</v>
      </c>
      <c r="B1235" s="8">
        <v>0.53194444444444444</v>
      </c>
      <c r="C1235" s="16" t="str">
        <f>"FES1162728135"</f>
        <v>FES1162728135</v>
      </c>
      <c r="D1235" s="16" t="s">
        <v>19</v>
      </c>
      <c r="E1235" s="16" t="s">
        <v>324</v>
      </c>
      <c r="F1235" s="16" t="str">
        <f>"2170719123 "</f>
        <v xml:space="preserve">2170719123 </v>
      </c>
      <c r="G1235" s="16" t="str">
        <f t="shared" si="34"/>
        <v>ON1</v>
      </c>
      <c r="H1235" s="16" t="s">
        <v>21</v>
      </c>
      <c r="I1235" s="16" t="s">
        <v>325</v>
      </c>
      <c r="J1235" s="16" t="str">
        <f>""</f>
        <v/>
      </c>
      <c r="K1235" s="16" t="str">
        <f>"PFES1162728135_0001"</f>
        <v>PFES1162728135_0001</v>
      </c>
      <c r="L1235" s="16">
        <v>1</v>
      </c>
      <c r="M1235" s="16">
        <v>1</v>
      </c>
    </row>
    <row r="1236" spans="1:13">
      <c r="A1236" s="7">
        <v>43811</v>
      </c>
      <c r="B1236" s="8">
        <v>0.53125</v>
      </c>
      <c r="C1236" s="16" t="str">
        <f>"FES1162728006"</f>
        <v>FES1162728006</v>
      </c>
      <c r="D1236" s="16" t="s">
        <v>19</v>
      </c>
      <c r="E1236" s="16" t="s">
        <v>53</v>
      </c>
      <c r="F1236" s="16" t="str">
        <f>"2170719354 "</f>
        <v xml:space="preserve">2170719354 </v>
      </c>
      <c r="G1236" s="16" t="str">
        <f t="shared" si="34"/>
        <v>ON1</v>
      </c>
      <c r="H1236" s="16" t="s">
        <v>21</v>
      </c>
      <c r="I1236" s="16" t="s">
        <v>54</v>
      </c>
      <c r="J1236" s="16" t="str">
        <f>""</f>
        <v/>
      </c>
      <c r="K1236" s="16" t="str">
        <f>"PFES1162728006_0001"</f>
        <v>PFES1162728006_0001</v>
      </c>
      <c r="L1236" s="16">
        <v>1</v>
      </c>
      <c r="M1236" s="16">
        <v>1</v>
      </c>
    </row>
    <row r="1237" spans="1:13">
      <c r="A1237" s="7">
        <v>43811</v>
      </c>
      <c r="B1237" s="8">
        <v>0.53125</v>
      </c>
      <c r="C1237" s="16" t="str">
        <f>"FES1162728113"</f>
        <v>FES1162728113</v>
      </c>
      <c r="D1237" s="16" t="s">
        <v>19</v>
      </c>
      <c r="E1237" s="16" t="s">
        <v>69</v>
      </c>
      <c r="F1237" s="16" t="str">
        <f>"2170718648 "</f>
        <v xml:space="preserve">2170718648 </v>
      </c>
      <c r="G1237" s="16" t="str">
        <f t="shared" si="34"/>
        <v>ON1</v>
      </c>
      <c r="H1237" s="16" t="s">
        <v>21</v>
      </c>
      <c r="I1237" s="16" t="s">
        <v>70</v>
      </c>
      <c r="J1237" s="16" t="str">
        <f>""</f>
        <v/>
      </c>
      <c r="K1237" s="16" t="str">
        <f>"PFES1162728113_0001"</f>
        <v>PFES1162728113_0001</v>
      </c>
      <c r="L1237" s="16">
        <v>1</v>
      </c>
      <c r="M1237" s="16">
        <v>1</v>
      </c>
    </row>
    <row r="1238" spans="1:13">
      <c r="A1238" s="7">
        <v>43811</v>
      </c>
      <c r="B1238" s="8">
        <v>0.52222222222222225</v>
      </c>
      <c r="C1238" s="16" t="str">
        <f>"FES1162728041"</f>
        <v>FES1162728041</v>
      </c>
      <c r="D1238" s="16" t="s">
        <v>19</v>
      </c>
      <c r="E1238" s="16" t="s">
        <v>324</v>
      </c>
      <c r="F1238" s="16" t="str">
        <f>"2170717632 "</f>
        <v xml:space="preserve">2170717632 </v>
      </c>
      <c r="G1238" s="16" t="str">
        <f t="shared" si="34"/>
        <v>ON1</v>
      </c>
      <c r="H1238" s="16" t="s">
        <v>21</v>
      </c>
      <c r="I1238" s="16" t="s">
        <v>325</v>
      </c>
      <c r="J1238" s="16" t="str">
        <f>""</f>
        <v/>
      </c>
      <c r="K1238" s="16" t="str">
        <f>"PFES1162728041_0001"</f>
        <v>PFES1162728041_0001</v>
      </c>
      <c r="L1238" s="16">
        <v>1</v>
      </c>
      <c r="M1238" s="16">
        <v>2</v>
      </c>
    </row>
    <row r="1239" spans="1:13">
      <c r="A1239" s="7">
        <v>43811</v>
      </c>
      <c r="B1239" s="8">
        <v>0.52222222222222225</v>
      </c>
      <c r="C1239" s="16" t="str">
        <f>"FES1162728158"</f>
        <v>FES1162728158</v>
      </c>
      <c r="D1239" s="16" t="s">
        <v>19</v>
      </c>
      <c r="E1239" s="16" t="s">
        <v>324</v>
      </c>
      <c r="F1239" s="16" t="str">
        <f>"2170719123 "</f>
        <v xml:space="preserve">2170719123 </v>
      </c>
      <c r="G1239" s="16" t="str">
        <f t="shared" si="34"/>
        <v>ON1</v>
      </c>
      <c r="H1239" s="16" t="s">
        <v>21</v>
      </c>
      <c r="I1239" s="16" t="s">
        <v>325</v>
      </c>
      <c r="J1239" s="16" t="str">
        <f>""</f>
        <v/>
      </c>
      <c r="K1239" s="16" t="str">
        <f>"PFES1162728158_0001"</f>
        <v>PFES1162728158_0001</v>
      </c>
      <c r="L1239" s="16">
        <v>1</v>
      </c>
      <c r="M1239" s="16">
        <v>2</v>
      </c>
    </row>
    <row r="1240" spans="1:13">
      <c r="A1240" s="7">
        <v>43811</v>
      </c>
      <c r="B1240" s="8">
        <v>0.52152777777777781</v>
      </c>
      <c r="C1240" s="16" t="str">
        <f>"FES1162728051"</f>
        <v>FES1162728051</v>
      </c>
      <c r="D1240" s="16" t="s">
        <v>19</v>
      </c>
      <c r="E1240" s="16" t="s">
        <v>425</v>
      </c>
      <c r="F1240" s="16" t="str">
        <f>"2170714992 "</f>
        <v xml:space="preserve">2170714992 </v>
      </c>
      <c r="G1240" s="16" t="str">
        <f t="shared" si="34"/>
        <v>ON1</v>
      </c>
      <c r="H1240" s="16" t="s">
        <v>21</v>
      </c>
      <c r="I1240" s="16" t="s">
        <v>426</v>
      </c>
      <c r="J1240" s="16" t="str">
        <f>""</f>
        <v/>
      </c>
      <c r="K1240" s="16" t="str">
        <f>"PFES1162728051_0001"</f>
        <v>PFES1162728051_0001</v>
      </c>
      <c r="L1240" s="16">
        <v>1</v>
      </c>
      <c r="M1240" s="16">
        <v>1</v>
      </c>
    </row>
    <row r="1241" spans="1:13">
      <c r="A1241" s="7">
        <v>43811</v>
      </c>
      <c r="B1241" s="8">
        <v>0.52152777777777781</v>
      </c>
      <c r="C1241" s="16" t="str">
        <f>"FES1162727956"</f>
        <v>FES1162727956</v>
      </c>
      <c r="D1241" s="16" t="s">
        <v>19</v>
      </c>
      <c r="E1241" s="16" t="s">
        <v>352</v>
      </c>
      <c r="F1241" s="16" t="str">
        <f>"2170720857 "</f>
        <v xml:space="preserve">2170720857 </v>
      </c>
      <c r="G1241" s="16" t="str">
        <f t="shared" si="34"/>
        <v>ON1</v>
      </c>
      <c r="H1241" s="16" t="s">
        <v>21</v>
      </c>
      <c r="I1241" s="16" t="s">
        <v>353</v>
      </c>
      <c r="J1241" s="16" t="str">
        <f>""</f>
        <v/>
      </c>
      <c r="K1241" s="16" t="str">
        <f>"PFES1162727956_0001"</f>
        <v>PFES1162727956_0001</v>
      </c>
      <c r="L1241" s="16">
        <v>1</v>
      </c>
      <c r="M1241" s="16">
        <v>3</v>
      </c>
    </row>
    <row r="1242" spans="1:13">
      <c r="A1242" s="7">
        <v>43811</v>
      </c>
      <c r="B1242" s="8">
        <v>0.52083333333333337</v>
      </c>
      <c r="C1242" s="16" t="str">
        <f>"FES1162728024"</f>
        <v>FES1162728024</v>
      </c>
      <c r="D1242" s="16" t="s">
        <v>19</v>
      </c>
      <c r="E1242" s="16" t="s">
        <v>689</v>
      </c>
      <c r="F1242" s="16" t="str">
        <f>"2170721449 "</f>
        <v xml:space="preserve">2170721449 </v>
      </c>
      <c r="G1242" s="16" t="str">
        <f t="shared" si="34"/>
        <v>ON1</v>
      </c>
      <c r="H1242" s="16" t="s">
        <v>21</v>
      </c>
      <c r="I1242" s="16" t="s">
        <v>685</v>
      </c>
      <c r="J1242" s="16" t="str">
        <f>""</f>
        <v/>
      </c>
      <c r="K1242" s="16" t="str">
        <f>"PFES1162728024_0001"</f>
        <v>PFES1162728024_0001</v>
      </c>
      <c r="L1242" s="16">
        <v>1</v>
      </c>
      <c r="M1242" s="16">
        <v>1</v>
      </c>
    </row>
    <row r="1243" spans="1:13">
      <c r="A1243" s="7">
        <v>43811</v>
      </c>
      <c r="B1243" s="8">
        <v>0.52083333333333337</v>
      </c>
      <c r="C1243" s="16" t="str">
        <f>"FES1162727958"</f>
        <v>FES1162727958</v>
      </c>
      <c r="D1243" s="16" t="s">
        <v>19</v>
      </c>
      <c r="E1243" s="16" t="s">
        <v>690</v>
      </c>
      <c r="F1243" s="16" t="str">
        <f>"2170721442 "</f>
        <v xml:space="preserve">2170721442 </v>
      </c>
      <c r="G1243" s="16" t="str">
        <f t="shared" si="34"/>
        <v>ON1</v>
      </c>
      <c r="H1243" s="16" t="s">
        <v>21</v>
      </c>
      <c r="I1243" s="16" t="s">
        <v>70</v>
      </c>
      <c r="J1243" s="16" t="str">
        <f>""</f>
        <v/>
      </c>
      <c r="K1243" s="16" t="str">
        <f>"PFES1162727958_0001"</f>
        <v>PFES1162727958_0001</v>
      </c>
      <c r="L1243" s="16">
        <v>1</v>
      </c>
      <c r="M1243" s="16">
        <v>2</v>
      </c>
    </row>
    <row r="1244" spans="1:13">
      <c r="A1244" s="7">
        <v>43811</v>
      </c>
      <c r="B1244" s="8">
        <v>0.52013888888888882</v>
      </c>
      <c r="C1244" s="16" t="str">
        <f>"FES1162727953"</f>
        <v>FES1162727953</v>
      </c>
      <c r="D1244" s="16" t="s">
        <v>19</v>
      </c>
      <c r="E1244" s="16" t="s">
        <v>351</v>
      </c>
      <c r="F1244" s="16" t="str">
        <f>"2170721440 "</f>
        <v xml:space="preserve">2170721440 </v>
      </c>
      <c r="G1244" s="16" t="str">
        <f t="shared" si="34"/>
        <v>ON1</v>
      </c>
      <c r="H1244" s="16" t="s">
        <v>21</v>
      </c>
      <c r="I1244" s="16" t="s">
        <v>70</v>
      </c>
      <c r="J1244" s="16" t="str">
        <f>""</f>
        <v/>
      </c>
      <c r="K1244" s="16" t="str">
        <f>"PFES1162727953_0001"</f>
        <v>PFES1162727953_0001</v>
      </c>
      <c r="L1244" s="16">
        <v>1</v>
      </c>
      <c r="M1244" s="16">
        <v>4</v>
      </c>
    </row>
    <row r="1245" spans="1:13">
      <c r="A1245" s="7">
        <v>43811</v>
      </c>
      <c r="B1245" s="8">
        <v>0.52013888888888882</v>
      </c>
      <c r="C1245" s="16" t="str">
        <f>"FES1162727969"</f>
        <v>FES1162727969</v>
      </c>
      <c r="D1245" s="16" t="s">
        <v>19</v>
      </c>
      <c r="E1245" s="16" t="s">
        <v>59</v>
      </c>
      <c r="F1245" s="16" t="str">
        <f>"2170718867 "</f>
        <v xml:space="preserve">2170718867 </v>
      </c>
      <c r="G1245" s="16" t="str">
        <f t="shared" si="34"/>
        <v>ON1</v>
      </c>
      <c r="H1245" s="16" t="s">
        <v>21</v>
      </c>
      <c r="I1245" s="16" t="s">
        <v>60</v>
      </c>
      <c r="J1245" s="16" t="str">
        <f>""</f>
        <v/>
      </c>
      <c r="K1245" s="16" t="str">
        <f>"PFES1162727969_0001"</f>
        <v>PFES1162727969_0001</v>
      </c>
      <c r="L1245" s="16">
        <v>1</v>
      </c>
      <c r="M1245" s="16">
        <v>2</v>
      </c>
    </row>
    <row r="1246" spans="1:13">
      <c r="A1246" s="7">
        <v>43811</v>
      </c>
      <c r="B1246" s="8">
        <v>0.51944444444444449</v>
      </c>
      <c r="C1246" s="16" t="str">
        <f>"FES1162728123"</f>
        <v>FES1162728123</v>
      </c>
      <c r="D1246" s="16" t="s">
        <v>19</v>
      </c>
      <c r="E1246" s="16" t="s">
        <v>534</v>
      </c>
      <c r="F1246" s="16" t="str">
        <f>"2170718764 "</f>
        <v xml:space="preserve">2170718764 </v>
      </c>
      <c r="G1246" s="16" t="str">
        <f t="shared" si="34"/>
        <v>ON1</v>
      </c>
      <c r="H1246" s="16" t="s">
        <v>21</v>
      </c>
      <c r="I1246" s="16" t="s">
        <v>535</v>
      </c>
      <c r="J1246" s="16" t="str">
        <f>""</f>
        <v/>
      </c>
      <c r="K1246" s="16" t="str">
        <f>"PFES1162728123_0001"</f>
        <v>PFES1162728123_0001</v>
      </c>
      <c r="L1246" s="16">
        <v>1</v>
      </c>
      <c r="M1246" s="16">
        <v>2</v>
      </c>
    </row>
    <row r="1247" spans="1:13">
      <c r="A1247" s="7">
        <v>43811</v>
      </c>
      <c r="B1247" s="8">
        <v>0.51874999999999993</v>
      </c>
      <c r="C1247" s="16" t="str">
        <f>"FES1162728124"</f>
        <v>FES1162728124</v>
      </c>
      <c r="D1247" s="16" t="s">
        <v>19</v>
      </c>
      <c r="E1247" s="16" t="s">
        <v>534</v>
      </c>
      <c r="F1247" s="16" t="str">
        <f>"2170718768 "</f>
        <v xml:space="preserve">2170718768 </v>
      </c>
      <c r="G1247" s="16" t="str">
        <f t="shared" si="34"/>
        <v>ON1</v>
      </c>
      <c r="H1247" s="16" t="s">
        <v>21</v>
      </c>
      <c r="I1247" s="16" t="s">
        <v>535</v>
      </c>
      <c r="J1247" s="16" t="str">
        <f>""</f>
        <v/>
      </c>
      <c r="K1247" s="16" t="str">
        <f>"PFES1162728124_0001"</f>
        <v>PFES1162728124_0001</v>
      </c>
      <c r="L1247" s="16">
        <v>2</v>
      </c>
      <c r="M1247" s="16">
        <v>3</v>
      </c>
    </row>
    <row r="1248" spans="1:13">
      <c r="A1248" s="7">
        <v>43811</v>
      </c>
      <c r="B1248" s="8">
        <v>0.51874999999999993</v>
      </c>
      <c r="C1248" s="16" t="str">
        <f>"FES1162728124"</f>
        <v>FES1162728124</v>
      </c>
      <c r="D1248" s="16" t="s">
        <v>19</v>
      </c>
      <c r="E1248" s="16" t="s">
        <v>534</v>
      </c>
      <c r="F1248" s="16" t="str">
        <f>"2170718768 "</f>
        <v xml:space="preserve">2170718768 </v>
      </c>
      <c r="G1248" s="16" t="str">
        <f t="shared" si="34"/>
        <v>ON1</v>
      </c>
      <c r="H1248" s="16" t="s">
        <v>21</v>
      </c>
      <c r="I1248" s="16" t="s">
        <v>535</v>
      </c>
      <c r="J1248" s="16"/>
      <c r="K1248" s="16" t="str">
        <f>"PFES1162728124_0002"</f>
        <v>PFES1162728124_0002</v>
      </c>
      <c r="L1248" s="16">
        <v>2</v>
      </c>
      <c r="M1248" s="16">
        <v>3</v>
      </c>
    </row>
    <row r="1249" spans="1:13">
      <c r="A1249" s="7">
        <v>43811</v>
      </c>
      <c r="B1249" s="8">
        <v>0.51874999999999993</v>
      </c>
      <c r="C1249" s="16" t="str">
        <f>"FES1162728017"</f>
        <v>FES1162728017</v>
      </c>
      <c r="D1249" s="16" t="s">
        <v>19</v>
      </c>
      <c r="E1249" s="16" t="s">
        <v>208</v>
      </c>
      <c r="F1249" s="16" t="str">
        <f>"2170720264 "</f>
        <v xml:space="preserve">2170720264 </v>
      </c>
      <c r="G1249" s="16" t="str">
        <f>"ON1"</f>
        <v>ON1</v>
      </c>
      <c r="H1249" s="16" t="s">
        <v>21</v>
      </c>
      <c r="I1249" s="16" t="s">
        <v>155</v>
      </c>
      <c r="J1249" s="16" t="str">
        <f>""</f>
        <v/>
      </c>
      <c r="K1249" s="16" t="str">
        <f>"PFES1162728017_0001"</f>
        <v>PFES1162728017_0001</v>
      </c>
      <c r="L1249" s="16">
        <v>1</v>
      </c>
      <c r="M1249" s="16">
        <v>4</v>
      </c>
    </row>
    <row r="1250" spans="1:13">
      <c r="A1250" s="7">
        <v>43811</v>
      </c>
      <c r="B1250" s="8">
        <v>0.5180555555555556</v>
      </c>
      <c r="C1250" s="16" t="str">
        <f>"FES1162727944"</f>
        <v>FES1162727944</v>
      </c>
      <c r="D1250" s="16" t="s">
        <v>19</v>
      </c>
      <c r="E1250" s="16" t="s">
        <v>566</v>
      </c>
      <c r="F1250" s="16" t="str">
        <f>"2170721426 "</f>
        <v xml:space="preserve">2170721426 </v>
      </c>
      <c r="G1250" s="16" t="str">
        <f>"ON1"</f>
        <v>ON1</v>
      </c>
      <c r="H1250" s="16" t="s">
        <v>21</v>
      </c>
      <c r="I1250" s="16" t="s">
        <v>489</v>
      </c>
      <c r="J1250" s="16" t="str">
        <f>""</f>
        <v/>
      </c>
      <c r="K1250" s="16" t="str">
        <f>"PFES1162727944_0001"</f>
        <v>PFES1162727944_0001</v>
      </c>
      <c r="L1250" s="16">
        <v>1</v>
      </c>
      <c r="M1250" s="16">
        <v>4</v>
      </c>
    </row>
    <row r="1251" spans="1:13">
      <c r="A1251" s="7">
        <v>43811</v>
      </c>
      <c r="B1251" s="8">
        <v>0.5180555555555556</v>
      </c>
      <c r="C1251" s="16" t="str">
        <f>"FES1162728196"</f>
        <v>FES1162728196</v>
      </c>
      <c r="D1251" s="16" t="s">
        <v>19</v>
      </c>
      <c r="E1251" s="16" t="s">
        <v>488</v>
      </c>
      <c r="F1251" s="16" t="str">
        <f>"2170718440 "</f>
        <v xml:space="preserve">2170718440 </v>
      </c>
      <c r="G1251" s="16" t="str">
        <f>"ON1"</f>
        <v>ON1</v>
      </c>
      <c r="H1251" s="16" t="s">
        <v>21</v>
      </c>
      <c r="I1251" s="16" t="s">
        <v>489</v>
      </c>
      <c r="J1251" s="16" t="str">
        <f>""</f>
        <v/>
      </c>
      <c r="K1251" s="16" t="str">
        <f>"PFES1162728196_0001"</f>
        <v>PFES1162728196_0001</v>
      </c>
      <c r="L1251" s="16">
        <v>1</v>
      </c>
      <c r="M1251" s="16">
        <v>1</v>
      </c>
    </row>
    <row r="1252" spans="1:13">
      <c r="A1252" s="7">
        <v>43811</v>
      </c>
      <c r="B1252" s="8">
        <v>0.5180555555555556</v>
      </c>
      <c r="C1252" s="16" t="str">
        <f>"FES1162728021"</f>
        <v>FES1162728021</v>
      </c>
      <c r="D1252" s="16" t="s">
        <v>19</v>
      </c>
      <c r="E1252" s="16" t="s">
        <v>691</v>
      </c>
      <c r="F1252" s="16" t="str">
        <f>"2170721214 "</f>
        <v xml:space="preserve">2170721214 </v>
      </c>
      <c r="G1252" s="16" t="str">
        <f>"ON1"</f>
        <v>ON1</v>
      </c>
      <c r="H1252" s="16" t="s">
        <v>21</v>
      </c>
      <c r="I1252" s="16" t="s">
        <v>175</v>
      </c>
      <c r="J1252" s="16" t="str">
        <f>""</f>
        <v/>
      </c>
      <c r="K1252" s="16" t="str">
        <f>"PFES1162728021_0001"</f>
        <v>PFES1162728021_0001</v>
      </c>
      <c r="L1252" s="16">
        <v>1</v>
      </c>
      <c r="M1252" s="16">
        <v>1</v>
      </c>
    </row>
    <row r="1253" spans="1:13">
      <c r="A1253" s="7">
        <v>43811</v>
      </c>
      <c r="B1253" s="8">
        <v>0.51736111111111105</v>
      </c>
      <c r="C1253" s="16" t="str">
        <f>"FES1162728148"</f>
        <v>FES1162728148</v>
      </c>
      <c r="D1253" s="16" t="s">
        <v>19</v>
      </c>
      <c r="E1253" s="16" t="s">
        <v>373</v>
      </c>
      <c r="F1253" s="16" t="str">
        <f>"2170721302 "</f>
        <v xml:space="preserve">2170721302 </v>
      </c>
      <c r="G1253" s="16" t="str">
        <f>"ON1"</f>
        <v>ON1</v>
      </c>
      <c r="H1253" s="16" t="s">
        <v>21</v>
      </c>
      <c r="I1253" s="16" t="s">
        <v>374</v>
      </c>
      <c r="J1253" s="16" t="str">
        <f>""</f>
        <v/>
      </c>
      <c r="K1253" s="16" t="str">
        <f>"PFES1162728148_0001"</f>
        <v>PFES1162728148_0001</v>
      </c>
      <c r="L1253" s="16">
        <v>1</v>
      </c>
      <c r="M1253" s="16">
        <v>1</v>
      </c>
    </row>
    <row r="1254" spans="1:13">
      <c r="A1254" s="7">
        <v>43811</v>
      </c>
      <c r="B1254" s="8">
        <v>0.51666666666666672</v>
      </c>
      <c r="C1254" s="16" t="str">
        <f>"FES1162727998"</f>
        <v>FES1162727998</v>
      </c>
      <c r="D1254" s="16" t="s">
        <v>19</v>
      </c>
      <c r="E1254" s="16" t="s">
        <v>307</v>
      </c>
      <c r="F1254" s="16" t="str">
        <f>"2170719272 "</f>
        <v xml:space="preserve">2170719272 </v>
      </c>
      <c r="G1254" s="16" t="str">
        <f>"DBC"</f>
        <v>DBC</v>
      </c>
      <c r="H1254" s="16" t="s">
        <v>21</v>
      </c>
      <c r="I1254" s="16" t="s">
        <v>308</v>
      </c>
      <c r="J1254" s="16" t="str">
        <f>""</f>
        <v/>
      </c>
      <c r="K1254" s="16" t="str">
        <f>"PFES1162727998_0001"</f>
        <v>PFES1162727998_0001</v>
      </c>
      <c r="L1254" s="16">
        <v>1</v>
      </c>
      <c r="M1254" s="16">
        <v>20</v>
      </c>
    </row>
    <row r="1255" spans="1:13">
      <c r="A1255" s="7">
        <v>43811</v>
      </c>
      <c r="B1255" s="8">
        <v>0.51666666666666672</v>
      </c>
      <c r="C1255" s="16" t="str">
        <f>"FES1162728067"</f>
        <v>FES1162728067</v>
      </c>
      <c r="D1255" s="16" t="s">
        <v>19</v>
      </c>
      <c r="E1255" s="16" t="s">
        <v>290</v>
      </c>
      <c r="F1255" s="16" t="str">
        <f>"2170718216 "</f>
        <v xml:space="preserve">2170718216 </v>
      </c>
      <c r="G1255" s="16" t="str">
        <f t="shared" ref="G1255:G1318" si="35">"ON1"</f>
        <v>ON1</v>
      </c>
      <c r="H1255" s="16" t="s">
        <v>21</v>
      </c>
      <c r="I1255" s="16" t="s">
        <v>123</v>
      </c>
      <c r="J1255" s="16" t="str">
        <f>""</f>
        <v/>
      </c>
      <c r="K1255" s="16" t="str">
        <f>"PFES1162728067_0001"</f>
        <v>PFES1162728067_0001</v>
      </c>
      <c r="L1255" s="16">
        <v>1</v>
      </c>
      <c r="M1255" s="16">
        <v>1</v>
      </c>
    </row>
    <row r="1256" spans="1:13">
      <c r="A1256" s="7">
        <v>43811</v>
      </c>
      <c r="B1256" s="8">
        <v>0.51666666666666672</v>
      </c>
      <c r="C1256" s="16" t="str">
        <f>"FES1162728105"</f>
        <v>FES1162728105</v>
      </c>
      <c r="D1256" s="16" t="s">
        <v>19</v>
      </c>
      <c r="E1256" s="16" t="s">
        <v>692</v>
      </c>
      <c r="F1256" s="16" t="str">
        <f>"2170718631 "</f>
        <v xml:space="preserve">2170718631 </v>
      </c>
      <c r="G1256" s="16" t="str">
        <f t="shared" si="35"/>
        <v>ON1</v>
      </c>
      <c r="H1256" s="16" t="s">
        <v>21</v>
      </c>
      <c r="I1256" s="16" t="s">
        <v>693</v>
      </c>
      <c r="J1256" s="16" t="str">
        <f>""</f>
        <v/>
      </c>
      <c r="K1256" s="16" t="str">
        <f>"PFES1162728105_0001"</f>
        <v>PFES1162728105_0001</v>
      </c>
      <c r="L1256" s="16">
        <v>1</v>
      </c>
      <c r="M1256" s="16">
        <v>1</v>
      </c>
    </row>
    <row r="1257" spans="1:13">
      <c r="A1257" s="7">
        <v>43811</v>
      </c>
      <c r="B1257" s="8">
        <v>0.51597222222222217</v>
      </c>
      <c r="C1257" s="16" t="str">
        <f>"FES1162728010"</f>
        <v>FES1162728010</v>
      </c>
      <c r="D1257" s="16" t="s">
        <v>19</v>
      </c>
      <c r="E1257" s="16" t="s">
        <v>694</v>
      </c>
      <c r="F1257" s="16" t="str">
        <f>"2170719490 "</f>
        <v xml:space="preserve">2170719490 </v>
      </c>
      <c r="G1257" s="16" t="str">
        <f t="shared" si="35"/>
        <v>ON1</v>
      </c>
      <c r="H1257" s="16" t="s">
        <v>21</v>
      </c>
      <c r="I1257" s="16" t="s">
        <v>78</v>
      </c>
      <c r="J1257" s="16" t="str">
        <f>""</f>
        <v/>
      </c>
      <c r="K1257" s="16" t="str">
        <f>"PFES1162728010_0001"</f>
        <v>PFES1162728010_0001</v>
      </c>
      <c r="L1257" s="16">
        <v>1</v>
      </c>
      <c r="M1257" s="16">
        <v>1</v>
      </c>
    </row>
    <row r="1258" spans="1:13">
      <c r="A1258" s="7">
        <v>43811</v>
      </c>
      <c r="B1258" s="8">
        <v>0.51597222222222217</v>
      </c>
      <c r="C1258" s="16" t="str">
        <f>"FES1162728014"</f>
        <v>FES1162728014</v>
      </c>
      <c r="D1258" s="16" t="s">
        <v>19</v>
      </c>
      <c r="E1258" s="16" t="s">
        <v>215</v>
      </c>
      <c r="F1258" s="16" t="str">
        <f>"2170719815 "</f>
        <v xml:space="preserve">2170719815 </v>
      </c>
      <c r="G1258" s="16" t="str">
        <f t="shared" si="35"/>
        <v>ON1</v>
      </c>
      <c r="H1258" s="16" t="s">
        <v>21</v>
      </c>
      <c r="I1258" s="16" t="s">
        <v>216</v>
      </c>
      <c r="J1258" s="16" t="str">
        <f>""</f>
        <v/>
      </c>
      <c r="K1258" s="16" t="str">
        <f>"PFES1162728014_0001"</f>
        <v>PFES1162728014_0001</v>
      </c>
      <c r="L1258" s="16">
        <v>1</v>
      </c>
      <c r="M1258" s="16">
        <v>1</v>
      </c>
    </row>
    <row r="1259" spans="1:13">
      <c r="A1259" s="7">
        <v>43811</v>
      </c>
      <c r="B1259" s="8">
        <v>0.51597222222222217</v>
      </c>
      <c r="C1259" s="16" t="str">
        <f>"FES1162728185"</f>
        <v>FES1162728185</v>
      </c>
      <c r="D1259" s="16" t="s">
        <v>19</v>
      </c>
      <c r="E1259" s="16" t="s">
        <v>44</v>
      </c>
      <c r="F1259" s="16" t="str">
        <f>"2170721516 "</f>
        <v xml:space="preserve">2170721516 </v>
      </c>
      <c r="G1259" s="16" t="str">
        <f t="shared" si="35"/>
        <v>ON1</v>
      </c>
      <c r="H1259" s="16" t="s">
        <v>21</v>
      </c>
      <c r="I1259" s="16" t="s">
        <v>45</v>
      </c>
      <c r="J1259" s="16" t="str">
        <f>""</f>
        <v/>
      </c>
      <c r="K1259" s="16" t="str">
        <f>"PFES1162728185_0001"</f>
        <v>PFES1162728185_0001</v>
      </c>
      <c r="L1259" s="16">
        <v>1</v>
      </c>
      <c r="M1259" s="16">
        <v>1</v>
      </c>
    </row>
    <row r="1260" spans="1:13">
      <c r="A1260" s="7">
        <v>43811</v>
      </c>
      <c r="B1260" s="8">
        <v>0.51527777777777783</v>
      </c>
      <c r="C1260" s="16" t="str">
        <f>"FES1162728163"</f>
        <v>FES1162728163</v>
      </c>
      <c r="D1260" s="16" t="s">
        <v>19</v>
      </c>
      <c r="E1260" s="16" t="s">
        <v>44</v>
      </c>
      <c r="F1260" s="16" t="str">
        <f>"2170720309 "</f>
        <v xml:space="preserve">2170720309 </v>
      </c>
      <c r="G1260" s="16" t="str">
        <f t="shared" si="35"/>
        <v>ON1</v>
      </c>
      <c r="H1260" s="16" t="s">
        <v>21</v>
      </c>
      <c r="I1260" s="16" t="s">
        <v>45</v>
      </c>
      <c r="J1260" s="16" t="str">
        <f>""</f>
        <v/>
      </c>
      <c r="K1260" s="16" t="str">
        <f>"PFES1162728163_0001"</f>
        <v>PFES1162728163_0001</v>
      </c>
      <c r="L1260" s="16">
        <v>1</v>
      </c>
      <c r="M1260" s="16">
        <v>1</v>
      </c>
    </row>
    <row r="1261" spans="1:13">
      <c r="A1261" s="7">
        <v>43811</v>
      </c>
      <c r="B1261" s="8">
        <v>0.51527777777777783</v>
      </c>
      <c r="C1261" s="16" t="str">
        <f>"FES1162727961"</f>
        <v>FES1162727961</v>
      </c>
      <c r="D1261" s="16" t="s">
        <v>19</v>
      </c>
      <c r="E1261" s="16" t="s">
        <v>695</v>
      </c>
      <c r="F1261" s="16" t="str">
        <f>"2170717742 "</f>
        <v xml:space="preserve">2170717742 </v>
      </c>
      <c r="G1261" s="16" t="str">
        <f t="shared" si="35"/>
        <v>ON1</v>
      </c>
      <c r="H1261" s="16" t="s">
        <v>21</v>
      </c>
      <c r="I1261" s="16" t="s">
        <v>78</v>
      </c>
      <c r="J1261" s="16" t="str">
        <f>""</f>
        <v/>
      </c>
      <c r="K1261" s="16" t="str">
        <f>"PFES1162727961_0001"</f>
        <v>PFES1162727961_0001</v>
      </c>
      <c r="L1261" s="16">
        <v>1</v>
      </c>
      <c r="M1261" s="16">
        <v>1</v>
      </c>
    </row>
    <row r="1262" spans="1:13">
      <c r="A1262" s="7">
        <v>43811</v>
      </c>
      <c r="B1262" s="8">
        <v>0.51527777777777783</v>
      </c>
      <c r="C1262" s="16" t="str">
        <f>"FES1162727977"</f>
        <v>FES1162727977</v>
      </c>
      <c r="D1262" s="16" t="s">
        <v>19</v>
      </c>
      <c r="E1262" s="16" t="s">
        <v>696</v>
      </c>
      <c r="F1262" s="16" t="str">
        <f>"2170718984 "</f>
        <v xml:space="preserve">2170718984 </v>
      </c>
      <c r="G1262" s="16" t="str">
        <f t="shared" si="35"/>
        <v>ON1</v>
      </c>
      <c r="H1262" s="16" t="s">
        <v>21</v>
      </c>
      <c r="I1262" s="16" t="s">
        <v>41</v>
      </c>
      <c r="J1262" s="16" t="str">
        <f>""</f>
        <v/>
      </c>
      <c r="K1262" s="16" t="str">
        <f>"PFES1162727977_0001"</f>
        <v>PFES1162727977_0001</v>
      </c>
      <c r="L1262" s="16">
        <v>1</v>
      </c>
      <c r="M1262" s="16">
        <v>1</v>
      </c>
    </row>
    <row r="1263" spans="1:13">
      <c r="A1263" s="7">
        <v>43811</v>
      </c>
      <c r="B1263" s="8">
        <v>0.51458333333333328</v>
      </c>
      <c r="C1263" s="16" t="str">
        <f>"FES1162727975"</f>
        <v>FES1162727975</v>
      </c>
      <c r="D1263" s="16" t="s">
        <v>19</v>
      </c>
      <c r="E1263" s="16" t="s">
        <v>215</v>
      </c>
      <c r="F1263" s="16" t="str">
        <f>"21718944 "</f>
        <v xml:space="preserve">21718944 </v>
      </c>
      <c r="G1263" s="16" t="str">
        <f t="shared" si="35"/>
        <v>ON1</v>
      </c>
      <c r="H1263" s="16" t="s">
        <v>21</v>
      </c>
      <c r="I1263" s="16" t="s">
        <v>216</v>
      </c>
      <c r="J1263" s="16" t="str">
        <f>""</f>
        <v/>
      </c>
      <c r="K1263" s="16" t="str">
        <f>"PFES1162727975_0001"</f>
        <v>PFES1162727975_0001</v>
      </c>
      <c r="L1263" s="16">
        <v>1</v>
      </c>
      <c r="M1263" s="16">
        <v>1</v>
      </c>
    </row>
    <row r="1264" spans="1:13">
      <c r="A1264" s="7">
        <v>43811</v>
      </c>
      <c r="B1264" s="8">
        <v>0.51458333333333328</v>
      </c>
      <c r="C1264" s="16" t="str">
        <f>"FES1162728013"</f>
        <v>FES1162728013</v>
      </c>
      <c r="D1264" s="16" t="s">
        <v>19</v>
      </c>
      <c r="E1264" s="16" t="s">
        <v>215</v>
      </c>
      <c r="F1264" s="16" t="str">
        <f>"2170719809 "</f>
        <v xml:space="preserve">2170719809 </v>
      </c>
      <c r="G1264" s="16" t="str">
        <f t="shared" si="35"/>
        <v>ON1</v>
      </c>
      <c r="H1264" s="16" t="s">
        <v>21</v>
      </c>
      <c r="I1264" s="16" t="s">
        <v>216</v>
      </c>
      <c r="J1264" s="16" t="str">
        <f>""</f>
        <v/>
      </c>
      <c r="K1264" s="16" t="str">
        <f>"PFES1162728013_0001"</f>
        <v>PFES1162728013_0001</v>
      </c>
      <c r="L1264" s="16">
        <v>1</v>
      </c>
      <c r="M1264" s="16">
        <v>1</v>
      </c>
    </row>
    <row r="1265" spans="1:13">
      <c r="A1265" s="7">
        <v>43811</v>
      </c>
      <c r="B1265" s="8">
        <v>0.51458333333333328</v>
      </c>
      <c r="C1265" s="16" t="str">
        <f>"FES1162727978"</f>
        <v>FES1162727978</v>
      </c>
      <c r="D1265" s="16" t="s">
        <v>19</v>
      </c>
      <c r="E1265" s="16" t="s">
        <v>124</v>
      </c>
      <c r="F1265" s="16" t="str">
        <f>"2170719003 "</f>
        <v xml:space="preserve">2170719003 </v>
      </c>
      <c r="G1265" s="16" t="str">
        <f t="shared" si="35"/>
        <v>ON1</v>
      </c>
      <c r="H1265" s="16" t="s">
        <v>21</v>
      </c>
      <c r="I1265" s="16" t="s">
        <v>125</v>
      </c>
      <c r="J1265" s="16" t="str">
        <f>""</f>
        <v/>
      </c>
      <c r="K1265" s="16" t="str">
        <f>"PFES1162727978_0001"</f>
        <v>PFES1162727978_0001</v>
      </c>
      <c r="L1265" s="16">
        <v>1</v>
      </c>
      <c r="M1265" s="16">
        <v>1</v>
      </c>
    </row>
    <row r="1266" spans="1:13">
      <c r="A1266" s="7">
        <v>43811</v>
      </c>
      <c r="B1266" s="8">
        <v>0.51388888888888895</v>
      </c>
      <c r="C1266" s="16" t="str">
        <f>"FES1162728103"</f>
        <v>FES1162728103</v>
      </c>
      <c r="D1266" s="16" t="s">
        <v>19</v>
      </c>
      <c r="E1266" s="16" t="s">
        <v>670</v>
      </c>
      <c r="F1266" s="16" t="str">
        <f>"2170715627 "</f>
        <v xml:space="preserve">2170715627 </v>
      </c>
      <c r="G1266" s="16" t="str">
        <f t="shared" si="35"/>
        <v>ON1</v>
      </c>
      <c r="H1266" s="16" t="s">
        <v>21</v>
      </c>
      <c r="I1266" s="16" t="s">
        <v>562</v>
      </c>
      <c r="J1266" s="16" t="str">
        <f>""</f>
        <v/>
      </c>
      <c r="K1266" s="16" t="str">
        <f>"PFES1162728103_0001"</f>
        <v>PFES1162728103_0001</v>
      </c>
      <c r="L1266" s="16">
        <v>1</v>
      </c>
      <c r="M1266" s="16">
        <v>1</v>
      </c>
    </row>
    <row r="1267" spans="1:13">
      <c r="A1267" s="7">
        <v>43811</v>
      </c>
      <c r="B1267" s="8">
        <v>0.5131944444444444</v>
      </c>
      <c r="C1267" s="16" t="str">
        <f>"FES1162728168"</f>
        <v>FES1162728168</v>
      </c>
      <c r="D1267" s="16" t="s">
        <v>19</v>
      </c>
      <c r="E1267" s="16" t="s">
        <v>672</v>
      </c>
      <c r="F1267" s="16" t="str">
        <f>"217071489 "</f>
        <v xml:space="preserve">217071489 </v>
      </c>
      <c r="G1267" s="16" t="str">
        <f t="shared" si="35"/>
        <v>ON1</v>
      </c>
      <c r="H1267" s="16" t="s">
        <v>21</v>
      </c>
      <c r="I1267" s="16" t="s">
        <v>463</v>
      </c>
      <c r="J1267" s="16" t="str">
        <f>""</f>
        <v/>
      </c>
      <c r="K1267" s="16" t="str">
        <f>"PFES1162728168_0001"</f>
        <v>PFES1162728168_0001</v>
      </c>
      <c r="L1267" s="16">
        <v>1</v>
      </c>
      <c r="M1267" s="16">
        <v>1</v>
      </c>
    </row>
    <row r="1268" spans="1:13">
      <c r="A1268" s="7">
        <v>43811</v>
      </c>
      <c r="B1268" s="8">
        <v>0.5131944444444444</v>
      </c>
      <c r="C1268" s="16" t="str">
        <f>"FES1162728031"</f>
        <v>FES1162728031</v>
      </c>
      <c r="D1268" s="16" t="s">
        <v>19</v>
      </c>
      <c r="E1268" s="16" t="s">
        <v>120</v>
      </c>
      <c r="F1268" s="16" t="str">
        <f>"217721459 "</f>
        <v xml:space="preserve">217721459 </v>
      </c>
      <c r="G1268" s="16" t="str">
        <f t="shared" si="35"/>
        <v>ON1</v>
      </c>
      <c r="H1268" s="16" t="s">
        <v>21</v>
      </c>
      <c r="I1268" s="16" t="s">
        <v>121</v>
      </c>
      <c r="J1268" s="16" t="str">
        <f>""</f>
        <v/>
      </c>
      <c r="K1268" s="16" t="str">
        <f>"PFES1162728031_0001"</f>
        <v>PFES1162728031_0001</v>
      </c>
      <c r="L1268" s="16">
        <v>1</v>
      </c>
      <c r="M1268" s="16">
        <v>1</v>
      </c>
    </row>
    <row r="1269" spans="1:13">
      <c r="A1269" s="7">
        <v>43811</v>
      </c>
      <c r="B1269" s="8">
        <v>0.5131944444444444</v>
      </c>
      <c r="C1269" s="16" t="str">
        <f>"FES1162728011"</f>
        <v>FES1162728011</v>
      </c>
      <c r="D1269" s="16" t="s">
        <v>19</v>
      </c>
      <c r="E1269" s="16" t="s">
        <v>621</v>
      </c>
      <c r="F1269" s="16" t="str">
        <f>"2170719493 "</f>
        <v xml:space="preserve">2170719493 </v>
      </c>
      <c r="G1269" s="16" t="str">
        <f t="shared" si="35"/>
        <v>ON1</v>
      </c>
      <c r="H1269" s="16" t="s">
        <v>21</v>
      </c>
      <c r="I1269" s="16" t="s">
        <v>161</v>
      </c>
      <c r="J1269" s="16" t="str">
        <f>""</f>
        <v/>
      </c>
      <c r="K1269" s="16" t="str">
        <f>"PFES1162728011_0001"</f>
        <v>PFES1162728011_0001</v>
      </c>
      <c r="L1269" s="16">
        <v>1</v>
      </c>
      <c r="M1269" s="16">
        <v>1</v>
      </c>
    </row>
    <row r="1270" spans="1:13">
      <c r="A1270" s="7">
        <v>43811</v>
      </c>
      <c r="B1270" s="8">
        <v>0.51250000000000007</v>
      </c>
      <c r="C1270" s="16" t="str">
        <f>"FES1162728119"</f>
        <v>FES1162728119</v>
      </c>
      <c r="D1270" s="16" t="s">
        <v>19</v>
      </c>
      <c r="E1270" s="16" t="s">
        <v>262</v>
      </c>
      <c r="F1270" s="16" t="str">
        <f>"2170718725 "</f>
        <v xml:space="preserve">2170718725 </v>
      </c>
      <c r="G1270" s="16" t="str">
        <f t="shared" si="35"/>
        <v>ON1</v>
      </c>
      <c r="H1270" s="16" t="s">
        <v>21</v>
      </c>
      <c r="I1270" s="16" t="s">
        <v>235</v>
      </c>
      <c r="J1270" s="16" t="str">
        <f>""</f>
        <v/>
      </c>
      <c r="K1270" s="16" t="str">
        <f>"PFES1162728119_0001"</f>
        <v>PFES1162728119_0001</v>
      </c>
      <c r="L1270" s="16">
        <v>1</v>
      </c>
      <c r="M1270" s="16">
        <v>1</v>
      </c>
    </row>
    <row r="1271" spans="1:13">
      <c r="A1271" s="7">
        <v>43811</v>
      </c>
      <c r="B1271" s="8">
        <v>0.51250000000000007</v>
      </c>
      <c r="C1271" s="16" t="str">
        <f>"FES1162728171"</f>
        <v>FES1162728171</v>
      </c>
      <c r="D1271" s="16" t="s">
        <v>19</v>
      </c>
      <c r="E1271" s="16" t="s">
        <v>373</v>
      </c>
      <c r="F1271" s="16" t="str">
        <f>"2170719492 "</f>
        <v xml:space="preserve">2170719492 </v>
      </c>
      <c r="G1271" s="16" t="str">
        <f t="shared" si="35"/>
        <v>ON1</v>
      </c>
      <c r="H1271" s="16" t="s">
        <v>21</v>
      </c>
      <c r="I1271" s="16" t="s">
        <v>374</v>
      </c>
      <c r="J1271" s="16" t="str">
        <f>""</f>
        <v/>
      </c>
      <c r="K1271" s="16" t="str">
        <f>"PFES1162728171_0001"</f>
        <v>PFES1162728171_0001</v>
      </c>
      <c r="L1271" s="16">
        <v>1</v>
      </c>
      <c r="M1271" s="16">
        <v>1</v>
      </c>
    </row>
    <row r="1272" spans="1:13">
      <c r="A1272" s="7">
        <v>43811</v>
      </c>
      <c r="B1272" s="8">
        <v>0.51180555555555551</v>
      </c>
      <c r="C1272" s="16" t="str">
        <f>"FES1162728005"</f>
        <v>FES1162728005</v>
      </c>
      <c r="D1272" s="16" t="s">
        <v>19</v>
      </c>
      <c r="E1272" s="16" t="s">
        <v>44</v>
      </c>
      <c r="F1272" s="16" t="str">
        <f>"2170719332 "</f>
        <v xml:space="preserve">2170719332 </v>
      </c>
      <c r="G1272" s="16" t="str">
        <f t="shared" si="35"/>
        <v>ON1</v>
      </c>
      <c r="H1272" s="16" t="s">
        <v>21</v>
      </c>
      <c r="I1272" s="16" t="s">
        <v>45</v>
      </c>
      <c r="J1272" s="16" t="str">
        <f>""</f>
        <v/>
      </c>
      <c r="K1272" s="16" t="str">
        <f>"PFES1162728005_0001"</f>
        <v>PFES1162728005_0001</v>
      </c>
      <c r="L1272" s="16">
        <v>1</v>
      </c>
      <c r="M1272" s="16">
        <v>1</v>
      </c>
    </row>
    <row r="1273" spans="1:13">
      <c r="A1273" s="7">
        <v>43811</v>
      </c>
      <c r="B1273" s="8">
        <v>0.51180555555555551</v>
      </c>
      <c r="C1273" s="16" t="str">
        <f>"FES1162728107"</f>
        <v>FES1162728107</v>
      </c>
      <c r="D1273" s="16" t="s">
        <v>19</v>
      </c>
      <c r="E1273" s="16" t="s">
        <v>373</v>
      </c>
      <c r="F1273" s="16" t="str">
        <f>"2170718638 "</f>
        <v xml:space="preserve">2170718638 </v>
      </c>
      <c r="G1273" s="16" t="str">
        <f t="shared" si="35"/>
        <v>ON1</v>
      </c>
      <c r="H1273" s="16" t="s">
        <v>21</v>
      </c>
      <c r="I1273" s="16" t="s">
        <v>374</v>
      </c>
      <c r="J1273" s="16" t="str">
        <f>""</f>
        <v/>
      </c>
      <c r="K1273" s="16" t="str">
        <f>"PFES1162728107_0001"</f>
        <v>PFES1162728107_0001</v>
      </c>
      <c r="L1273" s="16">
        <v>1</v>
      </c>
      <c r="M1273" s="16">
        <v>1</v>
      </c>
    </row>
    <row r="1274" spans="1:13">
      <c r="A1274" s="7">
        <v>43811</v>
      </c>
      <c r="B1274" s="8">
        <v>0.51180555555555551</v>
      </c>
      <c r="C1274" s="16" t="str">
        <f>"FES1162728061"</f>
        <v>FES1162728061</v>
      </c>
      <c r="D1274" s="16" t="s">
        <v>19</v>
      </c>
      <c r="E1274" s="16" t="s">
        <v>697</v>
      </c>
      <c r="F1274" s="16" t="str">
        <f>"2170718149 "</f>
        <v xml:space="preserve">2170718149 </v>
      </c>
      <c r="G1274" s="16" t="str">
        <f t="shared" si="35"/>
        <v>ON1</v>
      </c>
      <c r="H1274" s="16" t="s">
        <v>21</v>
      </c>
      <c r="I1274" s="16" t="s">
        <v>698</v>
      </c>
      <c r="J1274" s="16" t="str">
        <f>""</f>
        <v/>
      </c>
      <c r="K1274" s="16" t="str">
        <f>"PFES1162728061_0001"</f>
        <v>PFES1162728061_0001</v>
      </c>
      <c r="L1274" s="16">
        <v>1</v>
      </c>
      <c r="M1274" s="16">
        <v>1</v>
      </c>
    </row>
    <row r="1275" spans="1:13">
      <c r="A1275" s="7">
        <v>43811</v>
      </c>
      <c r="B1275" s="8">
        <v>0.51111111111111118</v>
      </c>
      <c r="C1275" s="16" t="str">
        <f>"FES1162727986"</f>
        <v>FES1162727986</v>
      </c>
      <c r="D1275" s="16" t="s">
        <v>19</v>
      </c>
      <c r="E1275" s="16" t="s">
        <v>124</v>
      </c>
      <c r="F1275" s="16" t="str">
        <f>"2170719097 "</f>
        <v xml:space="preserve">2170719097 </v>
      </c>
      <c r="G1275" s="16" t="str">
        <f t="shared" si="35"/>
        <v>ON1</v>
      </c>
      <c r="H1275" s="16" t="s">
        <v>21</v>
      </c>
      <c r="I1275" s="16" t="s">
        <v>125</v>
      </c>
      <c r="J1275" s="16" t="str">
        <f>""</f>
        <v/>
      </c>
      <c r="K1275" s="16" t="str">
        <f>"PFES1162727986_0001"</f>
        <v>PFES1162727986_0001</v>
      </c>
      <c r="L1275" s="16">
        <v>1</v>
      </c>
      <c r="M1275" s="16">
        <v>1</v>
      </c>
    </row>
    <row r="1276" spans="1:13">
      <c r="A1276" s="7">
        <v>43811</v>
      </c>
      <c r="B1276" s="8">
        <v>0.51111111111111118</v>
      </c>
      <c r="C1276" s="16" t="str">
        <f>"FES1162728018"</f>
        <v>FES1162728018</v>
      </c>
      <c r="D1276" s="16" t="s">
        <v>19</v>
      </c>
      <c r="E1276" s="16" t="s">
        <v>124</v>
      </c>
      <c r="F1276" s="16" t="str">
        <f>"2170720409 "</f>
        <v xml:space="preserve">2170720409 </v>
      </c>
      <c r="G1276" s="16" t="str">
        <f t="shared" si="35"/>
        <v>ON1</v>
      </c>
      <c r="H1276" s="16" t="s">
        <v>21</v>
      </c>
      <c r="I1276" s="16" t="s">
        <v>125</v>
      </c>
      <c r="J1276" s="16" t="str">
        <f>""</f>
        <v/>
      </c>
      <c r="K1276" s="16" t="str">
        <f>"PFES1162728018_0001"</f>
        <v>PFES1162728018_0001</v>
      </c>
      <c r="L1276" s="16">
        <v>1</v>
      </c>
      <c r="M1276" s="16">
        <v>1</v>
      </c>
    </row>
    <row r="1277" spans="1:13">
      <c r="A1277" s="7">
        <v>43811</v>
      </c>
      <c r="B1277" s="8">
        <v>0.51111111111111118</v>
      </c>
      <c r="C1277" s="16" t="str">
        <f>"FES1162728015"</f>
        <v>FES1162728015</v>
      </c>
      <c r="D1277" s="16" t="s">
        <v>19</v>
      </c>
      <c r="E1277" s="16" t="s">
        <v>215</v>
      </c>
      <c r="F1277" s="16" t="str">
        <f>"2170719817 "</f>
        <v xml:space="preserve">2170719817 </v>
      </c>
      <c r="G1277" s="16" t="str">
        <f t="shared" si="35"/>
        <v>ON1</v>
      </c>
      <c r="H1277" s="16" t="s">
        <v>21</v>
      </c>
      <c r="I1277" s="16" t="s">
        <v>216</v>
      </c>
      <c r="J1277" s="16" t="str">
        <f>""</f>
        <v/>
      </c>
      <c r="K1277" s="16" t="str">
        <f>"PFES1162728015_0001"</f>
        <v>PFES1162728015_0001</v>
      </c>
      <c r="L1277" s="16">
        <v>1</v>
      </c>
      <c r="M1277" s="16">
        <v>1</v>
      </c>
    </row>
    <row r="1278" spans="1:13">
      <c r="A1278" s="7">
        <v>43811</v>
      </c>
      <c r="B1278" s="8">
        <v>0.51041666666666663</v>
      </c>
      <c r="C1278" s="16" t="str">
        <f>"FES1162728077"</f>
        <v>FES1162728077</v>
      </c>
      <c r="D1278" s="16" t="s">
        <v>19</v>
      </c>
      <c r="E1278" s="16" t="s">
        <v>373</v>
      </c>
      <c r="F1278" s="16" t="str">
        <f>"2170718341 "</f>
        <v xml:space="preserve">2170718341 </v>
      </c>
      <c r="G1278" s="16" t="str">
        <f t="shared" si="35"/>
        <v>ON1</v>
      </c>
      <c r="H1278" s="16" t="s">
        <v>21</v>
      </c>
      <c r="I1278" s="16" t="s">
        <v>374</v>
      </c>
      <c r="J1278" s="16" t="str">
        <f>""</f>
        <v/>
      </c>
      <c r="K1278" s="16" t="str">
        <f>"PFES1162728077_0001"</f>
        <v>PFES1162728077_0001</v>
      </c>
      <c r="L1278" s="16">
        <v>1</v>
      </c>
      <c r="M1278" s="16">
        <v>1</v>
      </c>
    </row>
    <row r="1279" spans="1:13">
      <c r="A1279" s="7">
        <v>43811</v>
      </c>
      <c r="B1279" s="8">
        <v>0.51041666666666663</v>
      </c>
      <c r="C1279" s="16" t="str">
        <f>"FES1162728169"</f>
        <v>FES1162728169</v>
      </c>
      <c r="D1279" s="16" t="s">
        <v>19</v>
      </c>
      <c r="E1279" s="16" t="s">
        <v>672</v>
      </c>
      <c r="F1279" s="16" t="str">
        <f>"2170719490 "</f>
        <v xml:space="preserve">2170719490 </v>
      </c>
      <c r="G1279" s="16" t="str">
        <f t="shared" si="35"/>
        <v>ON1</v>
      </c>
      <c r="H1279" s="16" t="s">
        <v>21</v>
      </c>
      <c r="I1279" s="16" t="s">
        <v>463</v>
      </c>
      <c r="J1279" s="16" t="str">
        <f>""</f>
        <v/>
      </c>
      <c r="K1279" s="16" t="str">
        <f>"PFES1162728169_0001"</f>
        <v>PFES1162728169_0001</v>
      </c>
      <c r="L1279" s="16">
        <v>1</v>
      </c>
      <c r="M1279" s="16">
        <v>1</v>
      </c>
    </row>
    <row r="1280" spans="1:13">
      <c r="A1280" s="7">
        <v>43811</v>
      </c>
      <c r="B1280" s="8">
        <v>0.51041666666666663</v>
      </c>
      <c r="C1280" s="16" t="str">
        <f>"FES1162728134"</f>
        <v>FES1162728134</v>
      </c>
      <c r="D1280" s="16" t="s">
        <v>19</v>
      </c>
      <c r="E1280" s="16" t="s">
        <v>699</v>
      </c>
      <c r="F1280" s="16" t="str">
        <f>"2170719105 "</f>
        <v xml:space="preserve">2170719105 </v>
      </c>
      <c r="G1280" s="16" t="str">
        <f t="shared" si="35"/>
        <v>ON1</v>
      </c>
      <c r="H1280" s="16" t="s">
        <v>21</v>
      </c>
      <c r="I1280" s="16" t="s">
        <v>56</v>
      </c>
      <c r="J1280" s="16" t="str">
        <f>""</f>
        <v/>
      </c>
      <c r="K1280" s="16" t="str">
        <f>"PFES1162728134_0001"</f>
        <v>PFES1162728134_0001</v>
      </c>
      <c r="L1280" s="16">
        <v>1</v>
      </c>
      <c r="M1280" s="16">
        <v>1</v>
      </c>
    </row>
    <row r="1281" spans="1:13">
      <c r="A1281" s="7">
        <v>43811</v>
      </c>
      <c r="B1281" s="8">
        <v>0.50972222222222219</v>
      </c>
      <c r="C1281" s="16" t="str">
        <f>"FES1162727990"</f>
        <v>FES1162727990</v>
      </c>
      <c r="D1281" s="16" t="s">
        <v>19</v>
      </c>
      <c r="E1281" s="16" t="s">
        <v>416</v>
      </c>
      <c r="F1281" s="16" t="str">
        <f>"2170719191 "</f>
        <v xml:space="preserve">2170719191 </v>
      </c>
      <c r="G1281" s="16" t="str">
        <f t="shared" si="35"/>
        <v>ON1</v>
      </c>
      <c r="H1281" s="16" t="s">
        <v>21</v>
      </c>
      <c r="I1281" s="16" t="s">
        <v>45</v>
      </c>
      <c r="J1281" s="16" t="str">
        <f>""</f>
        <v/>
      </c>
      <c r="K1281" s="16" t="str">
        <f>"PFES1162727990_0001"</f>
        <v>PFES1162727990_0001</v>
      </c>
      <c r="L1281" s="16">
        <v>1</v>
      </c>
      <c r="M1281" s="16">
        <v>1</v>
      </c>
    </row>
    <row r="1282" spans="1:13">
      <c r="A1282" s="7">
        <v>43811</v>
      </c>
      <c r="B1282" s="8">
        <v>0.50972222222222219</v>
      </c>
      <c r="C1282" s="16" t="str">
        <f>"FES1162728019"</f>
        <v>FES1162728019</v>
      </c>
      <c r="D1282" s="16" t="s">
        <v>19</v>
      </c>
      <c r="E1282" s="16" t="s">
        <v>107</v>
      </c>
      <c r="F1282" s="16" t="str">
        <f>"217071921650 "</f>
        <v xml:space="preserve">217071921650 </v>
      </c>
      <c r="G1282" s="16" t="str">
        <f t="shared" si="35"/>
        <v>ON1</v>
      </c>
      <c r="H1282" s="16" t="s">
        <v>21</v>
      </c>
      <c r="I1282" s="16" t="s">
        <v>56</v>
      </c>
      <c r="J1282" s="16" t="str">
        <f>""</f>
        <v/>
      </c>
      <c r="K1282" s="16" t="str">
        <f>"PFES1162728019_0001"</f>
        <v>PFES1162728019_0001</v>
      </c>
      <c r="L1282" s="16">
        <v>1</v>
      </c>
      <c r="M1282" s="16">
        <v>1</v>
      </c>
    </row>
    <row r="1283" spans="1:13">
      <c r="A1283" s="7">
        <v>43811</v>
      </c>
      <c r="B1283" s="8">
        <v>0.50972222222222219</v>
      </c>
      <c r="C1283" s="16" t="str">
        <f>"FES1162728008"</f>
        <v>FES1162728008</v>
      </c>
      <c r="D1283" s="16" t="s">
        <v>19</v>
      </c>
      <c r="E1283" s="16" t="s">
        <v>700</v>
      </c>
      <c r="F1283" s="16" t="str">
        <f>"2170719428 "</f>
        <v xml:space="preserve">2170719428 </v>
      </c>
      <c r="G1283" s="16" t="str">
        <f t="shared" si="35"/>
        <v>ON1</v>
      </c>
      <c r="H1283" s="16" t="s">
        <v>21</v>
      </c>
      <c r="I1283" s="16" t="s">
        <v>246</v>
      </c>
      <c r="J1283" s="16" t="str">
        <f>""</f>
        <v/>
      </c>
      <c r="K1283" s="16" t="str">
        <f>"PFES1162728008_0001"</f>
        <v>PFES1162728008_0001</v>
      </c>
      <c r="L1283" s="16">
        <v>1</v>
      </c>
      <c r="M1283" s="16">
        <v>1</v>
      </c>
    </row>
    <row r="1284" spans="1:13">
      <c r="A1284" s="7">
        <v>43811</v>
      </c>
      <c r="B1284" s="8">
        <v>0.50902777777777775</v>
      </c>
      <c r="C1284" s="16" t="str">
        <f>"FES1162728016"</f>
        <v>FES1162728016</v>
      </c>
      <c r="D1284" s="16" t="s">
        <v>19</v>
      </c>
      <c r="E1284" s="16" t="s">
        <v>96</v>
      </c>
      <c r="F1284" s="16" t="str">
        <f>"217071981842 "</f>
        <v xml:space="preserve">217071981842 </v>
      </c>
      <c r="G1284" s="16" t="str">
        <f t="shared" si="35"/>
        <v>ON1</v>
      </c>
      <c r="H1284" s="16" t="s">
        <v>21</v>
      </c>
      <c r="I1284" s="16" t="s">
        <v>56</v>
      </c>
      <c r="J1284" s="16" t="str">
        <f>""</f>
        <v/>
      </c>
      <c r="K1284" s="16" t="str">
        <f>"PFES1162728016_0001"</f>
        <v>PFES1162728016_0001</v>
      </c>
      <c r="L1284" s="16">
        <v>1</v>
      </c>
      <c r="M1284" s="16">
        <v>1</v>
      </c>
    </row>
    <row r="1285" spans="1:13">
      <c r="A1285" s="7">
        <v>43811</v>
      </c>
      <c r="B1285" s="8">
        <v>0.50902777777777775</v>
      </c>
      <c r="C1285" s="16" t="str">
        <f>"FES1162727992"</f>
        <v>FES1162727992</v>
      </c>
      <c r="D1285" s="16" t="s">
        <v>19</v>
      </c>
      <c r="E1285" s="16" t="s">
        <v>198</v>
      </c>
      <c r="F1285" s="16" t="str">
        <f>"2170719211 "</f>
        <v xml:space="preserve">2170719211 </v>
      </c>
      <c r="G1285" s="16" t="str">
        <f t="shared" si="35"/>
        <v>ON1</v>
      </c>
      <c r="H1285" s="16" t="s">
        <v>21</v>
      </c>
      <c r="I1285" s="16" t="s">
        <v>175</v>
      </c>
      <c r="J1285" s="16" t="str">
        <f>""</f>
        <v/>
      </c>
      <c r="K1285" s="16" t="str">
        <f>"PFES1162727992_0001"</f>
        <v>PFES1162727992_0001</v>
      </c>
      <c r="L1285" s="16">
        <v>1</v>
      </c>
      <c r="M1285" s="16">
        <v>1</v>
      </c>
    </row>
    <row r="1286" spans="1:13">
      <c r="A1286" s="7">
        <v>43811</v>
      </c>
      <c r="B1286" s="8">
        <v>0.5083333333333333</v>
      </c>
      <c r="C1286" s="16" t="str">
        <f>"FES1162727981"</f>
        <v>FES1162727981</v>
      </c>
      <c r="D1286" s="16" t="s">
        <v>19</v>
      </c>
      <c r="E1286" s="16" t="s">
        <v>701</v>
      </c>
      <c r="F1286" s="16" t="str">
        <f>"2170719038 "</f>
        <v xml:space="preserve">2170719038 </v>
      </c>
      <c r="G1286" s="16" t="str">
        <f t="shared" si="35"/>
        <v>ON1</v>
      </c>
      <c r="H1286" s="16" t="s">
        <v>21</v>
      </c>
      <c r="I1286" s="16" t="s">
        <v>175</v>
      </c>
      <c r="J1286" s="16" t="str">
        <f>""</f>
        <v/>
      </c>
      <c r="K1286" s="16" t="str">
        <f>"PFES1162727981_0001"</f>
        <v>PFES1162727981_0001</v>
      </c>
      <c r="L1286" s="16">
        <v>1</v>
      </c>
      <c r="M1286" s="16">
        <v>1</v>
      </c>
    </row>
    <row r="1287" spans="1:13">
      <c r="A1287" s="7">
        <v>43811</v>
      </c>
      <c r="B1287" s="8">
        <v>0.4993055555555555</v>
      </c>
      <c r="C1287" s="16" t="str">
        <f>"FES1162727957"</f>
        <v>FES1162727957</v>
      </c>
      <c r="D1287" s="16" t="s">
        <v>19</v>
      </c>
      <c r="E1287" s="16" t="s">
        <v>63</v>
      </c>
      <c r="F1287" s="16" t="str">
        <f>"2170712437 "</f>
        <v xml:space="preserve">2170712437 </v>
      </c>
      <c r="G1287" s="16" t="str">
        <f t="shared" si="35"/>
        <v>ON1</v>
      </c>
      <c r="H1287" s="16" t="s">
        <v>21</v>
      </c>
      <c r="I1287" s="16" t="s">
        <v>121</v>
      </c>
      <c r="J1287" s="16" t="str">
        <f>""</f>
        <v/>
      </c>
      <c r="K1287" s="16" t="str">
        <f>"PFES1162727957_0001"</f>
        <v>PFES1162727957_0001</v>
      </c>
      <c r="L1287" s="16">
        <v>1</v>
      </c>
      <c r="M1287" s="16">
        <v>1</v>
      </c>
    </row>
    <row r="1288" spans="1:13">
      <c r="A1288" s="7">
        <v>43811</v>
      </c>
      <c r="B1288" s="8">
        <v>0.49861111111111112</v>
      </c>
      <c r="C1288" s="16" t="str">
        <f>"FES1162727951"</f>
        <v>FES1162727951</v>
      </c>
      <c r="D1288" s="16" t="s">
        <v>19</v>
      </c>
      <c r="E1288" s="16" t="s">
        <v>290</v>
      </c>
      <c r="F1288" s="16" t="str">
        <f>"2170714352 "</f>
        <v xml:space="preserve">2170714352 </v>
      </c>
      <c r="G1288" s="16" t="str">
        <f t="shared" si="35"/>
        <v>ON1</v>
      </c>
      <c r="H1288" s="16" t="s">
        <v>21</v>
      </c>
      <c r="I1288" s="16" t="s">
        <v>123</v>
      </c>
      <c r="J1288" s="16" t="str">
        <f>""</f>
        <v/>
      </c>
      <c r="K1288" s="16" t="str">
        <f>"PFES1162727951_0001"</f>
        <v>PFES1162727951_0001</v>
      </c>
      <c r="L1288" s="16">
        <v>1</v>
      </c>
      <c r="M1288" s="16">
        <v>1</v>
      </c>
    </row>
    <row r="1289" spans="1:13">
      <c r="A1289" s="7">
        <v>43811</v>
      </c>
      <c r="B1289" s="8">
        <v>0.49861111111111112</v>
      </c>
      <c r="C1289" s="16" t="str">
        <f>"FES1162727955"</f>
        <v>FES1162727955</v>
      </c>
      <c r="D1289" s="16" t="s">
        <v>19</v>
      </c>
      <c r="E1289" s="16" t="s">
        <v>63</v>
      </c>
      <c r="F1289" s="16" t="str">
        <f>"2170712011 "</f>
        <v xml:space="preserve">2170712011 </v>
      </c>
      <c r="G1289" s="16" t="str">
        <f t="shared" si="35"/>
        <v>ON1</v>
      </c>
      <c r="H1289" s="16" t="s">
        <v>21</v>
      </c>
      <c r="I1289" s="16" t="s">
        <v>121</v>
      </c>
      <c r="J1289" s="16" t="str">
        <f>""</f>
        <v/>
      </c>
      <c r="K1289" s="16" t="str">
        <f>"PFES1162727955_0001"</f>
        <v>PFES1162727955_0001</v>
      </c>
      <c r="L1289" s="16">
        <v>1</v>
      </c>
      <c r="M1289" s="16">
        <v>1</v>
      </c>
    </row>
    <row r="1290" spans="1:13">
      <c r="A1290" s="7">
        <v>43811</v>
      </c>
      <c r="B1290" s="8">
        <v>0.49861111111111112</v>
      </c>
      <c r="C1290" s="16" t="str">
        <f>"FES1162727950"</f>
        <v>FES1162727950</v>
      </c>
      <c r="D1290" s="16" t="s">
        <v>19</v>
      </c>
      <c r="E1290" s="16" t="s">
        <v>290</v>
      </c>
      <c r="F1290" s="16" t="str">
        <f>"2170712434 "</f>
        <v xml:space="preserve">2170712434 </v>
      </c>
      <c r="G1290" s="16" t="str">
        <f t="shared" si="35"/>
        <v>ON1</v>
      </c>
      <c r="H1290" s="16" t="s">
        <v>21</v>
      </c>
      <c r="I1290" s="16" t="s">
        <v>123</v>
      </c>
      <c r="J1290" s="16" t="str">
        <f>""</f>
        <v/>
      </c>
      <c r="K1290" s="16" t="str">
        <f>"PFES1162727950_0001"</f>
        <v>PFES1162727950_0001</v>
      </c>
      <c r="L1290" s="16">
        <v>1</v>
      </c>
      <c r="M1290" s="16">
        <v>1</v>
      </c>
    </row>
    <row r="1291" spans="1:13">
      <c r="A1291" s="7">
        <v>43811</v>
      </c>
      <c r="B1291" s="8">
        <v>0.49791666666666662</v>
      </c>
      <c r="C1291" s="16" t="str">
        <f>"FES1162727979"</f>
        <v>FES1162727979</v>
      </c>
      <c r="D1291" s="16" t="s">
        <v>19</v>
      </c>
      <c r="E1291" s="16" t="s">
        <v>626</v>
      </c>
      <c r="F1291" s="16" t="str">
        <f>"2170719004 "</f>
        <v xml:space="preserve">2170719004 </v>
      </c>
      <c r="G1291" s="16" t="str">
        <f t="shared" si="35"/>
        <v>ON1</v>
      </c>
      <c r="H1291" s="16" t="s">
        <v>21</v>
      </c>
      <c r="I1291" s="16" t="s">
        <v>41</v>
      </c>
      <c r="J1291" s="16" t="str">
        <f>""</f>
        <v/>
      </c>
      <c r="K1291" s="16" t="str">
        <f>"PFES1162727979_0001"</f>
        <v>PFES1162727979_0001</v>
      </c>
      <c r="L1291" s="16">
        <v>1</v>
      </c>
      <c r="M1291" s="16">
        <v>1</v>
      </c>
    </row>
    <row r="1292" spans="1:13">
      <c r="A1292" s="7">
        <v>43811</v>
      </c>
      <c r="B1292" s="8">
        <v>0.49791666666666662</v>
      </c>
      <c r="C1292" s="16" t="str">
        <f>"FES1162728040"</f>
        <v>FES1162728040</v>
      </c>
      <c r="D1292" s="16" t="s">
        <v>19</v>
      </c>
      <c r="E1292" s="16" t="s">
        <v>151</v>
      </c>
      <c r="F1292" s="16" t="str">
        <f>"2170712476 "</f>
        <v xml:space="preserve">2170712476 </v>
      </c>
      <c r="G1292" s="16" t="str">
        <f t="shared" si="35"/>
        <v>ON1</v>
      </c>
      <c r="H1292" s="16" t="s">
        <v>21</v>
      </c>
      <c r="I1292" s="16" t="s">
        <v>152</v>
      </c>
      <c r="J1292" s="16" t="str">
        <f>""</f>
        <v/>
      </c>
      <c r="K1292" s="16" t="str">
        <f>"PFES1162728040_0001"</f>
        <v>PFES1162728040_0001</v>
      </c>
      <c r="L1292" s="16">
        <v>1</v>
      </c>
      <c r="M1292" s="16">
        <v>1</v>
      </c>
    </row>
    <row r="1293" spans="1:13">
      <c r="A1293" s="7">
        <v>43811</v>
      </c>
      <c r="B1293" s="8">
        <v>0.49791666666666662</v>
      </c>
      <c r="C1293" s="16" t="str">
        <f>"FES1162728125"</f>
        <v>FES1162728125</v>
      </c>
      <c r="D1293" s="16" t="s">
        <v>19</v>
      </c>
      <c r="E1293" s="16" t="s">
        <v>534</v>
      </c>
      <c r="F1293" s="16" t="str">
        <f>"2170718770 "</f>
        <v xml:space="preserve">2170718770 </v>
      </c>
      <c r="G1293" s="16" t="str">
        <f t="shared" si="35"/>
        <v>ON1</v>
      </c>
      <c r="H1293" s="16" t="s">
        <v>21</v>
      </c>
      <c r="I1293" s="16" t="s">
        <v>535</v>
      </c>
      <c r="J1293" s="16" t="str">
        <f>""</f>
        <v/>
      </c>
      <c r="K1293" s="16" t="str">
        <f>"PFES1162728125_0001"</f>
        <v>PFES1162728125_0001</v>
      </c>
      <c r="L1293" s="16">
        <v>1</v>
      </c>
      <c r="M1293" s="16">
        <v>1</v>
      </c>
    </row>
    <row r="1294" spans="1:13">
      <c r="A1294" s="7">
        <v>43811</v>
      </c>
      <c r="B1294" s="8">
        <v>0.49722222222222223</v>
      </c>
      <c r="C1294" s="16" t="str">
        <f>"FES1162728132"</f>
        <v>FES1162728132</v>
      </c>
      <c r="D1294" s="16" t="s">
        <v>19</v>
      </c>
      <c r="E1294" s="16" t="s">
        <v>142</v>
      </c>
      <c r="F1294" s="16" t="str">
        <f>"21707180907 "</f>
        <v xml:space="preserve">21707180907 </v>
      </c>
      <c r="G1294" s="16" t="str">
        <f t="shared" si="35"/>
        <v>ON1</v>
      </c>
      <c r="H1294" s="16" t="s">
        <v>21</v>
      </c>
      <c r="I1294" s="16" t="s">
        <v>37</v>
      </c>
      <c r="J1294" s="16" t="str">
        <f>""</f>
        <v/>
      </c>
      <c r="K1294" s="16" t="str">
        <f>"PFES1162728132_0001"</f>
        <v>PFES1162728132_0001</v>
      </c>
      <c r="L1294" s="16">
        <v>1</v>
      </c>
      <c r="M1294" s="16">
        <v>1</v>
      </c>
    </row>
    <row r="1295" spans="1:13">
      <c r="A1295" s="7">
        <v>43811</v>
      </c>
      <c r="B1295" s="8">
        <v>0.49722222222222223</v>
      </c>
      <c r="C1295" s="16" t="str">
        <f>"FES1162728052"</f>
        <v>FES1162728052</v>
      </c>
      <c r="D1295" s="16" t="s">
        <v>19</v>
      </c>
      <c r="E1295" s="16" t="s">
        <v>38</v>
      </c>
      <c r="F1295" s="16" t="str">
        <f>"2170716023 "</f>
        <v xml:space="preserve">2170716023 </v>
      </c>
      <c r="G1295" s="16" t="str">
        <f t="shared" si="35"/>
        <v>ON1</v>
      </c>
      <c r="H1295" s="16" t="s">
        <v>21</v>
      </c>
      <c r="I1295" s="16" t="s">
        <v>39</v>
      </c>
      <c r="J1295" s="16" t="str">
        <f>""</f>
        <v/>
      </c>
      <c r="K1295" s="16" t="str">
        <f>"PFES1162728052_0001"</f>
        <v>PFES1162728052_0001</v>
      </c>
      <c r="L1295" s="16">
        <v>1</v>
      </c>
      <c r="M1295" s="16">
        <v>1</v>
      </c>
    </row>
    <row r="1296" spans="1:13">
      <c r="A1296" s="7">
        <v>43811</v>
      </c>
      <c r="B1296" s="8">
        <v>0.49722222222222223</v>
      </c>
      <c r="C1296" s="16" t="str">
        <f>"FES1162727989"</f>
        <v>FES1162727989</v>
      </c>
      <c r="D1296" s="16" t="s">
        <v>19</v>
      </c>
      <c r="E1296" s="16" t="s">
        <v>702</v>
      </c>
      <c r="F1296" s="16" t="str">
        <f>"2170719134 "</f>
        <v xml:space="preserve">2170719134 </v>
      </c>
      <c r="G1296" s="16" t="str">
        <f t="shared" si="35"/>
        <v>ON1</v>
      </c>
      <c r="H1296" s="16" t="s">
        <v>21</v>
      </c>
      <c r="I1296" s="16" t="s">
        <v>35</v>
      </c>
      <c r="J1296" s="16" t="str">
        <f>""</f>
        <v/>
      </c>
      <c r="K1296" s="16" t="str">
        <f>"PFES1162727989_0001"</f>
        <v>PFES1162727989_0001</v>
      </c>
      <c r="L1296" s="16">
        <v>1</v>
      </c>
      <c r="M1296" s="16">
        <v>1</v>
      </c>
    </row>
    <row r="1297" spans="1:13">
      <c r="A1297" s="7">
        <v>43811</v>
      </c>
      <c r="B1297" s="8">
        <v>0.49652777777777773</v>
      </c>
      <c r="C1297" s="16" t="str">
        <f>"FES1162728187"</f>
        <v>FES1162728187</v>
      </c>
      <c r="D1297" s="16" t="s">
        <v>19</v>
      </c>
      <c r="E1297" s="16" t="s">
        <v>151</v>
      </c>
      <c r="F1297" s="16" t="str">
        <f>"2170720071 "</f>
        <v xml:space="preserve">2170720071 </v>
      </c>
      <c r="G1297" s="16" t="str">
        <f t="shared" si="35"/>
        <v>ON1</v>
      </c>
      <c r="H1297" s="16" t="s">
        <v>21</v>
      </c>
      <c r="I1297" s="16" t="s">
        <v>152</v>
      </c>
      <c r="J1297" s="16" t="str">
        <f>""</f>
        <v/>
      </c>
      <c r="K1297" s="16" t="str">
        <f>"PFES1162728187_0001"</f>
        <v>PFES1162728187_0001</v>
      </c>
      <c r="L1297" s="16">
        <v>1</v>
      </c>
      <c r="M1297" s="16">
        <v>1</v>
      </c>
    </row>
    <row r="1298" spans="1:13">
      <c r="A1298" s="7">
        <v>43811</v>
      </c>
      <c r="B1298" s="8">
        <v>0.49652777777777773</v>
      </c>
      <c r="C1298" s="16" t="str">
        <f>"FES1162728009"</f>
        <v>FES1162728009</v>
      </c>
      <c r="D1298" s="16" t="s">
        <v>19</v>
      </c>
      <c r="E1298" s="16" t="s">
        <v>703</v>
      </c>
      <c r="F1298" s="16" t="str">
        <f>"217071944 "</f>
        <v xml:space="preserve">217071944 </v>
      </c>
      <c r="G1298" s="16" t="str">
        <f t="shared" si="35"/>
        <v>ON1</v>
      </c>
      <c r="H1298" s="16" t="s">
        <v>21</v>
      </c>
      <c r="I1298" s="16" t="s">
        <v>35</v>
      </c>
      <c r="J1298" s="16" t="str">
        <f>""</f>
        <v/>
      </c>
      <c r="K1298" s="16" t="str">
        <f>"PFES1162728009_0001"</f>
        <v>PFES1162728009_0001</v>
      </c>
      <c r="L1298" s="16">
        <v>1</v>
      </c>
      <c r="M1298" s="16">
        <v>1</v>
      </c>
    </row>
    <row r="1299" spans="1:13">
      <c r="A1299" s="7">
        <v>43811</v>
      </c>
      <c r="B1299" s="8">
        <v>0.49583333333333335</v>
      </c>
      <c r="C1299" s="16" t="str">
        <f>"FES1162727987"</f>
        <v>FES1162727987</v>
      </c>
      <c r="D1299" s="16" t="s">
        <v>19</v>
      </c>
      <c r="E1299" s="16" t="s">
        <v>699</v>
      </c>
      <c r="F1299" s="16" t="str">
        <f>"2170719105 "</f>
        <v xml:space="preserve">2170719105 </v>
      </c>
      <c r="G1299" s="16" t="str">
        <f t="shared" si="35"/>
        <v>ON1</v>
      </c>
      <c r="H1299" s="16" t="s">
        <v>21</v>
      </c>
      <c r="I1299" s="16" t="s">
        <v>56</v>
      </c>
      <c r="J1299" s="16" t="str">
        <f>""</f>
        <v/>
      </c>
      <c r="K1299" s="16" t="str">
        <f>"PFES1162727987_0001"</f>
        <v>PFES1162727987_0001</v>
      </c>
      <c r="L1299" s="16">
        <v>1</v>
      </c>
      <c r="M1299" s="16">
        <v>1</v>
      </c>
    </row>
    <row r="1300" spans="1:13">
      <c r="A1300" s="7">
        <v>43811</v>
      </c>
      <c r="B1300" s="8">
        <v>0.49513888888888885</v>
      </c>
      <c r="C1300" s="16" t="str">
        <f>"FES1162727967"</f>
        <v>FES1162727967</v>
      </c>
      <c r="D1300" s="16" t="s">
        <v>19</v>
      </c>
      <c r="E1300" s="16" t="s">
        <v>534</v>
      </c>
      <c r="F1300" s="16" t="str">
        <f>"2170718764 "</f>
        <v xml:space="preserve">2170718764 </v>
      </c>
      <c r="G1300" s="16" t="str">
        <f t="shared" si="35"/>
        <v>ON1</v>
      </c>
      <c r="H1300" s="16" t="s">
        <v>21</v>
      </c>
      <c r="I1300" s="16" t="s">
        <v>535</v>
      </c>
      <c r="J1300" s="16" t="str">
        <f>""</f>
        <v/>
      </c>
      <c r="K1300" s="16" t="str">
        <f>"PFES1162727967_0001"</f>
        <v>PFES1162727967_0001</v>
      </c>
      <c r="L1300" s="16">
        <v>1</v>
      </c>
      <c r="M1300" s="16">
        <v>1</v>
      </c>
    </row>
    <row r="1301" spans="1:13">
      <c r="A1301" s="7">
        <v>43811</v>
      </c>
      <c r="B1301" s="8">
        <v>0.49305555555555558</v>
      </c>
      <c r="C1301" s="16" t="str">
        <f>"FES1162728153"</f>
        <v>FES1162728153</v>
      </c>
      <c r="D1301" s="16" t="s">
        <v>19</v>
      </c>
      <c r="E1301" s="16" t="s">
        <v>704</v>
      </c>
      <c r="F1301" s="16" t="str">
        <f>"2170719811 "</f>
        <v xml:space="preserve">2170719811 </v>
      </c>
      <c r="G1301" s="16" t="str">
        <f t="shared" si="35"/>
        <v>ON1</v>
      </c>
      <c r="H1301" s="16" t="s">
        <v>21</v>
      </c>
      <c r="I1301" s="16" t="s">
        <v>346</v>
      </c>
      <c r="J1301" s="16" t="str">
        <f>""</f>
        <v/>
      </c>
      <c r="K1301" s="16" t="str">
        <f>"PFES1162728153_0001"</f>
        <v>PFES1162728153_0001</v>
      </c>
      <c r="L1301" s="16">
        <v>1</v>
      </c>
      <c r="M1301" s="16">
        <v>1</v>
      </c>
    </row>
    <row r="1302" spans="1:13">
      <c r="A1302" s="7">
        <v>43811</v>
      </c>
      <c r="B1302" s="8">
        <v>0.4916666666666667</v>
      </c>
      <c r="C1302" s="16" t="str">
        <f>"FES1162728189"</f>
        <v>FES1162728189</v>
      </c>
      <c r="D1302" s="16" t="s">
        <v>19</v>
      </c>
      <c r="E1302" s="16" t="s">
        <v>34</v>
      </c>
      <c r="F1302" s="16" t="str">
        <f>"2170721521 "</f>
        <v xml:space="preserve">2170721521 </v>
      </c>
      <c r="G1302" s="16" t="str">
        <f t="shared" si="35"/>
        <v>ON1</v>
      </c>
      <c r="H1302" s="16" t="s">
        <v>21</v>
      </c>
      <c r="I1302" s="16" t="s">
        <v>35</v>
      </c>
      <c r="J1302" s="16" t="str">
        <f>""</f>
        <v/>
      </c>
      <c r="K1302" s="16" t="str">
        <f>"PFES1162728189_0001"</f>
        <v>PFES1162728189_0001</v>
      </c>
      <c r="L1302" s="16">
        <v>1</v>
      </c>
      <c r="M1302" s="16">
        <v>1</v>
      </c>
    </row>
    <row r="1303" spans="1:13">
      <c r="A1303" s="7">
        <v>43811</v>
      </c>
      <c r="B1303" s="8">
        <v>0.46388888888888885</v>
      </c>
      <c r="C1303" s="16" t="str">
        <f>"FES1162727921"</f>
        <v>FES1162727921</v>
      </c>
      <c r="D1303" s="16" t="s">
        <v>19</v>
      </c>
      <c r="E1303" s="16" t="s">
        <v>139</v>
      </c>
      <c r="F1303" s="16" t="str">
        <f>"2170719882 "</f>
        <v xml:space="preserve">2170719882 </v>
      </c>
      <c r="G1303" s="16" t="str">
        <f t="shared" si="35"/>
        <v>ON1</v>
      </c>
      <c r="H1303" s="16" t="s">
        <v>21</v>
      </c>
      <c r="I1303" s="16" t="s">
        <v>123</v>
      </c>
      <c r="J1303" s="16" t="str">
        <f>""</f>
        <v/>
      </c>
      <c r="K1303" s="16" t="str">
        <f>"PFES1162727921_0001"</f>
        <v>PFES1162727921_0001</v>
      </c>
      <c r="L1303" s="16">
        <v>1</v>
      </c>
      <c r="M1303" s="16">
        <v>5</v>
      </c>
    </row>
    <row r="1304" spans="1:13">
      <c r="A1304" s="7">
        <v>43811</v>
      </c>
      <c r="B1304" s="8">
        <v>0.46319444444444446</v>
      </c>
      <c r="C1304" s="16" t="str">
        <f>"FES1162727923"</f>
        <v>FES1162727923</v>
      </c>
      <c r="D1304" s="16" t="s">
        <v>19</v>
      </c>
      <c r="E1304" s="16" t="s">
        <v>120</v>
      </c>
      <c r="F1304" s="16" t="str">
        <f>"2170721126 "</f>
        <v xml:space="preserve">2170721126 </v>
      </c>
      <c r="G1304" s="16" t="str">
        <f t="shared" si="35"/>
        <v>ON1</v>
      </c>
      <c r="H1304" s="16" t="s">
        <v>21</v>
      </c>
      <c r="I1304" s="16" t="s">
        <v>121</v>
      </c>
      <c r="J1304" s="16" t="str">
        <f>""</f>
        <v/>
      </c>
      <c r="K1304" s="16" t="str">
        <f>"PFES1162727923_0001"</f>
        <v>PFES1162727923_0001</v>
      </c>
      <c r="L1304" s="16">
        <v>3</v>
      </c>
      <c r="M1304" s="16">
        <v>6</v>
      </c>
    </row>
    <row r="1305" spans="1:13">
      <c r="A1305" s="7">
        <v>43811</v>
      </c>
      <c r="B1305" s="8">
        <v>0.46319444444444446</v>
      </c>
      <c r="C1305" s="16" t="str">
        <f>"FES1162727923"</f>
        <v>FES1162727923</v>
      </c>
      <c r="D1305" s="16" t="s">
        <v>19</v>
      </c>
      <c r="E1305" s="16" t="s">
        <v>120</v>
      </c>
      <c r="F1305" s="16" t="str">
        <f t="shared" ref="F1305:F1306" si="36">"2170721126 "</f>
        <v xml:space="preserve">2170721126 </v>
      </c>
      <c r="G1305" s="16" t="str">
        <f t="shared" si="35"/>
        <v>ON1</v>
      </c>
      <c r="H1305" s="16" t="s">
        <v>21</v>
      </c>
      <c r="I1305" s="16" t="s">
        <v>121</v>
      </c>
      <c r="J1305" s="16"/>
      <c r="K1305" s="16" t="str">
        <f>"PFES1162727923_0002"</f>
        <v>PFES1162727923_0002</v>
      </c>
      <c r="L1305" s="16">
        <v>3</v>
      </c>
      <c r="M1305" s="16">
        <v>6</v>
      </c>
    </row>
    <row r="1306" spans="1:13">
      <c r="A1306" s="7">
        <v>43811</v>
      </c>
      <c r="B1306" s="8">
        <v>0.46319444444444446</v>
      </c>
      <c r="C1306" s="16" t="str">
        <f>"FES1162727923"</f>
        <v>FES1162727923</v>
      </c>
      <c r="D1306" s="16" t="s">
        <v>19</v>
      </c>
      <c r="E1306" s="16" t="s">
        <v>120</v>
      </c>
      <c r="F1306" s="16" t="str">
        <f t="shared" si="36"/>
        <v xml:space="preserve">2170721126 </v>
      </c>
      <c r="G1306" s="16" t="str">
        <f t="shared" si="35"/>
        <v>ON1</v>
      </c>
      <c r="H1306" s="16" t="s">
        <v>21</v>
      </c>
      <c r="I1306" s="16" t="s">
        <v>121</v>
      </c>
      <c r="J1306" s="16"/>
      <c r="K1306" s="16" t="str">
        <f>"PFES1162727923_0003"</f>
        <v>PFES1162727923_0003</v>
      </c>
      <c r="L1306" s="16">
        <v>3</v>
      </c>
      <c r="M1306" s="16">
        <v>6</v>
      </c>
    </row>
    <row r="1307" spans="1:13">
      <c r="A1307" s="7">
        <v>43816</v>
      </c>
      <c r="B1307" s="8">
        <v>0.6875</v>
      </c>
      <c r="C1307" s="17" t="str">
        <f>"FES1162728602"</f>
        <v>FES1162728602</v>
      </c>
      <c r="D1307" s="17" t="s">
        <v>19</v>
      </c>
      <c r="E1307" s="17" t="s">
        <v>24</v>
      </c>
      <c r="F1307" s="17" t="str">
        <f>"2170721824 "</f>
        <v xml:space="preserve">2170721824 </v>
      </c>
      <c r="G1307" s="17" t="str">
        <f t="shared" si="35"/>
        <v>ON1</v>
      </c>
      <c r="H1307" s="17" t="s">
        <v>21</v>
      </c>
      <c r="I1307" s="17" t="s">
        <v>25</v>
      </c>
      <c r="J1307" s="17" t="str">
        <f>""</f>
        <v/>
      </c>
      <c r="K1307" s="17" t="str">
        <f>"PFES1162728602_0001"</f>
        <v>PFES1162728602_0001</v>
      </c>
      <c r="L1307" s="17">
        <v>1</v>
      </c>
      <c r="M1307" s="17">
        <v>10</v>
      </c>
    </row>
    <row r="1308" spans="1:13">
      <c r="A1308" s="7">
        <v>43816</v>
      </c>
      <c r="B1308" s="8">
        <v>0.6875</v>
      </c>
      <c r="C1308" s="17" t="str">
        <f>"FES1162728527"</f>
        <v>FES1162728527</v>
      </c>
      <c r="D1308" s="17" t="s">
        <v>19</v>
      </c>
      <c r="E1308" s="17" t="s">
        <v>215</v>
      </c>
      <c r="F1308" s="17" t="str">
        <f>"2170719809 "</f>
        <v xml:space="preserve">2170719809 </v>
      </c>
      <c r="G1308" s="17" t="str">
        <f t="shared" si="35"/>
        <v>ON1</v>
      </c>
      <c r="H1308" s="17" t="s">
        <v>21</v>
      </c>
      <c r="I1308" s="17" t="s">
        <v>216</v>
      </c>
      <c r="J1308" s="17" t="str">
        <f>""</f>
        <v/>
      </c>
      <c r="K1308" s="17" t="str">
        <f>"PFES1162728527_0001"</f>
        <v>PFES1162728527_0001</v>
      </c>
      <c r="L1308" s="17">
        <v>1</v>
      </c>
      <c r="M1308" s="17">
        <v>1</v>
      </c>
    </row>
    <row r="1309" spans="1:13">
      <c r="A1309" s="7">
        <v>43816</v>
      </c>
      <c r="B1309" s="8">
        <v>0.6875</v>
      </c>
      <c r="C1309" s="17" t="str">
        <f>"FES1162728535"</f>
        <v>FES1162728535</v>
      </c>
      <c r="D1309" s="17" t="s">
        <v>19</v>
      </c>
      <c r="E1309" s="17" t="s">
        <v>705</v>
      </c>
      <c r="F1309" s="17" t="str">
        <f>"2170721611 "</f>
        <v xml:space="preserve">2170721611 </v>
      </c>
      <c r="G1309" s="17" t="str">
        <f t="shared" si="35"/>
        <v>ON1</v>
      </c>
      <c r="H1309" s="17" t="s">
        <v>21</v>
      </c>
      <c r="I1309" s="17" t="s">
        <v>78</v>
      </c>
      <c r="J1309" s="17" t="str">
        <f>""</f>
        <v/>
      </c>
      <c r="K1309" s="17" t="str">
        <f>"PFES1162728535_0001"</f>
        <v>PFES1162728535_0001</v>
      </c>
      <c r="L1309" s="17">
        <v>1</v>
      </c>
      <c r="M1309" s="17">
        <v>1</v>
      </c>
    </row>
    <row r="1310" spans="1:13">
      <c r="A1310" s="7">
        <v>43816</v>
      </c>
      <c r="B1310" s="8">
        <v>0.68680555555555556</v>
      </c>
      <c r="C1310" s="17" t="str">
        <f>"FES1162728719"</f>
        <v>FES1162728719</v>
      </c>
      <c r="D1310" s="17" t="s">
        <v>19</v>
      </c>
      <c r="E1310" s="17" t="s">
        <v>101</v>
      </c>
      <c r="F1310" s="17" t="str">
        <f>"2170717136 "</f>
        <v xml:space="preserve">2170717136 </v>
      </c>
      <c r="G1310" s="17" t="str">
        <f t="shared" si="35"/>
        <v>ON1</v>
      </c>
      <c r="H1310" s="17" t="s">
        <v>21</v>
      </c>
      <c r="I1310" s="17" t="s">
        <v>102</v>
      </c>
      <c r="J1310" s="17" t="str">
        <f>""</f>
        <v/>
      </c>
      <c r="K1310" s="17" t="str">
        <f>"PFES1162728719_0001"</f>
        <v>PFES1162728719_0001</v>
      </c>
      <c r="L1310" s="17">
        <v>1</v>
      </c>
      <c r="M1310" s="17">
        <v>3</v>
      </c>
    </row>
    <row r="1311" spans="1:13">
      <c r="A1311" s="7">
        <v>43816</v>
      </c>
      <c r="B1311" s="8">
        <v>0.68680555555555556</v>
      </c>
      <c r="C1311" s="17" t="str">
        <f>"FES1162728792"</f>
        <v>FES1162728792</v>
      </c>
      <c r="D1311" s="17" t="s">
        <v>19</v>
      </c>
      <c r="E1311" s="17" t="s">
        <v>354</v>
      </c>
      <c r="F1311" s="17" t="str">
        <f>"2170721987 "</f>
        <v xml:space="preserve">2170721987 </v>
      </c>
      <c r="G1311" s="17" t="str">
        <f t="shared" si="35"/>
        <v>ON1</v>
      </c>
      <c r="H1311" s="17" t="s">
        <v>21</v>
      </c>
      <c r="I1311" s="17" t="s">
        <v>355</v>
      </c>
      <c r="J1311" s="17" t="str">
        <f>""</f>
        <v/>
      </c>
      <c r="K1311" s="17" t="str">
        <f>"PFES1162728792_0001"</f>
        <v>PFES1162728792_0001</v>
      </c>
      <c r="L1311" s="17">
        <v>1</v>
      </c>
      <c r="M1311" s="17">
        <v>3</v>
      </c>
    </row>
    <row r="1312" spans="1:13">
      <c r="A1312" s="7">
        <v>43816</v>
      </c>
      <c r="B1312" s="8">
        <v>0.68263888888888891</v>
      </c>
      <c r="C1312" s="17" t="str">
        <f>"FES1162728664"</f>
        <v>FES1162728664</v>
      </c>
      <c r="D1312" s="17" t="s">
        <v>19</v>
      </c>
      <c r="E1312" s="17" t="s">
        <v>513</v>
      </c>
      <c r="F1312" s="17" t="str">
        <f>"251701785 "</f>
        <v xml:space="preserve">251701785 </v>
      </c>
      <c r="G1312" s="17" t="str">
        <f t="shared" si="35"/>
        <v>ON1</v>
      </c>
      <c r="H1312" s="17" t="s">
        <v>21</v>
      </c>
      <c r="I1312" s="17" t="s">
        <v>78</v>
      </c>
      <c r="J1312" s="17" t="str">
        <f>""</f>
        <v/>
      </c>
      <c r="K1312" s="17" t="str">
        <f>"PFES1162728664_0001"</f>
        <v>PFES1162728664_0001</v>
      </c>
      <c r="L1312" s="17">
        <v>1</v>
      </c>
      <c r="M1312" s="17">
        <v>1</v>
      </c>
    </row>
    <row r="1313" spans="1:13">
      <c r="A1313" s="7">
        <v>43816</v>
      </c>
      <c r="B1313" s="8">
        <v>0.68263888888888891</v>
      </c>
      <c r="C1313" s="17" t="str">
        <f>"FES1162728555"</f>
        <v>FES1162728555</v>
      </c>
      <c r="D1313" s="17" t="s">
        <v>19</v>
      </c>
      <c r="E1313" s="17" t="s">
        <v>260</v>
      </c>
      <c r="F1313" s="17" t="str">
        <f>"2170717808 "</f>
        <v xml:space="preserve">2170717808 </v>
      </c>
      <c r="G1313" s="17" t="str">
        <f t="shared" si="35"/>
        <v>ON1</v>
      </c>
      <c r="H1313" s="17" t="s">
        <v>21</v>
      </c>
      <c r="I1313" s="17" t="s">
        <v>216</v>
      </c>
      <c r="J1313" s="17" t="str">
        <f>""</f>
        <v/>
      </c>
      <c r="K1313" s="17" t="str">
        <f>"PFES1162728555_0001"</f>
        <v>PFES1162728555_0001</v>
      </c>
      <c r="L1313" s="17">
        <v>1</v>
      </c>
      <c r="M1313" s="17">
        <v>1</v>
      </c>
    </row>
    <row r="1314" spans="1:13">
      <c r="A1314" s="7">
        <v>43816</v>
      </c>
      <c r="B1314" s="8">
        <v>0.68194444444444446</v>
      </c>
      <c r="C1314" s="17" t="str">
        <f>"FES1162728561"</f>
        <v>FES1162728561</v>
      </c>
      <c r="D1314" s="17" t="s">
        <v>19</v>
      </c>
      <c r="E1314" s="17" t="s">
        <v>644</v>
      </c>
      <c r="F1314" s="17" t="str">
        <f>"2170718990 "</f>
        <v xml:space="preserve">2170718990 </v>
      </c>
      <c r="G1314" s="17" t="str">
        <f t="shared" si="35"/>
        <v>ON1</v>
      </c>
      <c r="H1314" s="17" t="s">
        <v>21</v>
      </c>
      <c r="I1314" s="17" t="s">
        <v>123</v>
      </c>
      <c r="J1314" s="17" t="str">
        <f>""</f>
        <v/>
      </c>
      <c r="K1314" s="17" t="str">
        <f>"PFES1162728561_0001"</f>
        <v>PFES1162728561_0001</v>
      </c>
      <c r="L1314" s="17">
        <v>1</v>
      </c>
      <c r="M1314" s="17">
        <v>1</v>
      </c>
    </row>
    <row r="1315" spans="1:13">
      <c r="A1315" s="7">
        <v>43816</v>
      </c>
      <c r="B1315" s="8">
        <v>0.68194444444444446</v>
      </c>
      <c r="C1315" s="17" t="str">
        <f>"FES1162728389"</f>
        <v>FES1162728389</v>
      </c>
      <c r="D1315" s="17" t="s">
        <v>19</v>
      </c>
      <c r="E1315" s="17" t="s">
        <v>519</v>
      </c>
      <c r="F1315" s="17" t="str">
        <f>"2170717696 "</f>
        <v xml:space="preserve">2170717696 </v>
      </c>
      <c r="G1315" s="17" t="str">
        <f t="shared" si="35"/>
        <v>ON1</v>
      </c>
      <c r="H1315" s="17" t="s">
        <v>21</v>
      </c>
      <c r="I1315" s="17" t="s">
        <v>119</v>
      </c>
      <c r="J1315" s="17" t="str">
        <f>""</f>
        <v/>
      </c>
      <c r="K1315" s="17" t="str">
        <f>"PFES1162728389_0001"</f>
        <v>PFES1162728389_0001</v>
      </c>
      <c r="L1315" s="17">
        <v>1</v>
      </c>
      <c r="M1315" s="17">
        <v>1</v>
      </c>
    </row>
    <row r="1316" spans="1:13">
      <c r="A1316" s="7">
        <v>43816</v>
      </c>
      <c r="B1316" s="8">
        <v>0.68194444444444446</v>
      </c>
      <c r="C1316" s="17" t="str">
        <f>"FES1162728670"</f>
        <v>FES1162728670</v>
      </c>
      <c r="D1316" s="17" t="s">
        <v>19</v>
      </c>
      <c r="E1316" s="17" t="s">
        <v>295</v>
      </c>
      <c r="F1316" s="17" t="str">
        <f>"2170720126 "</f>
        <v xml:space="preserve">2170720126 </v>
      </c>
      <c r="G1316" s="17" t="str">
        <f t="shared" si="35"/>
        <v>ON1</v>
      </c>
      <c r="H1316" s="17" t="s">
        <v>21</v>
      </c>
      <c r="I1316" s="17" t="s">
        <v>78</v>
      </c>
      <c r="J1316" s="17" t="str">
        <f>""</f>
        <v/>
      </c>
      <c r="K1316" s="17" t="str">
        <f>"PFES1162728670_0001"</f>
        <v>PFES1162728670_0001</v>
      </c>
      <c r="L1316" s="17">
        <v>1</v>
      </c>
      <c r="M1316" s="17">
        <v>1</v>
      </c>
    </row>
    <row r="1317" spans="1:13">
      <c r="A1317" s="7">
        <v>43816</v>
      </c>
      <c r="B1317" s="8">
        <v>0.68125000000000002</v>
      </c>
      <c r="C1317" s="17" t="str">
        <f>"FES1162728556"</f>
        <v>FES1162728556</v>
      </c>
      <c r="D1317" s="17" t="s">
        <v>19</v>
      </c>
      <c r="E1317" s="17" t="s">
        <v>260</v>
      </c>
      <c r="F1317" s="17" t="str">
        <f>"2170717812 "</f>
        <v xml:space="preserve">2170717812 </v>
      </c>
      <c r="G1317" s="17" t="str">
        <f t="shared" si="35"/>
        <v>ON1</v>
      </c>
      <c r="H1317" s="17" t="s">
        <v>21</v>
      </c>
      <c r="I1317" s="17" t="s">
        <v>216</v>
      </c>
      <c r="J1317" s="17" t="str">
        <f>""</f>
        <v/>
      </c>
      <c r="K1317" s="17" t="str">
        <f>"PFES1162728556_0001"</f>
        <v>PFES1162728556_0001</v>
      </c>
      <c r="L1317" s="17">
        <v>1</v>
      </c>
      <c r="M1317" s="17">
        <v>1</v>
      </c>
    </row>
    <row r="1318" spans="1:13">
      <c r="A1318" s="7">
        <v>43816</v>
      </c>
      <c r="B1318" s="8">
        <v>0.68125000000000002</v>
      </c>
      <c r="C1318" s="17" t="str">
        <f>"FES1162728718"</f>
        <v>FES1162728718</v>
      </c>
      <c r="D1318" s="17" t="s">
        <v>19</v>
      </c>
      <c r="E1318" s="17" t="s">
        <v>706</v>
      </c>
      <c r="F1318" s="17" t="str">
        <f>"2170716680 "</f>
        <v xml:space="preserve">2170716680 </v>
      </c>
      <c r="G1318" s="17" t="str">
        <f t="shared" si="35"/>
        <v>ON1</v>
      </c>
      <c r="H1318" s="17" t="s">
        <v>21</v>
      </c>
      <c r="I1318" s="17" t="s">
        <v>707</v>
      </c>
      <c r="J1318" s="17" t="str">
        <f>""</f>
        <v/>
      </c>
      <c r="K1318" s="17" t="str">
        <f>"PFES1162728718_0001"</f>
        <v>PFES1162728718_0001</v>
      </c>
      <c r="L1318" s="17">
        <v>1</v>
      </c>
      <c r="M1318" s="17">
        <v>3</v>
      </c>
    </row>
    <row r="1319" spans="1:13">
      <c r="A1319" s="7">
        <v>43816</v>
      </c>
      <c r="B1319" s="8">
        <v>0.68055555555555547</v>
      </c>
      <c r="C1319" s="17" t="str">
        <f>"FES1162728732"</f>
        <v>FES1162728732</v>
      </c>
      <c r="D1319" s="17" t="s">
        <v>19</v>
      </c>
      <c r="E1319" s="17" t="s">
        <v>99</v>
      </c>
      <c r="F1319" s="17" t="str">
        <f>"2170720613 "</f>
        <v xml:space="preserve">2170720613 </v>
      </c>
      <c r="G1319" s="17" t="str">
        <f t="shared" ref="G1319:G1382" si="37">"ON1"</f>
        <v>ON1</v>
      </c>
      <c r="H1319" s="17" t="s">
        <v>21</v>
      </c>
      <c r="I1319" s="17" t="s">
        <v>100</v>
      </c>
      <c r="J1319" s="17" t="str">
        <f>""</f>
        <v/>
      </c>
      <c r="K1319" s="17" t="str">
        <f>"PFES1162728732_0001"</f>
        <v>PFES1162728732_0001</v>
      </c>
      <c r="L1319" s="17">
        <v>1</v>
      </c>
      <c r="M1319" s="17">
        <v>4</v>
      </c>
    </row>
    <row r="1320" spans="1:13">
      <c r="A1320" s="7">
        <v>43816</v>
      </c>
      <c r="B1320" s="8">
        <v>0.6777777777777777</v>
      </c>
      <c r="C1320" s="17" t="str">
        <f>"FES1162728569"</f>
        <v>FES1162728569</v>
      </c>
      <c r="D1320" s="17" t="s">
        <v>19</v>
      </c>
      <c r="E1320" s="17" t="s">
        <v>378</v>
      </c>
      <c r="F1320" s="17" t="str">
        <f>"2170720098 "</f>
        <v xml:space="preserve">2170720098 </v>
      </c>
      <c r="G1320" s="17" t="str">
        <f t="shared" si="37"/>
        <v>ON1</v>
      </c>
      <c r="H1320" s="17" t="s">
        <v>21</v>
      </c>
      <c r="I1320" s="17" t="s">
        <v>56</v>
      </c>
      <c r="J1320" s="17" t="str">
        <f>""</f>
        <v/>
      </c>
      <c r="K1320" s="17" t="str">
        <f>"PFES1162728569_0001"</f>
        <v>PFES1162728569_0001</v>
      </c>
      <c r="L1320" s="17">
        <v>1</v>
      </c>
      <c r="M1320" s="17">
        <v>11</v>
      </c>
    </row>
    <row r="1321" spans="1:13">
      <c r="A1321" s="7">
        <v>43816</v>
      </c>
      <c r="B1321" s="8">
        <v>0.67708333333333337</v>
      </c>
      <c r="C1321" s="17" t="str">
        <f>"FES1162728712"</f>
        <v>FES1162728712</v>
      </c>
      <c r="D1321" s="17" t="s">
        <v>19</v>
      </c>
      <c r="E1321" s="17" t="s">
        <v>124</v>
      </c>
      <c r="F1321" s="17" t="str">
        <f>"2170721911 "</f>
        <v xml:space="preserve">2170721911 </v>
      </c>
      <c r="G1321" s="17" t="str">
        <f t="shared" si="37"/>
        <v>ON1</v>
      </c>
      <c r="H1321" s="17" t="s">
        <v>21</v>
      </c>
      <c r="I1321" s="17" t="s">
        <v>125</v>
      </c>
      <c r="J1321" s="17" t="str">
        <f>""</f>
        <v/>
      </c>
      <c r="K1321" s="17" t="str">
        <f>"PFES1162728712_0001"</f>
        <v>PFES1162728712_0001</v>
      </c>
      <c r="L1321" s="17">
        <v>1</v>
      </c>
      <c r="M1321" s="17">
        <v>3</v>
      </c>
    </row>
    <row r="1322" spans="1:13">
      <c r="A1322" s="7">
        <v>43816</v>
      </c>
      <c r="B1322" s="8">
        <v>0.67638888888888893</v>
      </c>
      <c r="C1322" s="17" t="str">
        <f>"FES1162728562"</f>
        <v>FES1162728562</v>
      </c>
      <c r="D1322" s="17" t="s">
        <v>19</v>
      </c>
      <c r="E1322" s="17" t="s">
        <v>644</v>
      </c>
      <c r="F1322" s="17" t="str">
        <f>"2170718993 "</f>
        <v xml:space="preserve">2170718993 </v>
      </c>
      <c r="G1322" s="17" t="str">
        <f t="shared" si="37"/>
        <v>ON1</v>
      </c>
      <c r="H1322" s="17" t="s">
        <v>21</v>
      </c>
      <c r="I1322" s="17" t="s">
        <v>123</v>
      </c>
      <c r="J1322" s="17" t="str">
        <f>""</f>
        <v/>
      </c>
      <c r="K1322" s="17" t="str">
        <f>"PFES1162728562_0001"</f>
        <v>PFES1162728562_0001</v>
      </c>
      <c r="L1322" s="17">
        <v>1</v>
      </c>
      <c r="M1322" s="17">
        <v>3</v>
      </c>
    </row>
    <row r="1323" spans="1:13">
      <c r="A1323" s="7">
        <v>43816</v>
      </c>
      <c r="B1323" s="8">
        <v>0.67569444444444438</v>
      </c>
      <c r="C1323" s="17" t="str">
        <f>"FES1162728686"</f>
        <v>FES1162728686</v>
      </c>
      <c r="D1323" s="17" t="s">
        <v>19</v>
      </c>
      <c r="E1323" s="17" t="s">
        <v>377</v>
      </c>
      <c r="F1323" s="17" t="str">
        <f>"2170718884 "</f>
        <v xml:space="preserve">2170718884 </v>
      </c>
      <c r="G1323" s="17" t="str">
        <f t="shared" si="37"/>
        <v>ON1</v>
      </c>
      <c r="H1323" s="17" t="s">
        <v>21</v>
      </c>
      <c r="I1323" s="17" t="s">
        <v>136</v>
      </c>
      <c r="J1323" s="17" t="str">
        <f>""</f>
        <v/>
      </c>
      <c r="K1323" s="17" t="str">
        <f>"PFES1162728686_0001"</f>
        <v>PFES1162728686_0001</v>
      </c>
      <c r="L1323" s="17">
        <v>1</v>
      </c>
      <c r="M1323" s="17">
        <v>1</v>
      </c>
    </row>
    <row r="1324" spans="1:13">
      <c r="A1324" s="7">
        <v>43816</v>
      </c>
      <c r="B1324" s="8">
        <v>0.67499999999999993</v>
      </c>
      <c r="C1324" s="17" t="str">
        <f>"FES1162728620"</f>
        <v>FES1162728620</v>
      </c>
      <c r="D1324" s="17" t="s">
        <v>19</v>
      </c>
      <c r="E1324" s="17" t="s">
        <v>310</v>
      </c>
      <c r="F1324" s="17" t="str">
        <f>"2170719421 "</f>
        <v xml:space="preserve">2170719421 </v>
      </c>
      <c r="G1324" s="17" t="str">
        <f t="shared" si="37"/>
        <v>ON1</v>
      </c>
      <c r="H1324" s="17" t="s">
        <v>21</v>
      </c>
      <c r="I1324" s="17" t="s">
        <v>294</v>
      </c>
      <c r="J1324" s="17" t="str">
        <f>""</f>
        <v/>
      </c>
      <c r="K1324" s="17" t="str">
        <f>"PFES1162728620_0001"</f>
        <v>PFES1162728620_0001</v>
      </c>
      <c r="L1324" s="17">
        <v>1</v>
      </c>
      <c r="M1324" s="17">
        <v>2</v>
      </c>
    </row>
    <row r="1325" spans="1:13">
      <c r="A1325" s="7">
        <v>43816</v>
      </c>
      <c r="B1325" s="8">
        <v>0.6743055555555556</v>
      </c>
      <c r="C1325" s="17" t="str">
        <f>"FES1162728730"</f>
        <v>FES1162728730</v>
      </c>
      <c r="D1325" s="17" t="s">
        <v>19</v>
      </c>
      <c r="E1325" s="17" t="s">
        <v>298</v>
      </c>
      <c r="F1325" s="17" t="str">
        <f>"2170720052 "</f>
        <v xml:space="preserve">2170720052 </v>
      </c>
      <c r="G1325" s="17" t="str">
        <f t="shared" si="37"/>
        <v>ON1</v>
      </c>
      <c r="H1325" s="17" t="s">
        <v>21</v>
      </c>
      <c r="I1325" s="17" t="s">
        <v>136</v>
      </c>
      <c r="J1325" s="17" t="str">
        <f>""</f>
        <v/>
      </c>
      <c r="K1325" s="17" t="str">
        <f>"PFES1162728730_0001"</f>
        <v>PFES1162728730_0001</v>
      </c>
      <c r="L1325" s="17">
        <v>1</v>
      </c>
      <c r="M1325" s="17">
        <v>5</v>
      </c>
    </row>
    <row r="1326" spans="1:13">
      <c r="A1326" s="7">
        <v>43816</v>
      </c>
      <c r="B1326" s="8">
        <v>0.6743055555555556</v>
      </c>
      <c r="C1326" s="17" t="str">
        <f>"FES1162728787"</f>
        <v>FES1162728787</v>
      </c>
      <c r="D1326" s="17" t="s">
        <v>19</v>
      </c>
      <c r="E1326" s="17" t="s">
        <v>190</v>
      </c>
      <c r="F1326" s="17" t="str">
        <f>"217071981 "</f>
        <v xml:space="preserve">217071981 </v>
      </c>
      <c r="G1326" s="17" t="str">
        <f t="shared" si="37"/>
        <v>ON1</v>
      </c>
      <c r="H1326" s="17" t="s">
        <v>21</v>
      </c>
      <c r="I1326" s="17" t="s">
        <v>191</v>
      </c>
      <c r="J1326" s="17" t="str">
        <f>""</f>
        <v/>
      </c>
      <c r="K1326" s="17" t="str">
        <f>"PFES1162728787_0001"</f>
        <v>PFES1162728787_0001</v>
      </c>
      <c r="L1326" s="17">
        <v>1</v>
      </c>
      <c r="M1326" s="17">
        <v>1</v>
      </c>
    </row>
    <row r="1327" spans="1:13">
      <c r="A1327" s="7">
        <v>43816</v>
      </c>
      <c r="B1327" s="8">
        <v>0.67361111111111116</v>
      </c>
      <c r="C1327" s="17" t="str">
        <f>"FES1162728542"</f>
        <v>FES1162728542</v>
      </c>
      <c r="D1327" s="17" t="s">
        <v>19</v>
      </c>
      <c r="E1327" s="17" t="s">
        <v>44</v>
      </c>
      <c r="F1327" s="17" t="str">
        <f>"2170721781 "</f>
        <v xml:space="preserve">2170721781 </v>
      </c>
      <c r="G1327" s="17" t="str">
        <f t="shared" si="37"/>
        <v>ON1</v>
      </c>
      <c r="H1327" s="17" t="s">
        <v>21</v>
      </c>
      <c r="I1327" s="17" t="s">
        <v>45</v>
      </c>
      <c r="J1327" s="17" t="str">
        <f>""</f>
        <v/>
      </c>
      <c r="K1327" s="17" t="str">
        <f>"PFES1162728542_0001"</f>
        <v>PFES1162728542_0001</v>
      </c>
      <c r="L1327" s="17">
        <v>1</v>
      </c>
      <c r="M1327" s="17">
        <v>3</v>
      </c>
    </row>
    <row r="1328" spans="1:13">
      <c r="A1328" s="7">
        <v>43816</v>
      </c>
      <c r="B1328" s="8">
        <v>0.67361111111111116</v>
      </c>
      <c r="C1328" s="17" t="str">
        <f>"FES1162728681"</f>
        <v>FES1162728681</v>
      </c>
      <c r="D1328" s="17" t="s">
        <v>19</v>
      </c>
      <c r="E1328" s="17" t="s">
        <v>292</v>
      </c>
      <c r="F1328" s="17" t="str">
        <f>"2170721876 "</f>
        <v xml:space="preserve">2170721876 </v>
      </c>
      <c r="G1328" s="17" t="str">
        <f t="shared" si="37"/>
        <v>ON1</v>
      </c>
      <c r="H1328" s="17" t="s">
        <v>21</v>
      </c>
      <c r="I1328" s="17" t="s">
        <v>78</v>
      </c>
      <c r="J1328" s="17" t="str">
        <f>""</f>
        <v/>
      </c>
      <c r="K1328" s="17" t="str">
        <f>"PFES1162728681_0001"</f>
        <v>PFES1162728681_0001</v>
      </c>
      <c r="L1328" s="17">
        <v>1</v>
      </c>
      <c r="M1328" s="17">
        <v>2</v>
      </c>
    </row>
    <row r="1329" spans="1:13">
      <c r="A1329" s="7">
        <v>43816</v>
      </c>
      <c r="B1329" s="8">
        <v>0.67361111111111116</v>
      </c>
      <c r="C1329" s="17" t="str">
        <f>"FES1162728520"</f>
        <v>FES1162728520</v>
      </c>
      <c r="D1329" s="17" t="s">
        <v>19</v>
      </c>
      <c r="E1329" s="17" t="s">
        <v>75</v>
      </c>
      <c r="F1329" s="17" t="str">
        <f>"2170721756 "</f>
        <v xml:space="preserve">2170721756 </v>
      </c>
      <c r="G1329" s="17" t="str">
        <f t="shared" si="37"/>
        <v>ON1</v>
      </c>
      <c r="H1329" s="17" t="s">
        <v>21</v>
      </c>
      <c r="I1329" s="17" t="s">
        <v>76</v>
      </c>
      <c r="J1329" s="17" t="str">
        <f>""</f>
        <v/>
      </c>
      <c r="K1329" s="17" t="str">
        <f>"PFES1162728520_0001"</f>
        <v>PFES1162728520_0001</v>
      </c>
      <c r="L1329" s="17">
        <v>1</v>
      </c>
      <c r="M1329" s="17">
        <v>3</v>
      </c>
    </row>
    <row r="1330" spans="1:13">
      <c r="A1330" s="7">
        <v>43816</v>
      </c>
      <c r="B1330" s="8">
        <v>0.67291666666666661</v>
      </c>
      <c r="C1330" s="17" t="str">
        <f>"FES1162728574"</f>
        <v>FES1162728574</v>
      </c>
      <c r="D1330" s="17" t="s">
        <v>19</v>
      </c>
      <c r="E1330" s="17" t="s">
        <v>708</v>
      </c>
      <c r="F1330" s="17" t="str">
        <f>"2170721270 "</f>
        <v xml:space="preserve">2170721270 </v>
      </c>
      <c r="G1330" s="17" t="str">
        <f t="shared" si="37"/>
        <v>ON1</v>
      </c>
      <c r="H1330" s="17" t="s">
        <v>21</v>
      </c>
      <c r="I1330" s="17" t="s">
        <v>346</v>
      </c>
      <c r="J1330" s="17" t="str">
        <f>""</f>
        <v/>
      </c>
      <c r="K1330" s="17" t="str">
        <f>"PFES1162728574_0001"</f>
        <v>PFES1162728574_0001</v>
      </c>
      <c r="L1330" s="17">
        <v>1</v>
      </c>
      <c r="M1330" s="17">
        <v>4</v>
      </c>
    </row>
    <row r="1331" spans="1:13">
      <c r="A1331" s="7">
        <v>43816</v>
      </c>
      <c r="B1331" s="8">
        <v>0.67291666666666661</v>
      </c>
      <c r="C1331" s="17" t="str">
        <f>"FES1162728760"</f>
        <v>FES1162728760</v>
      </c>
      <c r="D1331" s="17" t="s">
        <v>19</v>
      </c>
      <c r="E1331" s="17" t="s">
        <v>709</v>
      </c>
      <c r="F1331" s="17" t="str">
        <f>"217072147 "</f>
        <v xml:space="preserve">217072147 </v>
      </c>
      <c r="G1331" s="17" t="str">
        <f t="shared" si="37"/>
        <v>ON1</v>
      </c>
      <c r="H1331" s="17" t="s">
        <v>21</v>
      </c>
      <c r="I1331" s="17" t="s">
        <v>710</v>
      </c>
      <c r="J1331" s="17" t="str">
        <f>""</f>
        <v/>
      </c>
      <c r="K1331" s="17" t="str">
        <f>"PFES1162728760_0001"</f>
        <v>PFES1162728760_0001</v>
      </c>
      <c r="L1331" s="17">
        <v>1</v>
      </c>
      <c r="M1331" s="17">
        <v>2</v>
      </c>
    </row>
    <row r="1332" spans="1:13">
      <c r="A1332" s="7">
        <v>43816</v>
      </c>
      <c r="B1332" s="8">
        <v>0.67222222222222217</v>
      </c>
      <c r="C1332" s="17" t="str">
        <f>"FES1162728768"</f>
        <v>FES1162728768</v>
      </c>
      <c r="D1332" s="17" t="s">
        <v>19</v>
      </c>
      <c r="E1332" s="17" t="s">
        <v>711</v>
      </c>
      <c r="F1332" s="17" t="str">
        <f>"217071964 "</f>
        <v xml:space="preserve">217071964 </v>
      </c>
      <c r="G1332" s="17" t="str">
        <f t="shared" si="37"/>
        <v>ON1</v>
      </c>
      <c r="H1332" s="17" t="s">
        <v>21</v>
      </c>
      <c r="I1332" s="17" t="s">
        <v>359</v>
      </c>
      <c r="J1332" s="17" t="str">
        <f>""</f>
        <v/>
      </c>
      <c r="K1332" s="17" t="str">
        <f>"PFES1162728768_0001"</f>
        <v>PFES1162728768_0001</v>
      </c>
      <c r="L1332" s="17">
        <v>1</v>
      </c>
      <c r="M1332" s="17">
        <v>1</v>
      </c>
    </row>
    <row r="1333" spans="1:13">
      <c r="A1333" s="7">
        <v>43816</v>
      </c>
      <c r="B1333" s="8">
        <v>0.67222222222222217</v>
      </c>
      <c r="C1333" s="17" t="str">
        <f>"FES1162728726"</f>
        <v>FES1162728726</v>
      </c>
      <c r="D1333" s="17" t="s">
        <v>19</v>
      </c>
      <c r="E1333" s="17" t="s">
        <v>442</v>
      </c>
      <c r="F1333" s="17" t="str">
        <f>"2170719415 "</f>
        <v xml:space="preserve">2170719415 </v>
      </c>
      <c r="G1333" s="17" t="str">
        <f t="shared" si="37"/>
        <v>ON1</v>
      </c>
      <c r="H1333" s="17" t="s">
        <v>21</v>
      </c>
      <c r="I1333" s="17" t="s">
        <v>48</v>
      </c>
      <c r="J1333" s="17" t="str">
        <f>""</f>
        <v/>
      </c>
      <c r="K1333" s="17" t="str">
        <f>"PFES1162728726_0001"</f>
        <v>PFES1162728726_0001</v>
      </c>
      <c r="L1333" s="17">
        <v>1</v>
      </c>
      <c r="M1333" s="17">
        <v>2</v>
      </c>
    </row>
    <row r="1334" spans="1:13">
      <c r="A1334" s="7">
        <v>43816</v>
      </c>
      <c r="B1334" s="8">
        <v>0.67222222222222217</v>
      </c>
      <c r="C1334" s="17" t="str">
        <f>"FES1162728576"</f>
        <v>FES1162728576</v>
      </c>
      <c r="D1334" s="17" t="s">
        <v>19</v>
      </c>
      <c r="E1334" s="17" t="s">
        <v>93</v>
      </c>
      <c r="F1334" s="17" t="str">
        <f>"2170721430 "</f>
        <v xml:space="preserve">2170721430 </v>
      </c>
      <c r="G1334" s="17" t="str">
        <f t="shared" si="37"/>
        <v>ON1</v>
      </c>
      <c r="H1334" s="17" t="s">
        <v>21</v>
      </c>
      <c r="I1334" s="17" t="s">
        <v>121</v>
      </c>
      <c r="J1334" s="17" t="str">
        <f>""</f>
        <v/>
      </c>
      <c r="K1334" s="17" t="str">
        <f>"PFES1162728576_0001"</f>
        <v>PFES1162728576_0001</v>
      </c>
      <c r="L1334" s="17">
        <v>1</v>
      </c>
      <c r="M1334" s="17">
        <v>1</v>
      </c>
    </row>
    <row r="1335" spans="1:13">
      <c r="A1335" s="7">
        <v>43816</v>
      </c>
      <c r="B1335" s="8">
        <v>0.67152777777777783</v>
      </c>
      <c r="C1335" s="17" t="str">
        <f>"FES1162728534"</f>
        <v>FES1162728534</v>
      </c>
      <c r="D1335" s="17" t="s">
        <v>19</v>
      </c>
      <c r="E1335" s="17" t="s">
        <v>101</v>
      </c>
      <c r="F1335" s="17" t="str">
        <f>"2170721603 "</f>
        <v xml:space="preserve">2170721603 </v>
      </c>
      <c r="G1335" s="17" t="str">
        <f t="shared" si="37"/>
        <v>ON1</v>
      </c>
      <c r="H1335" s="17" t="s">
        <v>21</v>
      </c>
      <c r="I1335" s="17" t="s">
        <v>102</v>
      </c>
      <c r="J1335" s="17" t="str">
        <f>""</f>
        <v/>
      </c>
      <c r="K1335" s="17" t="str">
        <f>"PFES1162728534_0001"</f>
        <v>PFES1162728534_0001</v>
      </c>
      <c r="L1335" s="17">
        <v>1</v>
      </c>
      <c r="M1335" s="17">
        <v>1</v>
      </c>
    </row>
    <row r="1336" spans="1:13">
      <c r="A1336" s="7">
        <v>43816</v>
      </c>
      <c r="B1336" s="8">
        <v>0.67152777777777783</v>
      </c>
      <c r="C1336" s="17" t="str">
        <f>"FES1162728653"</f>
        <v>FES1162728653</v>
      </c>
      <c r="D1336" s="17" t="s">
        <v>19</v>
      </c>
      <c r="E1336" s="17" t="s">
        <v>310</v>
      </c>
      <c r="F1336" s="17" t="str">
        <f>"2170721863 "</f>
        <v xml:space="preserve">2170721863 </v>
      </c>
      <c r="G1336" s="17" t="str">
        <f t="shared" si="37"/>
        <v>ON1</v>
      </c>
      <c r="H1336" s="17" t="s">
        <v>21</v>
      </c>
      <c r="I1336" s="17" t="s">
        <v>294</v>
      </c>
      <c r="J1336" s="17" t="str">
        <f>""</f>
        <v/>
      </c>
      <c r="K1336" s="17" t="str">
        <f>"PFES1162728653_0001"</f>
        <v>PFES1162728653_0001</v>
      </c>
      <c r="L1336" s="17">
        <v>1</v>
      </c>
      <c r="M1336" s="17">
        <v>1</v>
      </c>
    </row>
    <row r="1337" spans="1:13">
      <c r="A1337" s="7">
        <v>43816</v>
      </c>
      <c r="B1337" s="8">
        <v>0.67083333333333339</v>
      </c>
      <c r="C1337" s="17" t="str">
        <f>"FES1162728776"</f>
        <v>FES1162728776</v>
      </c>
      <c r="D1337" s="17" t="s">
        <v>19</v>
      </c>
      <c r="E1337" s="17" t="s">
        <v>579</v>
      </c>
      <c r="F1337" s="17" t="str">
        <f>"2170721368 "</f>
        <v xml:space="preserve">2170721368 </v>
      </c>
      <c r="G1337" s="17" t="str">
        <f t="shared" si="37"/>
        <v>ON1</v>
      </c>
      <c r="H1337" s="17" t="s">
        <v>21</v>
      </c>
      <c r="I1337" s="17" t="s">
        <v>580</v>
      </c>
      <c r="J1337" s="17" t="str">
        <f>""</f>
        <v/>
      </c>
      <c r="K1337" s="17" t="str">
        <f>"PFES1162728776_0001"</f>
        <v>PFES1162728776_0001</v>
      </c>
      <c r="L1337" s="17">
        <v>1</v>
      </c>
      <c r="M1337" s="17">
        <v>1</v>
      </c>
    </row>
    <row r="1338" spans="1:13">
      <c r="A1338" s="7">
        <v>43816</v>
      </c>
      <c r="B1338" s="8">
        <v>0.67083333333333339</v>
      </c>
      <c r="C1338" s="17" t="str">
        <f>"FES1162728614"</f>
        <v>FES1162728614</v>
      </c>
      <c r="D1338" s="17" t="s">
        <v>19</v>
      </c>
      <c r="E1338" s="17" t="s">
        <v>137</v>
      </c>
      <c r="F1338" s="17" t="str">
        <f>"2170721833 "</f>
        <v xml:space="preserve">2170721833 </v>
      </c>
      <c r="G1338" s="17" t="str">
        <f t="shared" si="37"/>
        <v>ON1</v>
      </c>
      <c r="H1338" s="17" t="s">
        <v>21</v>
      </c>
      <c r="I1338" s="17" t="s">
        <v>100</v>
      </c>
      <c r="J1338" s="17" t="str">
        <f>""</f>
        <v/>
      </c>
      <c r="K1338" s="17" t="str">
        <f>"PFES1162728614_0001"</f>
        <v>PFES1162728614_0001</v>
      </c>
      <c r="L1338" s="17">
        <v>1</v>
      </c>
      <c r="M1338" s="17">
        <v>1</v>
      </c>
    </row>
    <row r="1339" spans="1:13">
      <c r="A1339" s="7">
        <v>43816</v>
      </c>
      <c r="B1339" s="8">
        <v>0.67083333333333339</v>
      </c>
      <c r="C1339" s="17" t="str">
        <f>"FES1162728774"</f>
        <v>FES1162728774</v>
      </c>
      <c r="D1339" s="17" t="s">
        <v>19</v>
      </c>
      <c r="E1339" s="17" t="s">
        <v>635</v>
      </c>
      <c r="F1339" s="17" t="str">
        <f>"2170721300 "</f>
        <v xml:space="preserve">2170721300 </v>
      </c>
      <c r="G1339" s="17" t="str">
        <f t="shared" si="37"/>
        <v>ON1</v>
      </c>
      <c r="H1339" s="17" t="s">
        <v>21</v>
      </c>
      <c r="I1339" s="17" t="s">
        <v>244</v>
      </c>
      <c r="J1339" s="17" t="str">
        <f>""</f>
        <v/>
      </c>
      <c r="K1339" s="17" t="str">
        <f>"PFES1162728774_0001"</f>
        <v>PFES1162728774_0001</v>
      </c>
      <c r="L1339" s="17">
        <v>1</v>
      </c>
      <c r="M1339" s="17">
        <v>1</v>
      </c>
    </row>
    <row r="1340" spans="1:13">
      <c r="A1340" s="7">
        <v>43816</v>
      </c>
      <c r="B1340" s="8">
        <v>0.67013888888888884</v>
      </c>
      <c r="C1340" s="17" t="str">
        <f>"FES1162728775"</f>
        <v>FES1162728775</v>
      </c>
      <c r="D1340" s="17" t="s">
        <v>19</v>
      </c>
      <c r="E1340" s="17" t="s">
        <v>154</v>
      </c>
      <c r="F1340" s="17" t="str">
        <f>"2170721361 "</f>
        <v xml:space="preserve">2170721361 </v>
      </c>
      <c r="G1340" s="17" t="str">
        <f t="shared" si="37"/>
        <v>ON1</v>
      </c>
      <c r="H1340" s="17" t="s">
        <v>21</v>
      </c>
      <c r="I1340" s="17" t="s">
        <v>155</v>
      </c>
      <c r="J1340" s="17" t="str">
        <f>""</f>
        <v/>
      </c>
      <c r="K1340" s="17" t="str">
        <f>"PFES1162728775_0001"</f>
        <v>PFES1162728775_0001</v>
      </c>
      <c r="L1340" s="17">
        <v>1</v>
      </c>
      <c r="M1340" s="17">
        <v>1</v>
      </c>
    </row>
    <row r="1341" spans="1:13">
      <c r="A1341" s="7">
        <v>43816</v>
      </c>
      <c r="B1341" s="8">
        <v>0.67013888888888884</v>
      </c>
      <c r="C1341" s="17" t="str">
        <f>"FES1162728735"</f>
        <v>FES1162728735</v>
      </c>
      <c r="D1341" s="17" t="s">
        <v>19</v>
      </c>
      <c r="E1341" s="17" t="s">
        <v>712</v>
      </c>
      <c r="F1341" s="17" t="str">
        <f>"2170721923 "</f>
        <v xml:space="preserve">2170721923 </v>
      </c>
      <c r="G1341" s="17" t="str">
        <f t="shared" si="37"/>
        <v>ON1</v>
      </c>
      <c r="H1341" s="17" t="s">
        <v>21</v>
      </c>
      <c r="I1341" s="17" t="s">
        <v>669</v>
      </c>
      <c r="J1341" s="17" t="str">
        <f>""</f>
        <v/>
      </c>
      <c r="K1341" s="17" t="str">
        <f>"PFES1162728735_0001"</f>
        <v>PFES1162728735_0001</v>
      </c>
      <c r="L1341" s="17">
        <v>1</v>
      </c>
      <c r="M1341" s="17">
        <v>1</v>
      </c>
    </row>
    <row r="1342" spans="1:13">
      <c r="A1342" s="7">
        <v>43816</v>
      </c>
      <c r="B1342" s="8">
        <v>0.6645833333333333</v>
      </c>
      <c r="C1342" s="17" t="str">
        <f>"FES1162728782"</f>
        <v>FES1162728782</v>
      </c>
      <c r="D1342" s="17" t="s">
        <v>19</v>
      </c>
      <c r="E1342" s="17" t="s">
        <v>563</v>
      </c>
      <c r="F1342" s="17" t="str">
        <f>"217071832 "</f>
        <v xml:space="preserve">217071832 </v>
      </c>
      <c r="G1342" s="17" t="str">
        <f t="shared" si="37"/>
        <v>ON1</v>
      </c>
      <c r="H1342" s="17" t="s">
        <v>21</v>
      </c>
      <c r="I1342" s="17" t="s">
        <v>119</v>
      </c>
      <c r="J1342" s="17" t="str">
        <f>""</f>
        <v/>
      </c>
      <c r="K1342" s="17" t="str">
        <f>"PFES1162728782_0001"</f>
        <v>PFES1162728782_0001</v>
      </c>
      <c r="L1342" s="17">
        <v>1</v>
      </c>
      <c r="M1342" s="17">
        <v>19</v>
      </c>
    </row>
    <row r="1343" spans="1:13">
      <c r="A1343" s="7">
        <v>43816</v>
      </c>
      <c r="B1343" s="8">
        <v>0.6645833333333333</v>
      </c>
      <c r="C1343" s="17" t="str">
        <f>"FES1162728761"</f>
        <v>FES1162728761</v>
      </c>
      <c r="D1343" s="17" t="s">
        <v>19</v>
      </c>
      <c r="E1343" s="17" t="s">
        <v>713</v>
      </c>
      <c r="F1343" s="17" t="str">
        <f>"2170719541 "</f>
        <v xml:space="preserve">2170719541 </v>
      </c>
      <c r="G1343" s="17" t="str">
        <f t="shared" si="37"/>
        <v>ON1</v>
      </c>
      <c r="H1343" s="17" t="s">
        <v>21</v>
      </c>
      <c r="I1343" s="17" t="s">
        <v>278</v>
      </c>
      <c r="J1343" s="17" t="str">
        <f>""</f>
        <v/>
      </c>
      <c r="K1343" s="17" t="str">
        <f>"PFES1162728761_0001"</f>
        <v>PFES1162728761_0001</v>
      </c>
      <c r="L1343" s="17">
        <v>1</v>
      </c>
      <c r="M1343" s="17">
        <v>10</v>
      </c>
    </row>
    <row r="1344" spans="1:13">
      <c r="A1344" s="7">
        <v>43816</v>
      </c>
      <c r="B1344" s="8">
        <v>0.66388888888888886</v>
      </c>
      <c r="C1344" s="17" t="str">
        <f>"FES1162728640"</f>
        <v>FES1162728640</v>
      </c>
      <c r="D1344" s="17" t="s">
        <v>19</v>
      </c>
      <c r="E1344" s="17" t="s">
        <v>292</v>
      </c>
      <c r="F1344" s="17" t="str">
        <f>"217071849 "</f>
        <v xml:space="preserve">217071849 </v>
      </c>
      <c r="G1344" s="17" t="str">
        <f t="shared" si="37"/>
        <v>ON1</v>
      </c>
      <c r="H1344" s="17" t="s">
        <v>21</v>
      </c>
      <c r="I1344" s="17" t="s">
        <v>78</v>
      </c>
      <c r="J1344" s="17" t="str">
        <f>""</f>
        <v/>
      </c>
      <c r="K1344" s="17" t="str">
        <f>"PFES1162728640_0001"</f>
        <v>PFES1162728640_0001</v>
      </c>
      <c r="L1344" s="17">
        <v>1</v>
      </c>
      <c r="M1344" s="17">
        <v>10</v>
      </c>
    </row>
    <row r="1345" spans="1:13">
      <c r="A1345" s="7">
        <v>43816</v>
      </c>
      <c r="B1345" s="8">
        <v>0.66388888888888886</v>
      </c>
      <c r="C1345" s="17" t="str">
        <f>"FES1162728564"</f>
        <v>FES1162728564</v>
      </c>
      <c r="D1345" s="17" t="s">
        <v>19</v>
      </c>
      <c r="E1345" s="17" t="s">
        <v>714</v>
      </c>
      <c r="F1345" s="17" t="str">
        <f>"2170719107 "</f>
        <v xml:space="preserve">2170719107 </v>
      </c>
      <c r="G1345" s="17" t="str">
        <f t="shared" si="37"/>
        <v>ON1</v>
      </c>
      <c r="H1345" s="17" t="s">
        <v>21</v>
      </c>
      <c r="I1345" s="17" t="s">
        <v>715</v>
      </c>
      <c r="J1345" s="17" t="str">
        <f>""</f>
        <v/>
      </c>
      <c r="K1345" s="17" t="str">
        <f>"PFES1162728564_0001"</f>
        <v>PFES1162728564_0001</v>
      </c>
      <c r="L1345" s="17">
        <v>1</v>
      </c>
      <c r="M1345" s="17">
        <v>1</v>
      </c>
    </row>
    <row r="1346" spans="1:13">
      <c r="A1346" s="7">
        <v>43816</v>
      </c>
      <c r="B1346" s="8">
        <v>0.66319444444444442</v>
      </c>
      <c r="C1346" s="17" t="str">
        <f>"FES1162728781"</f>
        <v>FES1162728781</v>
      </c>
      <c r="D1346" s="17" t="s">
        <v>19</v>
      </c>
      <c r="E1346" s="17" t="s">
        <v>97</v>
      </c>
      <c r="F1346" s="17" t="str">
        <f>"2170714476 "</f>
        <v xml:space="preserve">2170714476 </v>
      </c>
      <c r="G1346" s="17" t="str">
        <f t="shared" si="37"/>
        <v>ON1</v>
      </c>
      <c r="H1346" s="17" t="s">
        <v>21</v>
      </c>
      <c r="I1346" s="17" t="s">
        <v>98</v>
      </c>
      <c r="J1346" s="17" t="str">
        <f>""</f>
        <v/>
      </c>
      <c r="K1346" s="17" t="str">
        <f>"PFES1162728781_0001"</f>
        <v>PFES1162728781_0001</v>
      </c>
      <c r="L1346" s="17">
        <v>1</v>
      </c>
      <c r="M1346" s="17">
        <v>1</v>
      </c>
    </row>
    <row r="1347" spans="1:13">
      <c r="A1347" s="7">
        <v>43816</v>
      </c>
      <c r="B1347" s="8">
        <v>0.65625</v>
      </c>
      <c r="C1347" s="17" t="str">
        <f>"FES1162728689"</f>
        <v>FES1162728689</v>
      </c>
      <c r="D1347" s="17" t="s">
        <v>19</v>
      </c>
      <c r="E1347" s="17" t="s">
        <v>716</v>
      </c>
      <c r="F1347" s="17" t="str">
        <f>"2170721887 "</f>
        <v xml:space="preserve">2170721887 </v>
      </c>
      <c r="G1347" s="17" t="str">
        <f t="shared" si="37"/>
        <v>ON1</v>
      </c>
      <c r="H1347" s="17" t="s">
        <v>21</v>
      </c>
      <c r="I1347" s="17" t="s">
        <v>136</v>
      </c>
      <c r="J1347" s="17" t="str">
        <f>""</f>
        <v/>
      </c>
      <c r="K1347" s="17" t="str">
        <f>"PFES1162728689_0001"</f>
        <v>PFES1162728689_0001</v>
      </c>
      <c r="L1347" s="17">
        <v>1</v>
      </c>
      <c r="M1347" s="17">
        <v>1</v>
      </c>
    </row>
    <row r="1348" spans="1:13">
      <c r="A1348" s="7">
        <v>43816</v>
      </c>
      <c r="B1348" s="8">
        <v>0.65625</v>
      </c>
      <c r="C1348" s="17" t="str">
        <f>"FES1162728608"</f>
        <v>FES1162728608</v>
      </c>
      <c r="D1348" s="17" t="s">
        <v>19</v>
      </c>
      <c r="E1348" s="17" t="s">
        <v>529</v>
      </c>
      <c r="F1348" s="17" t="str">
        <f>"217071831 "</f>
        <v xml:space="preserve">217071831 </v>
      </c>
      <c r="G1348" s="17" t="str">
        <f t="shared" si="37"/>
        <v>ON1</v>
      </c>
      <c r="H1348" s="17" t="s">
        <v>21</v>
      </c>
      <c r="I1348" s="17" t="s">
        <v>136</v>
      </c>
      <c r="J1348" s="17" t="str">
        <f>""</f>
        <v/>
      </c>
      <c r="K1348" s="17" t="str">
        <f>"PFES1162728608_0001"</f>
        <v>PFES1162728608_0001</v>
      </c>
      <c r="L1348" s="17">
        <v>1</v>
      </c>
      <c r="M1348" s="17">
        <v>1</v>
      </c>
    </row>
    <row r="1349" spans="1:13">
      <c r="A1349" s="7">
        <v>43816</v>
      </c>
      <c r="B1349" s="8">
        <v>0.65625</v>
      </c>
      <c r="C1349" s="17" t="str">
        <f>"FES1162728314"</f>
        <v>FES1162728314</v>
      </c>
      <c r="D1349" s="17" t="s">
        <v>19</v>
      </c>
      <c r="E1349" s="17" t="s">
        <v>717</v>
      </c>
      <c r="F1349" s="17" t="str">
        <f>"2170719380 "</f>
        <v xml:space="preserve">2170719380 </v>
      </c>
      <c r="G1349" s="17" t="str">
        <f t="shared" si="37"/>
        <v>ON1</v>
      </c>
      <c r="H1349" s="17" t="s">
        <v>21</v>
      </c>
      <c r="I1349" s="17" t="s">
        <v>346</v>
      </c>
      <c r="J1349" s="17" t="str">
        <f>""</f>
        <v/>
      </c>
      <c r="K1349" s="17" t="str">
        <f>"PFES1162728314_0001"</f>
        <v>PFES1162728314_0001</v>
      </c>
      <c r="L1349" s="17">
        <v>1</v>
      </c>
      <c r="M1349" s="17">
        <v>1</v>
      </c>
    </row>
    <row r="1350" spans="1:13">
      <c r="A1350" s="7">
        <v>43816</v>
      </c>
      <c r="B1350" s="8">
        <v>0.65555555555555556</v>
      </c>
      <c r="C1350" s="17" t="str">
        <f>"FES1162728669"</f>
        <v>FES1162728669</v>
      </c>
      <c r="D1350" s="17" t="s">
        <v>19</v>
      </c>
      <c r="E1350" s="17" t="s">
        <v>303</v>
      </c>
      <c r="F1350" s="17" t="str">
        <f>"2170720040 "</f>
        <v xml:space="preserve">2170720040 </v>
      </c>
      <c r="G1350" s="17" t="str">
        <f t="shared" si="37"/>
        <v>ON1</v>
      </c>
      <c r="H1350" s="17" t="s">
        <v>21</v>
      </c>
      <c r="I1350" s="17" t="s">
        <v>304</v>
      </c>
      <c r="J1350" s="17" t="str">
        <f>""</f>
        <v/>
      </c>
      <c r="K1350" s="17" t="str">
        <f>"PFES1162728669_0001"</f>
        <v>PFES1162728669_0001</v>
      </c>
      <c r="L1350" s="17">
        <v>1</v>
      </c>
      <c r="M1350" s="17">
        <v>1</v>
      </c>
    </row>
    <row r="1351" spans="1:13">
      <c r="A1351" s="7">
        <v>43816</v>
      </c>
      <c r="B1351" s="8">
        <v>0.65555555555555556</v>
      </c>
      <c r="C1351" s="17" t="str">
        <f>"FES1162728663"</f>
        <v>FES1162728663</v>
      </c>
      <c r="D1351" s="17" t="s">
        <v>19</v>
      </c>
      <c r="E1351" s="17" t="s">
        <v>718</v>
      </c>
      <c r="F1351" s="17" t="str">
        <f>"21707197631 "</f>
        <v xml:space="preserve">21707197631 </v>
      </c>
      <c r="G1351" s="17" t="str">
        <f t="shared" si="37"/>
        <v>ON1</v>
      </c>
      <c r="H1351" s="17" t="s">
        <v>21</v>
      </c>
      <c r="I1351" s="17" t="s">
        <v>408</v>
      </c>
      <c r="J1351" s="17" t="str">
        <f>""</f>
        <v/>
      </c>
      <c r="K1351" s="17" t="str">
        <f>"PFES1162728663_0001"</f>
        <v>PFES1162728663_0001</v>
      </c>
      <c r="L1351" s="17">
        <v>1</v>
      </c>
      <c r="M1351" s="17">
        <v>1</v>
      </c>
    </row>
    <row r="1352" spans="1:13">
      <c r="A1352" s="7">
        <v>43816</v>
      </c>
      <c r="B1352" s="8">
        <v>0.65486111111111112</v>
      </c>
      <c r="C1352" s="17" t="str">
        <f>"FES1162728598"</f>
        <v>FES1162728598</v>
      </c>
      <c r="D1352" s="17" t="s">
        <v>19</v>
      </c>
      <c r="E1352" s="17" t="s">
        <v>274</v>
      </c>
      <c r="F1352" s="17" t="str">
        <f>"2170721812 "</f>
        <v xml:space="preserve">2170721812 </v>
      </c>
      <c r="G1352" s="17" t="str">
        <f t="shared" si="37"/>
        <v>ON1</v>
      </c>
      <c r="H1352" s="17" t="s">
        <v>21</v>
      </c>
      <c r="I1352" s="17" t="s">
        <v>45</v>
      </c>
      <c r="J1352" s="17" t="str">
        <f>""</f>
        <v/>
      </c>
      <c r="K1352" s="17" t="str">
        <f>"PFES1162728598_0001"</f>
        <v>PFES1162728598_0001</v>
      </c>
      <c r="L1352" s="17">
        <v>1</v>
      </c>
      <c r="M1352" s="17">
        <v>1</v>
      </c>
    </row>
    <row r="1353" spans="1:13">
      <c r="A1353" s="7">
        <v>43816</v>
      </c>
      <c r="B1353" s="8">
        <v>0.65486111111111112</v>
      </c>
      <c r="C1353" s="17" t="str">
        <f>"FES1162728579"</f>
        <v>FES1162728579</v>
      </c>
      <c r="D1353" s="17" t="s">
        <v>19</v>
      </c>
      <c r="E1353" s="17" t="s">
        <v>93</v>
      </c>
      <c r="F1353" s="17" t="str">
        <f>"2170721448 "</f>
        <v xml:space="preserve">2170721448 </v>
      </c>
      <c r="G1353" s="17" t="str">
        <f t="shared" si="37"/>
        <v>ON1</v>
      </c>
      <c r="H1353" s="17" t="s">
        <v>21</v>
      </c>
      <c r="I1353" s="17" t="s">
        <v>121</v>
      </c>
      <c r="J1353" s="17" t="str">
        <f>""</f>
        <v/>
      </c>
      <c r="K1353" s="17" t="str">
        <f>"PFES1162728579_0001"</f>
        <v>PFES1162728579_0001</v>
      </c>
      <c r="L1353" s="17">
        <v>1</v>
      </c>
      <c r="M1353" s="17">
        <v>1</v>
      </c>
    </row>
    <row r="1354" spans="1:13">
      <c r="A1354" s="7">
        <v>43816</v>
      </c>
      <c r="B1354" s="8">
        <v>0.65486111111111112</v>
      </c>
      <c r="C1354" s="17" t="str">
        <f>"FES1162728599"</f>
        <v>FES1162728599</v>
      </c>
      <c r="D1354" s="17" t="s">
        <v>19</v>
      </c>
      <c r="E1354" s="17" t="s">
        <v>274</v>
      </c>
      <c r="F1354" s="17" t="str">
        <f>"2170721813 "</f>
        <v xml:space="preserve">2170721813 </v>
      </c>
      <c r="G1354" s="17" t="str">
        <f t="shared" si="37"/>
        <v>ON1</v>
      </c>
      <c r="H1354" s="17" t="s">
        <v>21</v>
      </c>
      <c r="I1354" s="17" t="s">
        <v>45</v>
      </c>
      <c r="J1354" s="17" t="str">
        <f>""</f>
        <v/>
      </c>
      <c r="K1354" s="17" t="str">
        <f>"PFES1162728599_0001"</f>
        <v>PFES1162728599_0001</v>
      </c>
      <c r="L1354" s="17">
        <v>1</v>
      </c>
      <c r="M1354" s="17">
        <v>1</v>
      </c>
    </row>
    <row r="1355" spans="1:13">
      <c r="A1355" s="7">
        <v>43816</v>
      </c>
      <c r="B1355" s="8">
        <v>0.65416666666666667</v>
      </c>
      <c r="C1355" s="17" t="str">
        <f>"FES1162728621"</f>
        <v>FES1162728621</v>
      </c>
      <c r="D1355" s="17" t="s">
        <v>19</v>
      </c>
      <c r="E1355" s="17" t="s">
        <v>124</v>
      </c>
      <c r="F1355" s="17" t="str">
        <f>"2170721745 "</f>
        <v xml:space="preserve">2170721745 </v>
      </c>
      <c r="G1355" s="17" t="str">
        <f t="shared" si="37"/>
        <v>ON1</v>
      </c>
      <c r="H1355" s="17" t="s">
        <v>21</v>
      </c>
      <c r="I1355" s="17" t="s">
        <v>125</v>
      </c>
      <c r="J1355" s="17" t="str">
        <f>""</f>
        <v/>
      </c>
      <c r="K1355" s="17" t="str">
        <f>"PFES1162728621_0001"</f>
        <v>PFES1162728621_0001</v>
      </c>
      <c r="L1355" s="17">
        <v>1</v>
      </c>
      <c r="M1355" s="17">
        <v>1</v>
      </c>
    </row>
    <row r="1356" spans="1:13">
      <c r="A1356" s="7">
        <v>43816</v>
      </c>
      <c r="B1356" s="8">
        <v>0.65416666666666667</v>
      </c>
      <c r="C1356" s="17" t="str">
        <f>"FES1162728675"</f>
        <v>FES1162728675</v>
      </c>
      <c r="D1356" s="17" t="s">
        <v>19</v>
      </c>
      <c r="E1356" s="17" t="s">
        <v>77</v>
      </c>
      <c r="F1356" s="17" t="str">
        <f>"2170721871 "</f>
        <v xml:space="preserve">2170721871 </v>
      </c>
      <c r="G1356" s="17" t="str">
        <f t="shared" si="37"/>
        <v>ON1</v>
      </c>
      <c r="H1356" s="17" t="s">
        <v>21</v>
      </c>
      <c r="I1356" s="17" t="s">
        <v>78</v>
      </c>
      <c r="J1356" s="17" t="str">
        <f>""</f>
        <v/>
      </c>
      <c r="K1356" s="17" t="str">
        <f>"PFES1162728675_0001"</f>
        <v>PFES1162728675_0001</v>
      </c>
      <c r="L1356" s="17">
        <v>1</v>
      </c>
      <c r="M1356" s="17">
        <v>1</v>
      </c>
    </row>
    <row r="1357" spans="1:13">
      <c r="A1357" s="7">
        <v>43816</v>
      </c>
      <c r="B1357" s="8">
        <v>0.65416666666666667</v>
      </c>
      <c r="C1357" s="17" t="str">
        <f>"FES1162728543"</f>
        <v>FES1162728543</v>
      </c>
      <c r="D1357" s="17" t="s">
        <v>19</v>
      </c>
      <c r="E1357" s="17" t="s">
        <v>515</v>
      </c>
      <c r="F1357" s="17" t="str">
        <f>"2170721783 "</f>
        <v xml:space="preserve">2170721783 </v>
      </c>
      <c r="G1357" s="17" t="str">
        <f t="shared" si="37"/>
        <v>ON1</v>
      </c>
      <c r="H1357" s="17" t="s">
        <v>21</v>
      </c>
      <c r="I1357" s="17" t="s">
        <v>102</v>
      </c>
      <c r="J1357" s="17" t="str">
        <f>""</f>
        <v/>
      </c>
      <c r="K1357" s="17" t="str">
        <f>"PFES1162728543_0001"</f>
        <v>PFES1162728543_0001</v>
      </c>
      <c r="L1357" s="17">
        <v>1</v>
      </c>
      <c r="M1357" s="17">
        <v>1</v>
      </c>
    </row>
    <row r="1358" spans="1:13">
      <c r="A1358" s="7">
        <v>43816</v>
      </c>
      <c r="B1358" s="8">
        <v>0.65347222222222223</v>
      </c>
      <c r="C1358" s="17" t="str">
        <f>"FES1162728544"</f>
        <v>FES1162728544</v>
      </c>
      <c r="D1358" s="17" t="s">
        <v>19</v>
      </c>
      <c r="E1358" s="17" t="s">
        <v>232</v>
      </c>
      <c r="F1358" s="17" t="str">
        <f>"2170721786 "</f>
        <v xml:space="preserve">2170721786 </v>
      </c>
      <c r="G1358" s="17" t="str">
        <f t="shared" si="37"/>
        <v>ON1</v>
      </c>
      <c r="H1358" s="17" t="s">
        <v>21</v>
      </c>
      <c r="I1358" s="17" t="s">
        <v>45</v>
      </c>
      <c r="J1358" s="17" t="str">
        <f>""</f>
        <v/>
      </c>
      <c r="K1358" s="17" t="str">
        <f>"PFES1162728544_0001"</f>
        <v>PFES1162728544_0001</v>
      </c>
      <c r="L1358" s="17">
        <v>1</v>
      </c>
      <c r="M1358" s="17">
        <v>1</v>
      </c>
    </row>
    <row r="1359" spans="1:13">
      <c r="A1359" s="7">
        <v>43816</v>
      </c>
      <c r="B1359" s="8">
        <v>0.65277777777777779</v>
      </c>
      <c r="C1359" s="17" t="str">
        <f>"FES1162728749"</f>
        <v>FES1162728749</v>
      </c>
      <c r="D1359" s="17" t="s">
        <v>19</v>
      </c>
      <c r="E1359" s="17" t="s">
        <v>719</v>
      </c>
      <c r="F1359" s="17" t="str">
        <f>"2170721942 "</f>
        <v xml:space="preserve">2170721942 </v>
      </c>
      <c r="G1359" s="17" t="str">
        <f t="shared" si="37"/>
        <v>ON1</v>
      </c>
      <c r="H1359" s="17" t="s">
        <v>21</v>
      </c>
      <c r="I1359" s="17" t="s">
        <v>720</v>
      </c>
      <c r="J1359" s="17" t="str">
        <f>""</f>
        <v/>
      </c>
      <c r="K1359" s="17" t="str">
        <f>"PFES1162728749_0001"</f>
        <v>PFES1162728749_0001</v>
      </c>
      <c r="L1359" s="17">
        <v>1</v>
      </c>
      <c r="M1359" s="17">
        <v>1</v>
      </c>
    </row>
    <row r="1360" spans="1:13">
      <c r="A1360" s="7">
        <v>43816</v>
      </c>
      <c r="B1360" s="8">
        <v>0.65208333333333335</v>
      </c>
      <c r="C1360" s="17" t="str">
        <f>"FES1162728754"</f>
        <v>FES1162728754</v>
      </c>
      <c r="D1360" s="17" t="s">
        <v>19</v>
      </c>
      <c r="E1360" s="17" t="s">
        <v>721</v>
      </c>
      <c r="F1360" s="17" t="str">
        <f>"2170721946 "</f>
        <v xml:space="preserve">2170721946 </v>
      </c>
      <c r="G1360" s="17" t="str">
        <f t="shared" si="37"/>
        <v>ON1</v>
      </c>
      <c r="H1360" s="17" t="s">
        <v>21</v>
      </c>
      <c r="I1360" s="17" t="s">
        <v>119</v>
      </c>
      <c r="J1360" s="17" t="str">
        <f>""</f>
        <v/>
      </c>
      <c r="K1360" s="17" t="str">
        <f>"PFES1162728754_0001"</f>
        <v>PFES1162728754_0001</v>
      </c>
      <c r="L1360" s="17">
        <v>1</v>
      </c>
      <c r="M1360" s="17">
        <v>1</v>
      </c>
    </row>
    <row r="1361" spans="1:13">
      <c r="A1361" s="7">
        <v>43816</v>
      </c>
      <c r="B1361" s="8">
        <v>0.65208333333333335</v>
      </c>
      <c r="C1361" s="17" t="str">
        <f>"FES1162728736"</f>
        <v>FES1162728736</v>
      </c>
      <c r="D1361" s="17" t="s">
        <v>19</v>
      </c>
      <c r="E1361" s="17" t="s">
        <v>722</v>
      </c>
      <c r="F1361" s="17" t="str">
        <f>"2170719124 "</f>
        <v xml:space="preserve">2170719124 </v>
      </c>
      <c r="G1361" s="17" t="str">
        <f t="shared" si="37"/>
        <v>ON1</v>
      </c>
      <c r="H1361" s="17" t="s">
        <v>21</v>
      </c>
      <c r="I1361" s="17" t="s">
        <v>723</v>
      </c>
      <c r="J1361" s="17" t="str">
        <f>""</f>
        <v/>
      </c>
      <c r="K1361" s="17" t="str">
        <f>"PFES1162728736_0001"</f>
        <v>PFES1162728736_0001</v>
      </c>
      <c r="L1361" s="17">
        <v>1</v>
      </c>
      <c r="M1361" s="17">
        <v>1</v>
      </c>
    </row>
    <row r="1362" spans="1:13">
      <c r="A1362" s="7">
        <v>43816</v>
      </c>
      <c r="B1362" s="8">
        <v>0.65208333333333335</v>
      </c>
      <c r="C1362" s="17" t="str">
        <f>"FES1162728516"</f>
        <v>FES1162728516</v>
      </c>
      <c r="D1362" s="17" t="s">
        <v>19</v>
      </c>
      <c r="E1362" s="17" t="s">
        <v>377</v>
      </c>
      <c r="F1362" s="17" t="str">
        <f>"2170716796 "</f>
        <v xml:space="preserve">2170716796 </v>
      </c>
      <c r="G1362" s="17" t="str">
        <f t="shared" si="37"/>
        <v>ON1</v>
      </c>
      <c r="H1362" s="17" t="s">
        <v>21</v>
      </c>
      <c r="I1362" s="17" t="s">
        <v>136</v>
      </c>
      <c r="J1362" s="17" t="str">
        <f>""</f>
        <v/>
      </c>
      <c r="K1362" s="17" t="str">
        <f>"PFES1162728516_0001"</f>
        <v>PFES1162728516_0001</v>
      </c>
      <c r="L1362" s="17">
        <v>1</v>
      </c>
      <c r="M1362" s="17">
        <v>5</v>
      </c>
    </row>
    <row r="1363" spans="1:13">
      <c r="A1363" s="7">
        <v>43816</v>
      </c>
      <c r="B1363" s="8">
        <v>0.65138888888888891</v>
      </c>
      <c r="C1363" s="17" t="str">
        <f>"FES1162728605"</f>
        <v>FES1162728605</v>
      </c>
      <c r="D1363" s="17" t="s">
        <v>19</v>
      </c>
      <c r="E1363" s="17" t="s">
        <v>724</v>
      </c>
      <c r="F1363" s="17" t="str">
        <f>"217071827 "</f>
        <v xml:space="preserve">217071827 </v>
      </c>
      <c r="G1363" s="17" t="str">
        <f t="shared" si="37"/>
        <v>ON1</v>
      </c>
      <c r="H1363" s="17" t="s">
        <v>21</v>
      </c>
      <c r="I1363" s="17" t="s">
        <v>402</v>
      </c>
      <c r="J1363" s="17" t="str">
        <f>""</f>
        <v/>
      </c>
      <c r="K1363" s="17" t="str">
        <f>"PFES1162728605_0001"</f>
        <v>PFES1162728605_0001</v>
      </c>
      <c r="L1363" s="17">
        <v>1</v>
      </c>
      <c r="M1363" s="17">
        <v>4</v>
      </c>
    </row>
    <row r="1364" spans="1:13">
      <c r="A1364" s="7">
        <v>43816</v>
      </c>
      <c r="B1364" s="8">
        <v>0.65138888888888891</v>
      </c>
      <c r="C1364" s="17" t="str">
        <f>"FES1162728539"</f>
        <v>FES1162728539</v>
      </c>
      <c r="D1364" s="17" t="s">
        <v>19</v>
      </c>
      <c r="E1364" s="17" t="s">
        <v>725</v>
      </c>
      <c r="F1364" s="17" t="str">
        <f>"217071773 "</f>
        <v xml:space="preserve">217071773 </v>
      </c>
      <c r="G1364" s="17" t="str">
        <f t="shared" si="37"/>
        <v>ON1</v>
      </c>
      <c r="H1364" s="17" t="s">
        <v>21</v>
      </c>
      <c r="I1364" s="17" t="s">
        <v>408</v>
      </c>
      <c r="J1364" s="17" t="str">
        <f>""</f>
        <v/>
      </c>
      <c r="K1364" s="17" t="str">
        <f>"PFES1162728539_0001"</f>
        <v>PFES1162728539_0001</v>
      </c>
      <c r="L1364" s="17">
        <v>1</v>
      </c>
      <c r="M1364" s="17">
        <v>17</v>
      </c>
    </row>
    <row r="1365" spans="1:13">
      <c r="A1365" s="7">
        <v>43816</v>
      </c>
      <c r="B1365" s="8">
        <v>0.65069444444444446</v>
      </c>
      <c r="C1365" s="17" t="str">
        <f>"FES1162728600"</f>
        <v>FES1162728600</v>
      </c>
      <c r="D1365" s="17" t="s">
        <v>19</v>
      </c>
      <c r="E1365" s="17" t="s">
        <v>274</v>
      </c>
      <c r="F1365" s="17" t="str">
        <f>"217071814 "</f>
        <v xml:space="preserve">217071814 </v>
      </c>
      <c r="G1365" s="17" t="str">
        <f t="shared" si="37"/>
        <v>ON1</v>
      </c>
      <c r="H1365" s="17" t="s">
        <v>21</v>
      </c>
      <c r="I1365" s="17" t="s">
        <v>45</v>
      </c>
      <c r="J1365" s="17" t="str">
        <f>""</f>
        <v/>
      </c>
      <c r="K1365" s="17" t="str">
        <f>"PFES1162728600_0001"</f>
        <v>PFES1162728600_0001</v>
      </c>
      <c r="L1365" s="17">
        <v>1</v>
      </c>
      <c r="M1365" s="17">
        <v>8</v>
      </c>
    </row>
    <row r="1366" spans="1:13">
      <c r="A1366" s="7">
        <v>43816</v>
      </c>
      <c r="B1366" s="8">
        <v>0.65069444444444446</v>
      </c>
      <c r="C1366" s="17" t="str">
        <f>"FES1162728528"</f>
        <v>FES1162728528</v>
      </c>
      <c r="D1366" s="17" t="s">
        <v>19</v>
      </c>
      <c r="E1366" s="17" t="s">
        <v>726</v>
      </c>
      <c r="F1366" s="17" t="str">
        <f>"21707190194 "</f>
        <v xml:space="preserve">21707190194 </v>
      </c>
      <c r="G1366" s="17" t="str">
        <f t="shared" si="37"/>
        <v>ON1</v>
      </c>
      <c r="H1366" s="17" t="s">
        <v>21</v>
      </c>
      <c r="I1366" s="17" t="s">
        <v>130</v>
      </c>
      <c r="J1366" s="17" t="str">
        <f>""</f>
        <v/>
      </c>
      <c r="K1366" s="17" t="str">
        <f>"PFES1162728528_0001"</f>
        <v>PFES1162728528_0001</v>
      </c>
      <c r="L1366" s="17">
        <v>1</v>
      </c>
      <c r="M1366" s="17">
        <v>8</v>
      </c>
    </row>
    <row r="1367" spans="1:13">
      <c r="A1367" s="7">
        <v>43816</v>
      </c>
      <c r="B1367" s="8">
        <v>0.65</v>
      </c>
      <c r="C1367" s="17" t="str">
        <f>"FES1162728347"</f>
        <v>FES1162728347</v>
      </c>
      <c r="D1367" s="17" t="s">
        <v>19</v>
      </c>
      <c r="E1367" s="17" t="s">
        <v>648</v>
      </c>
      <c r="F1367" s="17" t="str">
        <f>"2170717258 "</f>
        <v xml:space="preserve">2170717258 </v>
      </c>
      <c r="G1367" s="17" t="str">
        <f t="shared" si="37"/>
        <v>ON1</v>
      </c>
      <c r="H1367" s="17" t="s">
        <v>21</v>
      </c>
      <c r="I1367" s="17" t="s">
        <v>270</v>
      </c>
      <c r="J1367" s="17" t="str">
        <f>""</f>
        <v/>
      </c>
      <c r="K1367" s="17" t="str">
        <f>"PFES1162728347_0001"</f>
        <v>PFES1162728347_0001</v>
      </c>
      <c r="L1367" s="17">
        <v>1</v>
      </c>
      <c r="M1367" s="17">
        <v>11</v>
      </c>
    </row>
    <row r="1368" spans="1:13">
      <c r="A1368" s="7">
        <v>43816</v>
      </c>
      <c r="B1368" s="8">
        <v>0.64930555555555558</v>
      </c>
      <c r="C1368" s="17" t="str">
        <f>"FES1162728772"</f>
        <v>FES1162728772</v>
      </c>
      <c r="D1368" s="17" t="s">
        <v>19</v>
      </c>
      <c r="E1368" s="17" t="s">
        <v>165</v>
      </c>
      <c r="F1368" s="17" t="str">
        <f>"217071948 "</f>
        <v xml:space="preserve">217071948 </v>
      </c>
      <c r="G1368" s="17" t="str">
        <f t="shared" si="37"/>
        <v>ON1</v>
      </c>
      <c r="H1368" s="17" t="s">
        <v>21</v>
      </c>
      <c r="I1368" s="17" t="s">
        <v>166</v>
      </c>
      <c r="J1368" s="17" t="str">
        <f>""</f>
        <v/>
      </c>
      <c r="K1368" s="17" t="str">
        <f>"PFES1162728772_0001"</f>
        <v>PFES1162728772_0001</v>
      </c>
      <c r="L1368" s="17">
        <v>1</v>
      </c>
      <c r="M1368" s="17">
        <v>2</v>
      </c>
    </row>
    <row r="1369" spans="1:13">
      <c r="A1369" s="7">
        <v>43816</v>
      </c>
      <c r="B1369" s="8">
        <v>0.64930555555555558</v>
      </c>
      <c r="C1369" s="17" t="str">
        <f>"FES1162728601"</f>
        <v>FES1162728601</v>
      </c>
      <c r="D1369" s="17" t="s">
        <v>19</v>
      </c>
      <c r="E1369" s="17" t="s">
        <v>274</v>
      </c>
      <c r="F1369" s="17" t="str">
        <f>"217071815 "</f>
        <v xml:space="preserve">217071815 </v>
      </c>
      <c r="G1369" s="17" t="str">
        <f t="shared" si="37"/>
        <v>ON1</v>
      </c>
      <c r="H1369" s="17" t="s">
        <v>21</v>
      </c>
      <c r="I1369" s="17" t="s">
        <v>45</v>
      </c>
      <c r="J1369" s="17" t="str">
        <f>""</f>
        <v/>
      </c>
      <c r="K1369" s="17" t="str">
        <f>"PFES1162728601_0001"</f>
        <v>PFES1162728601_0001</v>
      </c>
      <c r="L1369" s="17">
        <v>1</v>
      </c>
      <c r="M1369" s="17">
        <v>2</v>
      </c>
    </row>
    <row r="1370" spans="1:13">
      <c r="A1370" s="7">
        <v>43816</v>
      </c>
      <c r="B1370" s="8">
        <v>0.64930555555555558</v>
      </c>
      <c r="C1370" s="17" t="str">
        <f>"FES1162728715"</f>
        <v>FES1162728715</v>
      </c>
      <c r="D1370" s="17" t="s">
        <v>19</v>
      </c>
      <c r="E1370" s="17" t="s">
        <v>292</v>
      </c>
      <c r="F1370" s="17" t="str">
        <f>"217071918 "</f>
        <v xml:space="preserve">217071918 </v>
      </c>
      <c r="G1370" s="17" t="str">
        <f t="shared" si="37"/>
        <v>ON1</v>
      </c>
      <c r="H1370" s="17" t="s">
        <v>21</v>
      </c>
      <c r="I1370" s="17" t="s">
        <v>78</v>
      </c>
      <c r="J1370" s="17" t="str">
        <f>""</f>
        <v/>
      </c>
      <c r="K1370" s="17" t="str">
        <f>"PFES1162728715_0001"</f>
        <v>PFES1162728715_0001</v>
      </c>
      <c r="L1370" s="17">
        <v>1</v>
      </c>
      <c r="M1370" s="17">
        <v>1</v>
      </c>
    </row>
    <row r="1371" spans="1:13">
      <c r="A1371" s="7">
        <v>43816</v>
      </c>
      <c r="B1371" s="8">
        <v>0.64861111111111114</v>
      </c>
      <c r="C1371" s="17" t="str">
        <f>"FES1162728567"</f>
        <v>FES1162728567</v>
      </c>
      <c r="D1371" s="17" t="s">
        <v>19</v>
      </c>
      <c r="E1371" s="17" t="s">
        <v>101</v>
      </c>
      <c r="F1371" s="17" t="str">
        <f>"2170717768 "</f>
        <v xml:space="preserve">2170717768 </v>
      </c>
      <c r="G1371" s="17" t="str">
        <f t="shared" si="37"/>
        <v>ON1</v>
      </c>
      <c r="H1371" s="17" t="s">
        <v>21</v>
      </c>
      <c r="I1371" s="17" t="s">
        <v>102</v>
      </c>
      <c r="J1371" s="17" t="str">
        <f>""</f>
        <v/>
      </c>
      <c r="K1371" s="17" t="str">
        <f>"PFES1162728567_0001"</f>
        <v>PFES1162728567_0001</v>
      </c>
      <c r="L1371" s="17">
        <v>1</v>
      </c>
      <c r="M1371" s="17">
        <v>1</v>
      </c>
    </row>
    <row r="1372" spans="1:13">
      <c r="A1372" s="7">
        <v>43816</v>
      </c>
      <c r="B1372" s="8">
        <v>0.64861111111111114</v>
      </c>
      <c r="C1372" s="17" t="str">
        <f>"FES1162728723"</f>
        <v>FES1162728723</v>
      </c>
      <c r="D1372" s="17" t="s">
        <v>19</v>
      </c>
      <c r="E1372" s="17" t="s">
        <v>433</v>
      </c>
      <c r="F1372" s="17" t="str">
        <f>"2170718071 "</f>
        <v xml:space="preserve">2170718071 </v>
      </c>
      <c r="G1372" s="17" t="str">
        <f t="shared" si="37"/>
        <v>ON1</v>
      </c>
      <c r="H1372" s="17" t="s">
        <v>21</v>
      </c>
      <c r="I1372" s="17" t="s">
        <v>434</v>
      </c>
      <c r="J1372" s="17" t="str">
        <f>""</f>
        <v/>
      </c>
      <c r="K1372" s="17" t="str">
        <f>"PFES1162728723_0001"</f>
        <v>PFES1162728723_0001</v>
      </c>
      <c r="L1372" s="17">
        <v>1</v>
      </c>
      <c r="M1372" s="17">
        <v>8</v>
      </c>
    </row>
    <row r="1373" spans="1:13">
      <c r="A1373" s="7">
        <v>43816</v>
      </c>
      <c r="B1373" s="8">
        <v>0.6479166666666667</v>
      </c>
      <c r="C1373" s="17" t="str">
        <f>"FES1162728694"</f>
        <v>FES1162728694</v>
      </c>
      <c r="D1373" s="17" t="s">
        <v>19</v>
      </c>
      <c r="E1373" s="17" t="s">
        <v>727</v>
      </c>
      <c r="F1373" s="17" t="str">
        <f>"21707189+3 "</f>
        <v xml:space="preserve">21707189+3 </v>
      </c>
      <c r="G1373" s="17" t="str">
        <f t="shared" si="37"/>
        <v>ON1</v>
      </c>
      <c r="H1373" s="17" t="s">
        <v>21</v>
      </c>
      <c r="I1373" s="17" t="s">
        <v>559</v>
      </c>
      <c r="J1373" s="17" t="str">
        <f>""</f>
        <v/>
      </c>
      <c r="K1373" s="17" t="str">
        <f>"PFES1162728694_0001"</f>
        <v>PFES1162728694_0001</v>
      </c>
      <c r="L1373" s="17">
        <v>1</v>
      </c>
      <c r="M1373" s="17">
        <v>1</v>
      </c>
    </row>
    <row r="1374" spans="1:13">
      <c r="A1374" s="7">
        <v>43816</v>
      </c>
      <c r="B1374" s="8">
        <v>0.6479166666666667</v>
      </c>
      <c r="C1374" s="17" t="str">
        <f>"FES1162728704"</f>
        <v>FES1162728704</v>
      </c>
      <c r="D1374" s="17" t="s">
        <v>19</v>
      </c>
      <c r="E1374" s="17" t="s">
        <v>431</v>
      </c>
      <c r="F1374" s="17" t="str">
        <f>"217071905 "</f>
        <v xml:space="preserve">217071905 </v>
      </c>
      <c r="G1374" s="17" t="str">
        <f t="shared" si="37"/>
        <v>ON1</v>
      </c>
      <c r="H1374" s="17" t="s">
        <v>21</v>
      </c>
      <c r="I1374" s="17" t="s">
        <v>29</v>
      </c>
      <c r="J1374" s="17" t="str">
        <f>""</f>
        <v/>
      </c>
      <c r="K1374" s="17" t="str">
        <f>"PFES1162728704_0001"</f>
        <v>PFES1162728704_0001</v>
      </c>
      <c r="L1374" s="17">
        <v>1</v>
      </c>
      <c r="M1374" s="17">
        <v>6</v>
      </c>
    </row>
    <row r="1375" spans="1:13">
      <c r="A1375" s="7">
        <v>43816</v>
      </c>
      <c r="B1375" s="8">
        <v>0.64722222222222225</v>
      </c>
      <c r="C1375" s="17" t="str">
        <f>"FES1162728773"</f>
        <v>FES1162728773</v>
      </c>
      <c r="D1375" s="17" t="s">
        <v>19</v>
      </c>
      <c r="E1375" s="17" t="s">
        <v>198</v>
      </c>
      <c r="F1375" s="17" t="str">
        <f>"21707321721 "</f>
        <v xml:space="preserve">21707321721 </v>
      </c>
      <c r="G1375" s="17" t="str">
        <f t="shared" si="37"/>
        <v>ON1</v>
      </c>
      <c r="H1375" s="17" t="s">
        <v>21</v>
      </c>
      <c r="I1375" s="17" t="s">
        <v>175</v>
      </c>
      <c r="J1375" s="17" t="str">
        <f>""</f>
        <v/>
      </c>
      <c r="K1375" s="17" t="str">
        <f>"PFES1162728773_0001"</f>
        <v>PFES1162728773_0001</v>
      </c>
      <c r="L1375" s="17">
        <v>1</v>
      </c>
      <c r="M1375" s="17">
        <v>4</v>
      </c>
    </row>
    <row r="1376" spans="1:13">
      <c r="A1376" s="7">
        <v>43816</v>
      </c>
      <c r="B1376" s="8">
        <v>0.64652777777777781</v>
      </c>
      <c r="C1376" s="17" t="str">
        <f>"FES1162728740"</f>
        <v>FES1162728740</v>
      </c>
      <c r="D1376" s="17" t="s">
        <v>19</v>
      </c>
      <c r="E1376" s="17" t="s">
        <v>82</v>
      </c>
      <c r="F1376" s="17" t="str">
        <f>"21707121927 "</f>
        <v xml:space="preserve">21707121927 </v>
      </c>
      <c r="G1376" s="17" t="str">
        <f t="shared" si="37"/>
        <v>ON1</v>
      </c>
      <c r="H1376" s="17" t="s">
        <v>21</v>
      </c>
      <c r="I1376" s="17" t="s">
        <v>72</v>
      </c>
      <c r="J1376" s="17" t="str">
        <f>""</f>
        <v/>
      </c>
      <c r="K1376" s="17" t="str">
        <f>"PFES1162728740_0001"</f>
        <v>PFES1162728740_0001</v>
      </c>
      <c r="L1376" s="17">
        <v>1</v>
      </c>
      <c r="M1376" s="17">
        <v>3</v>
      </c>
    </row>
    <row r="1377" spans="1:13">
      <c r="A1377" s="7">
        <v>43816</v>
      </c>
      <c r="B1377" s="8">
        <v>0.64652777777777781</v>
      </c>
      <c r="C1377" s="17" t="str">
        <f>"FES1162728737"</f>
        <v>FES1162728737</v>
      </c>
      <c r="D1377" s="17" t="s">
        <v>19</v>
      </c>
      <c r="E1377" s="17" t="s">
        <v>728</v>
      </c>
      <c r="F1377" s="17" t="str">
        <f>"2170721486 "</f>
        <v xml:space="preserve">2170721486 </v>
      </c>
      <c r="G1377" s="17" t="str">
        <f t="shared" si="37"/>
        <v>ON1</v>
      </c>
      <c r="H1377" s="17" t="s">
        <v>21</v>
      </c>
      <c r="I1377" s="17" t="s">
        <v>191</v>
      </c>
      <c r="J1377" s="17" t="str">
        <f>""</f>
        <v/>
      </c>
      <c r="K1377" s="17" t="str">
        <f>"PFES1162728737_0001"</f>
        <v>PFES1162728737_0001</v>
      </c>
      <c r="L1377" s="17">
        <v>1</v>
      </c>
      <c r="M1377" s="17">
        <v>1</v>
      </c>
    </row>
    <row r="1378" spans="1:13">
      <c r="A1378" s="7">
        <v>43816</v>
      </c>
      <c r="B1378" s="8">
        <v>0.64583333333333337</v>
      </c>
      <c r="C1378" s="17" t="str">
        <f>"FES1162728642"</f>
        <v>FES1162728642</v>
      </c>
      <c r="D1378" s="17" t="s">
        <v>19</v>
      </c>
      <c r="E1378" s="17" t="s">
        <v>101</v>
      </c>
      <c r="F1378" s="17" t="str">
        <f>"2170719968 "</f>
        <v xml:space="preserve">2170719968 </v>
      </c>
      <c r="G1378" s="17" t="str">
        <f t="shared" si="37"/>
        <v>ON1</v>
      </c>
      <c r="H1378" s="17" t="s">
        <v>21</v>
      </c>
      <c r="I1378" s="17" t="s">
        <v>102</v>
      </c>
      <c r="J1378" s="17" t="str">
        <f>""</f>
        <v/>
      </c>
      <c r="K1378" s="17" t="str">
        <f>"PFES1162728642_0001"</f>
        <v>PFES1162728642_0001</v>
      </c>
      <c r="L1378" s="17">
        <v>1</v>
      </c>
      <c r="M1378" s="17">
        <v>1</v>
      </c>
    </row>
    <row r="1379" spans="1:13">
      <c r="A1379" s="7">
        <v>43816</v>
      </c>
      <c r="B1379" s="8">
        <v>0.64513888888888882</v>
      </c>
      <c r="C1379" s="17" t="str">
        <f>"FES1162728613"</f>
        <v>FES1162728613</v>
      </c>
      <c r="D1379" s="17" t="s">
        <v>19</v>
      </c>
      <c r="E1379" s="17" t="s">
        <v>93</v>
      </c>
      <c r="F1379" s="17" t="str">
        <f>"21707161969 "</f>
        <v xml:space="preserve">21707161969 </v>
      </c>
      <c r="G1379" s="17" t="str">
        <f t="shared" si="37"/>
        <v>ON1</v>
      </c>
      <c r="H1379" s="17" t="s">
        <v>21</v>
      </c>
      <c r="I1379" s="17" t="s">
        <v>121</v>
      </c>
      <c r="J1379" s="17" t="str">
        <f>""</f>
        <v/>
      </c>
      <c r="K1379" s="17" t="str">
        <f>"PFES1162728613_0001"</f>
        <v>PFES1162728613_0001</v>
      </c>
      <c r="L1379" s="17">
        <v>1</v>
      </c>
      <c r="M1379" s="17">
        <v>1</v>
      </c>
    </row>
    <row r="1380" spans="1:13">
      <c r="A1380" s="7">
        <v>43816</v>
      </c>
      <c r="B1380" s="8">
        <v>0.64444444444444449</v>
      </c>
      <c r="C1380" s="17" t="str">
        <f>"FES1162728651"</f>
        <v>FES1162728651</v>
      </c>
      <c r="D1380" s="17" t="s">
        <v>19</v>
      </c>
      <c r="E1380" s="17" t="s">
        <v>340</v>
      </c>
      <c r="F1380" s="17" t="str">
        <f>"217071861 "</f>
        <v xml:space="preserve">217071861 </v>
      </c>
      <c r="G1380" s="17" t="str">
        <f t="shared" si="37"/>
        <v>ON1</v>
      </c>
      <c r="H1380" s="17" t="s">
        <v>21</v>
      </c>
      <c r="I1380" s="17" t="s">
        <v>121</v>
      </c>
      <c r="J1380" s="17" t="str">
        <f>""</f>
        <v/>
      </c>
      <c r="K1380" s="17" t="str">
        <f>"PFES1162728651_0001"</f>
        <v>PFES1162728651_0001</v>
      </c>
      <c r="L1380" s="17">
        <v>1</v>
      </c>
      <c r="M1380" s="17">
        <v>1</v>
      </c>
    </row>
    <row r="1381" spans="1:13">
      <c r="A1381" s="7">
        <v>43816</v>
      </c>
      <c r="B1381" s="8">
        <v>0.64444444444444449</v>
      </c>
      <c r="C1381" s="17" t="str">
        <f>"FES1162728558"</f>
        <v>FES1162728558</v>
      </c>
      <c r="D1381" s="17" t="s">
        <v>19</v>
      </c>
      <c r="E1381" s="17" t="s">
        <v>260</v>
      </c>
      <c r="F1381" s="17" t="str">
        <f>"2170718355 "</f>
        <v xml:space="preserve">2170718355 </v>
      </c>
      <c r="G1381" s="17" t="str">
        <f t="shared" si="37"/>
        <v>ON1</v>
      </c>
      <c r="H1381" s="17" t="s">
        <v>21</v>
      </c>
      <c r="I1381" s="17" t="s">
        <v>216</v>
      </c>
      <c r="J1381" s="17" t="str">
        <f>""</f>
        <v/>
      </c>
      <c r="K1381" s="17" t="str">
        <f>"PFES1162728558_0001"</f>
        <v>PFES1162728558_0001</v>
      </c>
      <c r="L1381" s="17">
        <v>1</v>
      </c>
      <c r="M1381" s="17">
        <v>1</v>
      </c>
    </row>
    <row r="1382" spans="1:13">
      <c r="A1382" s="7">
        <v>43816</v>
      </c>
      <c r="B1382" s="8">
        <v>0.64374999999999993</v>
      </c>
      <c r="C1382" s="17" t="str">
        <f>"FES1162728688"</f>
        <v>FES1162728688</v>
      </c>
      <c r="D1382" s="17" t="s">
        <v>19</v>
      </c>
      <c r="E1382" s="17" t="s">
        <v>290</v>
      </c>
      <c r="F1382" s="17" t="str">
        <f>"2170721882 "</f>
        <v xml:space="preserve">2170721882 </v>
      </c>
      <c r="G1382" s="17" t="str">
        <f t="shared" si="37"/>
        <v>ON1</v>
      </c>
      <c r="H1382" s="17" t="s">
        <v>21</v>
      </c>
      <c r="I1382" s="17" t="s">
        <v>123</v>
      </c>
      <c r="J1382" s="17" t="str">
        <f>""</f>
        <v/>
      </c>
      <c r="K1382" s="17" t="str">
        <f>"PFES1162728688_0001"</f>
        <v>PFES1162728688_0001</v>
      </c>
      <c r="L1382" s="17">
        <v>1</v>
      </c>
      <c r="M1382" s="17">
        <v>1</v>
      </c>
    </row>
    <row r="1383" spans="1:13">
      <c r="A1383" s="7">
        <v>43816</v>
      </c>
      <c r="B1383" s="8">
        <v>0.64374999999999993</v>
      </c>
      <c r="C1383" s="17" t="str">
        <f>"FES1162728644"</f>
        <v>FES1162728644</v>
      </c>
      <c r="D1383" s="17" t="s">
        <v>19</v>
      </c>
      <c r="E1383" s="17" t="s">
        <v>77</v>
      </c>
      <c r="F1383" s="17" t="str">
        <f>"217072199993 "</f>
        <v xml:space="preserve">217072199993 </v>
      </c>
      <c r="G1383" s="17" t="str">
        <f t="shared" ref="G1383:G1439" si="38">"ON1"</f>
        <v>ON1</v>
      </c>
      <c r="H1383" s="17" t="s">
        <v>21</v>
      </c>
      <c r="I1383" s="17" t="s">
        <v>78</v>
      </c>
      <c r="J1383" s="17" t="str">
        <f>""</f>
        <v/>
      </c>
      <c r="K1383" s="17" t="str">
        <f>"PFES1162728644_0001"</f>
        <v>PFES1162728644_0001</v>
      </c>
      <c r="L1383" s="17">
        <v>1</v>
      </c>
      <c r="M1383" s="17">
        <v>1</v>
      </c>
    </row>
    <row r="1384" spans="1:13">
      <c r="A1384" s="7">
        <v>43816</v>
      </c>
      <c r="B1384" s="8">
        <v>0.64374999999999993</v>
      </c>
      <c r="C1384" s="17" t="str">
        <f>"FES1162728637"</f>
        <v>FES1162728637</v>
      </c>
      <c r="D1384" s="17" t="s">
        <v>19</v>
      </c>
      <c r="E1384" s="17" t="s">
        <v>101</v>
      </c>
      <c r="F1384" s="17" t="str">
        <f>"2170719594 "</f>
        <v xml:space="preserve">2170719594 </v>
      </c>
      <c r="G1384" s="17" t="str">
        <f t="shared" si="38"/>
        <v>ON1</v>
      </c>
      <c r="H1384" s="17" t="s">
        <v>21</v>
      </c>
      <c r="I1384" s="17" t="s">
        <v>102</v>
      </c>
      <c r="J1384" s="17" t="str">
        <f>""</f>
        <v/>
      </c>
      <c r="K1384" s="17" t="str">
        <f>"PFES1162728637_0001"</f>
        <v>PFES1162728637_0001</v>
      </c>
      <c r="L1384" s="17">
        <v>1</v>
      </c>
      <c r="M1384" s="17">
        <v>1</v>
      </c>
    </row>
    <row r="1385" spans="1:13">
      <c r="A1385" s="7">
        <v>43816</v>
      </c>
      <c r="B1385" s="8">
        <v>0.6430555555555556</v>
      </c>
      <c r="C1385" s="17" t="str">
        <f>"FES1162728525"</f>
        <v>FES1162728525</v>
      </c>
      <c r="D1385" s="17" t="s">
        <v>19</v>
      </c>
      <c r="E1385" s="17" t="s">
        <v>260</v>
      </c>
      <c r="F1385" s="17" t="str">
        <f>"20170716374 "</f>
        <v xml:space="preserve">20170716374 </v>
      </c>
      <c r="G1385" s="17" t="str">
        <f t="shared" si="38"/>
        <v>ON1</v>
      </c>
      <c r="H1385" s="17" t="s">
        <v>21</v>
      </c>
      <c r="I1385" s="17" t="s">
        <v>216</v>
      </c>
      <c r="J1385" s="17" t="str">
        <f>""</f>
        <v/>
      </c>
      <c r="K1385" s="17" t="str">
        <f>"PFES1162728525_0001"</f>
        <v>PFES1162728525_0001</v>
      </c>
      <c r="L1385" s="17">
        <v>1</v>
      </c>
      <c r="M1385" s="17">
        <v>1</v>
      </c>
    </row>
    <row r="1386" spans="1:13">
      <c r="A1386" s="7">
        <v>43816</v>
      </c>
      <c r="B1386" s="8">
        <v>0.6430555555555556</v>
      </c>
      <c r="C1386" s="17" t="str">
        <f>"FES1162728654"</f>
        <v>FES1162728654</v>
      </c>
      <c r="D1386" s="17" t="s">
        <v>19</v>
      </c>
      <c r="E1386" s="17" t="s">
        <v>44</v>
      </c>
      <c r="F1386" s="17" t="str">
        <f>"2170721864 "</f>
        <v xml:space="preserve">2170721864 </v>
      </c>
      <c r="G1386" s="17" t="str">
        <f t="shared" si="38"/>
        <v>ON1</v>
      </c>
      <c r="H1386" s="17" t="s">
        <v>21</v>
      </c>
      <c r="I1386" s="17" t="s">
        <v>45</v>
      </c>
      <c r="J1386" s="17" t="str">
        <f>""</f>
        <v/>
      </c>
      <c r="K1386" s="17" t="str">
        <f>"PFES1162728654_0001"</f>
        <v>PFES1162728654_0001</v>
      </c>
      <c r="L1386" s="17">
        <v>1</v>
      </c>
      <c r="M1386" s="17">
        <v>1</v>
      </c>
    </row>
    <row r="1387" spans="1:13">
      <c r="A1387" s="7">
        <v>43816</v>
      </c>
      <c r="B1387" s="8">
        <v>0.64236111111111105</v>
      </c>
      <c r="C1387" s="17" t="str">
        <f>"FES1162728631"</f>
        <v>FES1162728631</v>
      </c>
      <c r="D1387" s="17" t="s">
        <v>19</v>
      </c>
      <c r="E1387" s="17" t="s">
        <v>290</v>
      </c>
      <c r="F1387" s="17" t="str">
        <f>"2170721849 "</f>
        <v xml:space="preserve">2170721849 </v>
      </c>
      <c r="G1387" s="17" t="str">
        <f t="shared" si="38"/>
        <v>ON1</v>
      </c>
      <c r="H1387" s="17" t="s">
        <v>21</v>
      </c>
      <c r="I1387" s="17" t="s">
        <v>123</v>
      </c>
      <c r="J1387" s="17" t="str">
        <f>""</f>
        <v/>
      </c>
      <c r="K1387" s="17" t="str">
        <f>"PFES1162728631_0001"</f>
        <v>PFES1162728631_0001</v>
      </c>
      <c r="L1387" s="17">
        <v>1</v>
      </c>
      <c r="M1387" s="17">
        <v>1</v>
      </c>
    </row>
    <row r="1388" spans="1:13">
      <c r="A1388" s="7">
        <v>43816</v>
      </c>
      <c r="B1388" s="8">
        <v>0.64236111111111105</v>
      </c>
      <c r="C1388" s="17" t="str">
        <f>"FES1162728630"</f>
        <v>FES1162728630</v>
      </c>
      <c r="D1388" s="17" t="s">
        <v>19</v>
      </c>
      <c r="E1388" s="17" t="s">
        <v>273</v>
      </c>
      <c r="F1388" s="17" t="str">
        <f>"217071848 "</f>
        <v xml:space="preserve">217071848 </v>
      </c>
      <c r="G1388" s="17" t="str">
        <f t="shared" si="38"/>
        <v>ON1</v>
      </c>
      <c r="H1388" s="17" t="s">
        <v>21</v>
      </c>
      <c r="I1388" s="17" t="s">
        <v>78</v>
      </c>
      <c r="J1388" s="17" t="str">
        <f>""</f>
        <v/>
      </c>
      <c r="K1388" s="17" t="str">
        <f>"PFES1162728630_0001"</f>
        <v>PFES1162728630_0001</v>
      </c>
      <c r="L1388" s="17">
        <v>1</v>
      </c>
      <c r="M1388" s="17">
        <v>1</v>
      </c>
    </row>
    <row r="1389" spans="1:13">
      <c r="A1389" s="7">
        <v>43816</v>
      </c>
      <c r="B1389" s="8">
        <v>0.64236111111111105</v>
      </c>
      <c r="C1389" s="17" t="str">
        <f>"FES1162728667"</f>
        <v>FES1162728667</v>
      </c>
      <c r="D1389" s="17" t="s">
        <v>19</v>
      </c>
      <c r="E1389" s="17" t="s">
        <v>77</v>
      </c>
      <c r="F1389" s="17" t="str">
        <f>"2170719993 "</f>
        <v xml:space="preserve">2170719993 </v>
      </c>
      <c r="G1389" s="17" t="str">
        <f t="shared" si="38"/>
        <v>ON1</v>
      </c>
      <c r="H1389" s="17" t="s">
        <v>21</v>
      </c>
      <c r="I1389" s="17" t="s">
        <v>78</v>
      </c>
      <c r="J1389" s="17" t="str">
        <f>""</f>
        <v/>
      </c>
      <c r="K1389" s="17" t="str">
        <f>"PFES1162728667_0001"</f>
        <v>PFES1162728667_0001</v>
      </c>
      <c r="L1389" s="17">
        <v>1</v>
      </c>
      <c r="M1389" s="17">
        <v>1</v>
      </c>
    </row>
    <row r="1390" spans="1:13">
      <c r="A1390" s="7">
        <v>43816</v>
      </c>
      <c r="B1390" s="8">
        <v>0.64166666666666672</v>
      </c>
      <c r="C1390" s="17" t="str">
        <f>"FES1162728656"</f>
        <v>FES1162728656</v>
      </c>
      <c r="D1390" s="17" t="s">
        <v>19</v>
      </c>
      <c r="E1390" s="17" t="s">
        <v>729</v>
      </c>
      <c r="F1390" s="17" t="str">
        <f>"21707121866 "</f>
        <v xml:space="preserve">21707121866 </v>
      </c>
      <c r="G1390" s="17" t="str">
        <f t="shared" si="38"/>
        <v>ON1</v>
      </c>
      <c r="H1390" s="17" t="s">
        <v>21</v>
      </c>
      <c r="I1390" s="17" t="s">
        <v>123</v>
      </c>
      <c r="J1390" s="17" t="str">
        <f>""</f>
        <v/>
      </c>
      <c r="K1390" s="17" t="str">
        <f>"PFES1162728656_0001"</f>
        <v>PFES1162728656_0001</v>
      </c>
      <c r="L1390" s="17">
        <v>1</v>
      </c>
      <c r="M1390" s="17">
        <v>1</v>
      </c>
    </row>
    <row r="1391" spans="1:13">
      <c r="A1391" s="7">
        <v>43816</v>
      </c>
      <c r="B1391" s="8">
        <v>0.64166666666666672</v>
      </c>
      <c r="C1391" s="17" t="str">
        <f>"FES1162728615"</f>
        <v>FES1162728615</v>
      </c>
      <c r="D1391" s="17" t="s">
        <v>19</v>
      </c>
      <c r="E1391" s="17" t="s">
        <v>260</v>
      </c>
      <c r="F1391" s="17" t="str">
        <f>"217071834 "</f>
        <v xml:space="preserve">217071834 </v>
      </c>
      <c r="G1391" s="17" t="str">
        <f t="shared" si="38"/>
        <v>ON1</v>
      </c>
      <c r="H1391" s="17" t="s">
        <v>21</v>
      </c>
      <c r="I1391" s="17" t="s">
        <v>216</v>
      </c>
      <c r="J1391" s="17" t="str">
        <f>""</f>
        <v/>
      </c>
      <c r="K1391" s="17" t="str">
        <f>"PFES1162728615_0001"</f>
        <v>PFES1162728615_0001</v>
      </c>
      <c r="L1391" s="17">
        <v>1</v>
      </c>
      <c r="M1391" s="17">
        <v>1</v>
      </c>
    </row>
    <row r="1392" spans="1:13">
      <c r="A1392" s="7">
        <v>43816</v>
      </c>
      <c r="B1392" s="8">
        <v>0.63680555555555551</v>
      </c>
      <c r="C1392" s="17" t="str">
        <f>"FES1162728460"</f>
        <v>FES1162728460</v>
      </c>
      <c r="D1392" s="17" t="s">
        <v>19</v>
      </c>
      <c r="E1392" s="17" t="s">
        <v>477</v>
      </c>
      <c r="F1392" s="17" t="str">
        <f>"2170721698 "</f>
        <v xml:space="preserve">2170721698 </v>
      </c>
      <c r="G1392" s="17" t="str">
        <f t="shared" si="38"/>
        <v>ON1</v>
      </c>
      <c r="H1392" s="17" t="s">
        <v>21</v>
      </c>
      <c r="I1392" s="17" t="s">
        <v>330</v>
      </c>
      <c r="J1392" s="17" t="str">
        <f>""</f>
        <v/>
      </c>
      <c r="K1392" s="17" t="str">
        <f>"PFES1162728460_0001"</f>
        <v>PFES1162728460_0001</v>
      </c>
      <c r="L1392" s="17">
        <v>1</v>
      </c>
      <c r="M1392" s="17">
        <v>11</v>
      </c>
    </row>
    <row r="1393" spans="1:13">
      <c r="A1393" s="7">
        <v>43816</v>
      </c>
      <c r="B1393" s="8">
        <v>0.63680555555555551</v>
      </c>
      <c r="C1393" s="17" t="str">
        <f>"FES1162728283"</f>
        <v>FES1162728283</v>
      </c>
      <c r="D1393" s="17" t="s">
        <v>19</v>
      </c>
      <c r="E1393" s="17" t="s">
        <v>93</v>
      </c>
      <c r="F1393" s="17" t="str">
        <f>"217071626 "</f>
        <v xml:space="preserve">217071626 </v>
      </c>
      <c r="G1393" s="17" t="str">
        <f t="shared" si="38"/>
        <v>ON1</v>
      </c>
      <c r="H1393" s="17" t="s">
        <v>21</v>
      </c>
      <c r="I1393" s="17" t="s">
        <v>31</v>
      </c>
      <c r="J1393" s="17" t="str">
        <f>""</f>
        <v/>
      </c>
      <c r="K1393" s="17" t="str">
        <f>"PFES1162728283_0001"</f>
        <v>PFES1162728283_0001</v>
      </c>
      <c r="L1393" s="17">
        <v>1</v>
      </c>
      <c r="M1393" s="17">
        <v>1</v>
      </c>
    </row>
    <row r="1394" spans="1:13">
      <c r="A1394" s="7">
        <v>43816</v>
      </c>
      <c r="B1394" s="8">
        <v>0.63541666666666663</v>
      </c>
      <c r="C1394" s="17" t="str">
        <f>"FES1162728470"</f>
        <v>FES1162728470</v>
      </c>
      <c r="D1394" s="17" t="s">
        <v>19</v>
      </c>
      <c r="E1394" s="17" t="s">
        <v>120</v>
      </c>
      <c r="F1394" s="17" t="str">
        <f>"2170710910 "</f>
        <v xml:space="preserve">2170710910 </v>
      </c>
      <c r="G1394" s="17" t="str">
        <f t="shared" si="38"/>
        <v>ON1</v>
      </c>
      <c r="H1394" s="17" t="s">
        <v>21</v>
      </c>
      <c r="I1394" s="17" t="s">
        <v>121</v>
      </c>
      <c r="J1394" s="17" t="str">
        <f>""</f>
        <v/>
      </c>
      <c r="K1394" s="17" t="str">
        <f>"PFES1162728470_0001"</f>
        <v>PFES1162728470_0001</v>
      </c>
      <c r="L1394" s="17">
        <v>1</v>
      </c>
      <c r="M1394" s="17">
        <v>3</v>
      </c>
    </row>
    <row r="1395" spans="1:13">
      <c r="A1395" s="7">
        <v>43816</v>
      </c>
      <c r="B1395" s="8">
        <v>0.63541666666666663</v>
      </c>
      <c r="C1395" s="17" t="str">
        <f>"FES1162728496"</f>
        <v>FES1162728496</v>
      </c>
      <c r="D1395" s="17" t="s">
        <v>19</v>
      </c>
      <c r="E1395" s="17" t="s">
        <v>77</v>
      </c>
      <c r="F1395" s="17" t="str">
        <f>"217071847 "</f>
        <v xml:space="preserve">217071847 </v>
      </c>
      <c r="G1395" s="17" t="str">
        <f t="shared" si="38"/>
        <v>ON1</v>
      </c>
      <c r="H1395" s="17" t="s">
        <v>21</v>
      </c>
      <c r="I1395" s="17" t="s">
        <v>78</v>
      </c>
      <c r="J1395" s="17" t="str">
        <f>""</f>
        <v/>
      </c>
      <c r="K1395" s="17" t="str">
        <f>"PFES1162728496_0001"</f>
        <v>PFES1162728496_0001</v>
      </c>
      <c r="L1395" s="17">
        <v>1</v>
      </c>
      <c r="M1395" s="17">
        <v>6</v>
      </c>
    </row>
    <row r="1396" spans="1:13">
      <c r="A1396" s="7">
        <v>43816</v>
      </c>
      <c r="B1396" s="8">
        <v>0.63472222222222219</v>
      </c>
      <c r="C1396" s="17" t="str">
        <f>"FES1162728471"</f>
        <v>FES1162728471</v>
      </c>
      <c r="D1396" s="17" t="s">
        <v>19</v>
      </c>
      <c r="E1396" s="17" t="s">
        <v>124</v>
      </c>
      <c r="F1396" s="17" t="str">
        <f>"217071452 "</f>
        <v xml:space="preserve">217071452 </v>
      </c>
      <c r="G1396" s="17" t="str">
        <f t="shared" si="38"/>
        <v>ON1</v>
      </c>
      <c r="H1396" s="17" t="s">
        <v>21</v>
      </c>
      <c r="I1396" s="17" t="s">
        <v>125</v>
      </c>
      <c r="J1396" s="17" t="str">
        <f>""</f>
        <v/>
      </c>
      <c r="K1396" s="17" t="str">
        <f>"PFES1162728471_0001"</f>
        <v>PFES1162728471_0001</v>
      </c>
      <c r="L1396" s="17">
        <v>1</v>
      </c>
      <c r="M1396" s="17">
        <v>5</v>
      </c>
    </row>
    <row r="1397" spans="1:13">
      <c r="A1397" s="7">
        <v>43816</v>
      </c>
      <c r="B1397" s="8">
        <v>0.62361111111111112</v>
      </c>
      <c r="C1397" s="17" t="str">
        <f>"FES1162728748"</f>
        <v>FES1162728748</v>
      </c>
      <c r="D1397" s="17" t="s">
        <v>19</v>
      </c>
      <c r="E1397" s="17" t="s">
        <v>730</v>
      </c>
      <c r="F1397" s="17" t="str">
        <f>"21707521940 "</f>
        <v xml:space="preserve">21707521940 </v>
      </c>
      <c r="G1397" s="17" t="str">
        <f t="shared" si="38"/>
        <v>ON1</v>
      </c>
      <c r="H1397" s="17" t="s">
        <v>21</v>
      </c>
      <c r="I1397" s="17" t="s">
        <v>152</v>
      </c>
      <c r="J1397" s="17" t="str">
        <f>""</f>
        <v/>
      </c>
      <c r="K1397" s="17" t="str">
        <f>"PFES1162728748_0001"</f>
        <v>PFES1162728748_0001</v>
      </c>
      <c r="L1397" s="17">
        <v>1</v>
      </c>
      <c r="M1397" s="17">
        <v>1</v>
      </c>
    </row>
    <row r="1398" spans="1:13">
      <c r="A1398" s="7">
        <v>43816</v>
      </c>
      <c r="B1398" s="8">
        <v>0.62361111111111112</v>
      </c>
      <c r="C1398" s="17" t="str">
        <f>"FES1162728746"</f>
        <v>FES1162728746</v>
      </c>
      <c r="D1398" s="17" t="s">
        <v>19</v>
      </c>
      <c r="E1398" s="17" t="s">
        <v>34</v>
      </c>
      <c r="F1398" s="17" t="str">
        <f>"217071936 "</f>
        <v xml:space="preserve">217071936 </v>
      </c>
      <c r="G1398" s="17" t="str">
        <f t="shared" si="38"/>
        <v>ON1</v>
      </c>
      <c r="H1398" s="17" t="s">
        <v>21</v>
      </c>
      <c r="I1398" s="17" t="s">
        <v>35</v>
      </c>
      <c r="J1398" s="17" t="str">
        <f>""</f>
        <v/>
      </c>
      <c r="K1398" s="17" t="str">
        <f>"PFES1162728746_0001"</f>
        <v>PFES1162728746_0001</v>
      </c>
      <c r="L1398" s="17">
        <v>1</v>
      </c>
      <c r="M1398" s="17">
        <v>1</v>
      </c>
    </row>
    <row r="1399" spans="1:13">
      <c r="A1399" s="7">
        <v>43816</v>
      </c>
      <c r="B1399" s="8">
        <v>0.62291666666666667</v>
      </c>
      <c r="C1399" s="17" t="str">
        <f>"FES1162728381"</f>
        <v>FES1162728381</v>
      </c>
      <c r="D1399" s="17" t="s">
        <v>19</v>
      </c>
      <c r="E1399" s="17" t="s">
        <v>124</v>
      </c>
      <c r="F1399" s="17" t="str">
        <f>"2170716417 "</f>
        <v xml:space="preserve">2170716417 </v>
      </c>
      <c r="G1399" s="17" t="str">
        <f t="shared" si="38"/>
        <v>ON1</v>
      </c>
      <c r="H1399" s="17" t="s">
        <v>21</v>
      </c>
      <c r="I1399" s="17" t="s">
        <v>125</v>
      </c>
      <c r="J1399" s="17" t="str">
        <f>""</f>
        <v/>
      </c>
      <c r="K1399" s="17" t="str">
        <f>"PFES1162728381_0001"</f>
        <v>PFES1162728381_0001</v>
      </c>
      <c r="L1399" s="17">
        <v>1</v>
      </c>
      <c r="M1399" s="17">
        <v>9</v>
      </c>
    </row>
    <row r="1400" spans="1:13">
      <c r="A1400" s="7">
        <v>43816</v>
      </c>
      <c r="B1400" s="8">
        <v>0.61875000000000002</v>
      </c>
      <c r="C1400" s="17" t="str">
        <f>"FES1162728727"</f>
        <v>FES1162728727</v>
      </c>
      <c r="D1400" s="17" t="s">
        <v>19</v>
      </c>
      <c r="E1400" s="17" t="s">
        <v>224</v>
      </c>
      <c r="F1400" s="17" t="str">
        <f>"2170719510 "</f>
        <v xml:space="preserve">2170719510 </v>
      </c>
      <c r="G1400" s="17" t="str">
        <f t="shared" si="38"/>
        <v>ON1</v>
      </c>
      <c r="H1400" s="17" t="s">
        <v>21</v>
      </c>
      <c r="I1400" s="17" t="s">
        <v>141</v>
      </c>
      <c r="J1400" s="17" t="str">
        <f>""</f>
        <v/>
      </c>
      <c r="K1400" s="17" t="str">
        <f>"PFES1162728727_0001"</f>
        <v>PFES1162728727_0001</v>
      </c>
      <c r="L1400" s="17">
        <v>1</v>
      </c>
      <c r="M1400" s="17">
        <v>1</v>
      </c>
    </row>
    <row r="1401" spans="1:13">
      <c r="A1401" s="7">
        <v>43816</v>
      </c>
      <c r="B1401" s="8">
        <v>0.61875000000000002</v>
      </c>
      <c r="C1401" s="17" t="str">
        <f>"FES1162728725"</f>
        <v>FES1162728725</v>
      </c>
      <c r="D1401" s="17" t="s">
        <v>19</v>
      </c>
      <c r="E1401" s="17" t="s">
        <v>42</v>
      </c>
      <c r="F1401" s="17" t="str">
        <f>"2170719382 "</f>
        <v xml:space="preserve">2170719382 </v>
      </c>
      <c r="G1401" s="17" t="str">
        <f t="shared" si="38"/>
        <v>ON1</v>
      </c>
      <c r="H1401" s="17" t="s">
        <v>21</v>
      </c>
      <c r="I1401" s="17" t="s">
        <v>43</v>
      </c>
      <c r="J1401" s="17" t="str">
        <f>""</f>
        <v/>
      </c>
      <c r="K1401" s="17" t="str">
        <f>"PFES1162728725_0001"</f>
        <v>PFES1162728725_0001</v>
      </c>
      <c r="L1401" s="17">
        <v>1</v>
      </c>
      <c r="M1401" s="17">
        <v>1</v>
      </c>
    </row>
    <row r="1402" spans="1:13">
      <c r="A1402" s="7">
        <v>43816</v>
      </c>
      <c r="B1402" s="8">
        <v>0.61805555555555558</v>
      </c>
      <c r="C1402" s="17" t="str">
        <f>"FES1162728506"</f>
        <v>FES1162728506</v>
      </c>
      <c r="D1402" s="17" t="s">
        <v>19</v>
      </c>
      <c r="E1402" s="17" t="s">
        <v>292</v>
      </c>
      <c r="F1402" s="17" t="str">
        <f>"217071739 "</f>
        <v xml:space="preserve">217071739 </v>
      </c>
      <c r="G1402" s="17" t="str">
        <f t="shared" si="38"/>
        <v>ON1</v>
      </c>
      <c r="H1402" s="17" t="s">
        <v>21</v>
      </c>
      <c r="I1402" s="17" t="s">
        <v>78</v>
      </c>
      <c r="J1402" s="17" t="str">
        <f>""</f>
        <v/>
      </c>
      <c r="K1402" s="17" t="str">
        <f>"PFES1162728506_0001"</f>
        <v>PFES1162728506_0001</v>
      </c>
      <c r="L1402" s="17">
        <v>1</v>
      </c>
      <c r="M1402" s="17">
        <v>1</v>
      </c>
    </row>
    <row r="1403" spans="1:13">
      <c r="A1403" s="7">
        <v>43816</v>
      </c>
      <c r="B1403" s="8">
        <v>0.61805555555555558</v>
      </c>
      <c r="C1403" s="17" t="str">
        <f>"FES1162728507"</f>
        <v>FES1162728507</v>
      </c>
      <c r="D1403" s="17" t="s">
        <v>19</v>
      </c>
      <c r="E1403" s="17" t="s">
        <v>217</v>
      </c>
      <c r="F1403" s="17" t="str">
        <f>"217071741 "</f>
        <v xml:space="preserve">217071741 </v>
      </c>
      <c r="G1403" s="17" t="str">
        <f t="shared" si="38"/>
        <v>ON1</v>
      </c>
      <c r="H1403" s="17" t="s">
        <v>21</v>
      </c>
      <c r="I1403" s="17" t="s">
        <v>102</v>
      </c>
      <c r="J1403" s="17" t="str">
        <f>""</f>
        <v/>
      </c>
      <c r="K1403" s="17" t="str">
        <f>"PFES1162728507_0001"</f>
        <v>PFES1162728507_0001</v>
      </c>
      <c r="L1403" s="17">
        <v>1</v>
      </c>
      <c r="M1403" s="17">
        <v>5</v>
      </c>
    </row>
    <row r="1404" spans="1:13">
      <c r="A1404" s="7">
        <v>43816</v>
      </c>
      <c r="B1404" s="8">
        <v>0.61805555555555558</v>
      </c>
      <c r="C1404" s="17" t="str">
        <f>"FES1162728662"</f>
        <v>FES1162728662</v>
      </c>
      <c r="D1404" s="17" t="s">
        <v>19</v>
      </c>
      <c r="E1404" s="17" t="s">
        <v>727</v>
      </c>
      <c r="F1404" s="17" t="str">
        <f>"217071631 "</f>
        <v xml:space="preserve">217071631 </v>
      </c>
      <c r="G1404" s="17" t="str">
        <f t="shared" si="38"/>
        <v>ON1</v>
      </c>
      <c r="H1404" s="17" t="s">
        <v>21</v>
      </c>
      <c r="I1404" s="17" t="s">
        <v>559</v>
      </c>
      <c r="J1404" s="17" t="str">
        <f>""</f>
        <v/>
      </c>
      <c r="K1404" s="17" t="str">
        <f>"PFES1162728662_0001"</f>
        <v>PFES1162728662_0001</v>
      </c>
      <c r="L1404" s="17">
        <v>1</v>
      </c>
      <c r="M1404" s="17">
        <v>1</v>
      </c>
    </row>
    <row r="1405" spans="1:13">
      <c r="A1405" s="7">
        <v>43816</v>
      </c>
      <c r="B1405" s="8">
        <v>0.61736111111111114</v>
      </c>
      <c r="C1405" s="17" t="str">
        <f>"FES1162728586"</f>
        <v>FES1162728586</v>
      </c>
      <c r="D1405" s="17" t="s">
        <v>19</v>
      </c>
      <c r="E1405" s="17" t="s">
        <v>505</v>
      </c>
      <c r="F1405" s="17" t="str">
        <f>"217071699 "</f>
        <v xml:space="preserve">217071699 </v>
      </c>
      <c r="G1405" s="17" t="str">
        <f t="shared" si="38"/>
        <v>ON1</v>
      </c>
      <c r="H1405" s="17" t="s">
        <v>21</v>
      </c>
      <c r="I1405" s="17" t="s">
        <v>506</v>
      </c>
      <c r="J1405" s="17" t="str">
        <f>""</f>
        <v/>
      </c>
      <c r="K1405" s="17" t="str">
        <f>"PFES1162728586_0001"</f>
        <v>PFES1162728586_0001</v>
      </c>
      <c r="L1405" s="17">
        <v>1</v>
      </c>
      <c r="M1405" s="17">
        <v>2</v>
      </c>
    </row>
    <row r="1406" spans="1:13">
      <c r="A1406" s="7">
        <v>43816</v>
      </c>
      <c r="B1406" s="8">
        <v>0.61736111111111114</v>
      </c>
      <c r="C1406" s="17" t="str">
        <f>"FES1162728671"</f>
        <v>FES1162728671</v>
      </c>
      <c r="D1406" s="17" t="s">
        <v>19</v>
      </c>
      <c r="E1406" s="17" t="s">
        <v>600</v>
      </c>
      <c r="F1406" s="17" t="str">
        <f>"217071593 "</f>
        <v xml:space="preserve">217071593 </v>
      </c>
      <c r="G1406" s="17" t="str">
        <f t="shared" si="38"/>
        <v>ON1</v>
      </c>
      <c r="H1406" s="17" t="s">
        <v>21</v>
      </c>
      <c r="I1406" s="17" t="s">
        <v>191</v>
      </c>
      <c r="J1406" s="17" t="str">
        <f>""</f>
        <v/>
      </c>
      <c r="K1406" s="17" t="str">
        <f>"PFES1162728671_0001"</f>
        <v>PFES1162728671_0001</v>
      </c>
      <c r="L1406" s="17">
        <v>1</v>
      </c>
      <c r="M1406" s="17">
        <v>3</v>
      </c>
    </row>
    <row r="1407" spans="1:13">
      <c r="A1407" s="7">
        <v>43816</v>
      </c>
      <c r="B1407" s="8">
        <v>0.6166666666666667</v>
      </c>
      <c r="C1407" s="17" t="str">
        <f>"FES1162728537"</f>
        <v>FES1162728537</v>
      </c>
      <c r="D1407" s="17" t="s">
        <v>19</v>
      </c>
      <c r="E1407" s="17" t="s">
        <v>486</v>
      </c>
      <c r="F1407" s="17" t="str">
        <f>"217071770 "</f>
        <v xml:space="preserve">217071770 </v>
      </c>
      <c r="G1407" s="17" t="str">
        <f t="shared" si="38"/>
        <v>ON1</v>
      </c>
      <c r="H1407" s="17" t="s">
        <v>21</v>
      </c>
      <c r="I1407" s="17" t="s">
        <v>487</v>
      </c>
      <c r="J1407" s="17" t="str">
        <f>""</f>
        <v/>
      </c>
      <c r="K1407" s="17" t="str">
        <f>"PFES1162728537_0001"</f>
        <v>PFES1162728537_0001</v>
      </c>
      <c r="L1407" s="17">
        <v>1</v>
      </c>
      <c r="M1407" s="17">
        <v>7</v>
      </c>
    </row>
    <row r="1408" spans="1:13">
      <c r="A1408" s="7">
        <v>43816</v>
      </c>
      <c r="B1408" s="8">
        <v>0.61388888888888882</v>
      </c>
      <c r="C1408" s="17" t="str">
        <f>"FES1162728486"</f>
        <v>FES1162728486</v>
      </c>
      <c r="D1408" s="17" t="s">
        <v>19</v>
      </c>
      <c r="E1408" s="17" t="s">
        <v>731</v>
      </c>
      <c r="F1408" s="17" t="str">
        <f>"21707420005 "</f>
        <v xml:space="preserve">21707420005 </v>
      </c>
      <c r="G1408" s="17" t="str">
        <f t="shared" si="38"/>
        <v>ON1</v>
      </c>
      <c r="H1408" s="17" t="s">
        <v>21</v>
      </c>
      <c r="I1408" s="17" t="s">
        <v>235</v>
      </c>
      <c r="J1408" s="17" t="str">
        <f>""</f>
        <v/>
      </c>
      <c r="K1408" s="17" t="str">
        <f>"PFES1162728486_0001"</f>
        <v>PFES1162728486_0001</v>
      </c>
      <c r="L1408" s="17">
        <v>1</v>
      </c>
      <c r="M1408" s="17">
        <v>21</v>
      </c>
    </row>
    <row r="1409" spans="1:13">
      <c r="A1409" s="7">
        <v>43816</v>
      </c>
      <c r="B1409" s="8">
        <v>0.61319444444444449</v>
      </c>
      <c r="C1409" s="17" t="str">
        <f>"FES1162728487"</f>
        <v>FES1162728487</v>
      </c>
      <c r="D1409" s="17" t="s">
        <v>19</v>
      </c>
      <c r="E1409" s="17" t="s">
        <v>732</v>
      </c>
      <c r="F1409" s="17" t="str">
        <f>"217071464 "</f>
        <v xml:space="preserve">217071464 </v>
      </c>
      <c r="G1409" s="17" t="str">
        <f t="shared" si="38"/>
        <v>ON1</v>
      </c>
      <c r="H1409" s="17" t="s">
        <v>21</v>
      </c>
      <c r="I1409" s="17" t="s">
        <v>733</v>
      </c>
      <c r="J1409" s="17" t="str">
        <f>""</f>
        <v/>
      </c>
      <c r="K1409" s="17" t="str">
        <f>"PFES1162728487_0001"</f>
        <v>PFES1162728487_0001</v>
      </c>
      <c r="L1409" s="17">
        <v>1</v>
      </c>
      <c r="M1409" s="17">
        <v>5</v>
      </c>
    </row>
    <row r="1410" spans="1:13">
      <c r="A1410" s="7">
        <v>43816</v>
      </c>
      <c r="B1410" s="8">
        <v>0.61249999999999993</v>
      </c>
      <c r="C1410" s="17" t="str">
        <f>"FES1162728494"</f>
        <v>FES1162728494</v>
      </c>
      <c r="D1410" s="17" t="s">
        <v>19</v>
      </c>
      <c r="E1410" s="17" t="s">
        <v>734</v>
      </c>
      <c r="F1410" s="17" t="str">
        <f>"217719193 "</f>
        <v xml:space="preserve">217719193 </v>
      </c>
      <c r="G1410" s="17" t="str">
        <f t="shared" si="38"/>
        <v>ON1</v>
      </c>
      <c r="H1410" s="17" t="s">
        <v>21</v>
      </c>
      <c r="I1410" s="17" t="s">
        <v>735</v>
      </c>
      <c r="J1410" s="17" t="str">
        <f>""</f>
        <v/>
      </c>
      <c r="K1410" s="17" t="str">
        <f>"PFES1162728494_0001"</f>
        <v>PFES1162728494_0001</v>
      </c>
      <c r="L1410" s="17">
        <v>1</v>
      </c>
      <c r="M1410" s="17">
        <v>4</v>
      </c>
    </row>
    <row r="1411" spans="1:13">
      <c r="A1411" s="7">
        <v>43816</v>
      </c>
      <c r="B1411" s="8">
        <v>0.6118055555555556</v>
      </c>
      <c r="C1411" s="17" t="str">
        <f>"FES1162728529"</f>
        <v>FES1162728529</v>
      </c>
      <c r="D1411" s="17" t="s">
        <v>19</v>
      </c>
      <c r="E1411" s="17" t="s">
        <v>529</v>
      </c>
      <c r="F1411" s="17" t="str">
        <f>"21707120285 "</f>
        <v xml:space="preserve">21707120285 </v>
      </c>
      <c r="G1411" s="17" t="str">
        <f t="shared" si="38"/>
        <v>ON1</v>
      </c>
      <c r="H1411" s="17" t="s">
        <v>21</v>
      </c>
      <c r="I1411" s="17" t="s">
        <v>136</v>
      </c>
      <c r="J1411" s="17" t="str">
        <f>""</f>
        <v/>
      </c>
      <c r="K1411" s="17" t="str">
        <f>"PFES1162728529_0001"</f>
        <v>PFES1162728529_0001</v>
      </c>
      <c r="L1411" s="17">
        <v>1</v>
      </c>
      <c r="M1411" s="17">
        <v>1</v>
      </c>
    </row>
    <row r="1412" spans="1:13">
      <c r="A1412" s="7">
        <v>43816</v>
      </c>
      <c r="B1412" s="8">
        <v>0.6118055555555556</v>
      </c>
      <c r="C1412" s="17" t="str">
        <f>"FES1162728728"</f>
        <v>FES1162728728</v>
      </c>
      <c r="D1412" s="17" t="s">
        <v>19</v>
      </c>
      <c r="E1412" s="17" t="s">
        <v>736</v>
      </c>
      <c r="F1412" s="17" t="str">
        <f>"2170719552 "</f>
        <v xml:space="preserve">2170719552 </v>
      </c>
      <c r="G1412" s="17" t="str">
        <f t="shared" si="38"/>
        <v>ON1</v>
      </c>
      <c r="H1412" s="17" t="s">
        <v>21</v>
      </c>
      <c r="I1412" s="17" t="s">
        <v>50</v>
      </c>
      <c r="J1412" s="17" t="str">
        <f>""</f>
        <v/>
      </c>
      <c r="K1412" s="17" t="str">
        <f>"PFES1162728728_0001"</f>
        <v>PFES1162728728_0001</v>
      </c>
      <c r="L1412" s="17">
        <v>1</v>
      </c>
      <c r="M1412" s="17">
        <v>11</v>
      </c>
    </row>
    <row r="1413" spans="1:13">
      <c r="A1413" s="7">
        <v>43816</v>
      </c>
      <c r="B1413" s="8">
        <v>0.61111111111111105</v>
      </c>
      <c r="C1413" s="17" t="str">
        <f>"FES1162728639"</f>
        <v>FES1162728639</v>
      </c>
      <c r="D1413" s="17" t="s">
        <v>19</v>
      </c>
      <c r="E1413" s="17" t="s">
        <v>83</v>
      </c>
      <c r="F1413" s="17" t="str">
        <f>"2170719669 "</f>
        <v xml:space="preserve">2170719669 </v>
      </c>
      <c r="G1413" s="17" t="str">
        <f t="shared" si="38"/>
        <v>ON1</v>
      </c>
      <c r="H1413" s="17" t="s">
        <v>21</v>
      </c>
      <c r="I1413" s="17" t="s">
        <v>70</v>
      </c>
      <c r="J1413" s="17" t="str">
        <f>""</f>
        <v/>
      </c>
      <c r="K1413" s="17" t="str">
        <f>"PFES1162728639_0001"</f>
        <v>PFES1162728639_0001</v>
      </c>
      <c r="L1413" s="17">
        <v>1</v>
      </c>
      <c r="M1413" s="17">
        <v>1</v>
      </c>
    </row>
    <row r="1414" spans="1:13">
      <c r="A1414" s="7">
        <v>43816</v>
      </c>
      <c r="B1414" s="8">
        <v>0.61111111111111105</v>
      </c>
      <c r="C1414" s="17" t="str">
        <f>"FES1162728594"</f>
        <v>FES1162728594</v>
      </c>
      <c r="D1414" s="17" t="s">
        <v>19</v>
      </c>
      <c r="E1414" s="17" t="s">
        <v>737</v>
      </c>
      <c r="F1414" s="17" t="str">
        <f>"217071823 "</f>
        <v xml:space="preserve">217071823 </v>
      </c>
      <c r="G1414" s="17" t="str">
        <f t="shared" si="38"/>
        <v>ON1</v>
      </c>
      <c r="H1414" s="17" t="s">
        <v>21</v>
      </c>
      <c r="I1414" s="17" t="s">
        <v>72</v>
      </c>
      <c r="J1414" s="17" t="str">
        <f>""</f>
        <v/>
      </c>
      <c r="K1414" s="17" t="str">
        <f>"PFES1162728594_0001"</f>
        <v>PFES1162728594_0001</v>
      </c>
      <c r="L1414" s="17">
        <v>1</v>
      </c>
      <c r="M1414" s="17">
        <v>1</v>
      </c>
    </row>
    <row r="1415" spans="1:13">
      <c r="A1415" s="7">
        <v>43816</v>
      </c>
      <c r="B1415" s="8">
        <v>0.61041666666666672</v>
      </c>
      <c r="C1415" s="17" t="str">
        <f>"FES1162728678"</f>
        <v>FES1162728678</v>
      </c>
      <c r="D1415" s="17" t="s">
        <v>19</v>
      </c>
      <c r="E1415" s="17" t="s">
        <v>738</v>
      </c>
      <c r="F1415" s="17" t="str">
        <f>"217071874 "</f>
        <v xml:space="preserve">217071874 </v>
      </c>
      <c r="G1415" s="17" t="str">
        <f t="shared" si="38"/>
        <v>ON1</v>
      </c>
      <c r="H1415" s="17" t="s">
        <v>21</v>
      </c>
      <c r="I1415" s="17" t="s">
        <v>72</v>
      </c>
      <c r="J1415" s="17" t="str">
        <f>""</f>
        <v/>
      </c>
      <c r="K1415" s="17" t="str">
        <f>"PFES1162728678_0001"</f>
        <v>PFES1162728678_0001</v>
      </c>
      <c r="L1415" s="17">
        <v>1</v>
      </c>
      <c r="M1415" s="17">
        <v>1</v>
      </c>
    </row>
    <row r="1416" spans="1:13">
      <c r="A1416" s="7">
        <v>43816</v>
      </c>
      <c r="B1416" s="8">
        <v>0.61041666666666672</v>
      </c>
      <c r="C1416" s="17" t="str">
        <f>"FES1162728673"</f>
        <v>FES1162728673</v>
      </c>
      <c r="D1416" s="17" t="s">
        <v>19</v>
      </c>
      <c r="E1416" s="17" t="s">
        <v>502</v>
      </c>
      <c r="F1416" s="17" t="str">
        <f>"217071868 "</f>
        <v xml:space="preserve">217071868 </v>
      </c>
      <c r="G1416" s="17" t="str">
        <f t="shared" si="38"/>
        <v>ON1</v>
      </c>
      <c r="H1416" s="17" t="s">
        <v>21</v>
      </c>
      <c r="I1416" s="17" t="s">
        <v>119</v>
      </c>
      <c r="J1416" s="17" t="str">
        <f>""</f>
        <v/>
      </c>
      <c r="K1416" s="17" t="str">
        <f>"PFES1162728673_0001"</f>
        <v>PFES1162728673_0001</v>
      </c>
      <c r="L1416" s="17">
        <v>1</v>
      </c>
      <c r="M1416" s="17">
        <v>1</v>
      </c>
    </row>
    <row r="1417" spans="1:13">
      <c r="A1417" s="7">
        <v>43816</v>
      </c>
      <c r="B1417" s="8">
        <v>0.61041666666666672</v>
      </c>
      <c r="C1417" s="17" t="str">
        <f>"FES1162728641"</f>
        <v>FES1162728641</v>
      </c>
      <c r="D1417" s="17" t="s">
        <v>19</v>
      </c>
      <c r="E1417" s="17" t="s">
        <v>395</v>
      </c>
      <c r="F1417" s="17" t="str">
        <f>"21707198758 "</f>
        <v xml:space="preserve">21707198758 </v>
      </c>
      <c r="G1417" s="17" t="str">
        <f t="shared" si="38"/>
        <v>ON1</v>
      </c>
      <c r="H1417" s="17" t="s">
        <v>21</v>
      </c>
      <c r="I1417" s="17" t="s">
        <v>396</v>
      </c>
      <c r="J1417" s="17" t="str">
        <f>""</f>
        <v/>
      </c>
      <c r="K1417" s="17" t="str">
        <f>"PFES1162728641_0001"</f>
        <v>PFES1162728641_0001</v>
      </c>
      <c r="L1417" s="17">
        <v>1</v>
      </c>
      <c r="M1417" s="17">
        <v>1</v>
      </c>
    </row>
    <row r="1418" spans="1:13">
      <c r="A1418" s="7">
        <v>43816</v>
      </c>
      <c r="B1418" s="8">
        <v>0.60972222222222217</v>
      </c>
      <c r="C1418" s="17" t="str">
        <f>"FES1162728741"</f>
        <v>FES1162728741</v>
      </c>
      <c r="D1418" s="17" t="s">
        <v>19</v>
      </c>
      <c r="E1418" s="17" t="s">
        <v>224</v>
      </c>
      <c r="F1418" s="17" t="str">
        <f>"2170719281 "</f>
        <v xml:space="preserve">2170719281 </v>
      </c>
      <c r="G1418" s="17" t="str">
        <f t="shared" si="38"/>
        <v>ON1</v>
      </c>
      <c r="H1418" s="17" t="s">
        <v>21</v>
      </c>
      <c r="I1418" s="17" t="s">
        <v>141</v>
      </c>
      <c r="J1418" s="17" t="str">
        <f>""</f>
        <v/>
      </c>
      <c r="K1418" s="17" t="str">
        <f>"PFES1162728741_0001"</f>
        <v>PFES1162728741_0001</v>
      </c>
      <c r="L1418" s="17">
        <v>1</v>
      </c>
      <c r="M1418" s="17">
        <v>1</v>
      </c>
    </row>
    <row r="1419" spans="1:13">
      <c r="A1419" s="7">
        <v>43816</v>
      </c>
      <c r="B1419" s="8">
        <v>0.60972222222222217</v>
      </c>
      <c r="C1419" s="17" t="str">
        <f>"FES1162728703"</f>
        <v>FES1162728703</v>
      </c>
      <c r="D1419" s="17" t="s">
        <v>19</v>
      </c>
      <c r="E1419" s="17" t="s">
        <v>739</v>
      </c>
      <c r="F1419" s="17" t="str">
        <f>"217071904 "</f>
        <v xml:space="preserve">217071904 </v>
      </c>
      <c r="G1419" s="17" t="str">
        <f t="shared" si="38"/>
        <v>ON1</v>
      </c>
      <c r="H1419" s="17" t="s">
        <v>21</v>
      </c>
      <c r="I1419" s="17" t="s">
        <v>193</v>
      </c>
      <c r="J1419" s="17" t="str">
        <f>""</f>
        <v/>
      </c>
      <c r="K1419" s="17" t="str">
        <f>"PFES1162728703_0001"</f>
        <v>PFES1162728703_0001</v>
      </c>
      <c r="L1419" s="17">
        <v>1</v>
      </c>
      <c r="M1419" s="17">
        <v>1</v>
      </c>
    </row>
    <row r="1420" spans="1:13">
      <c r="A1420" s="7">
        <v>43816</v>
      </c>
      <c r="B1420" s="8">
        <v>0.60902777777777783</v>
      </c>
      <c r="C1420" s="17" t="str">
        <f>"FES1162728552"</f>
        <v>FES1162728552</v>
      </c>
      <c r="D1420" s="17" t="s">
        <v>19</v>
      </c>
      <c r="E1420" s="17" t="s">
        <v>93</v>
      </c>
      <c r="F1420" s="17" t="str">
        <f>"217071818 "</f>
        <v xml:space="preserve">217071818 </v>
      </c>
      <c r="G1420" s="17" t="str">
        <f t="shared" si="38"/>
        <v>ON1</v>
      </c>
      <c r="H1420" s="17" t="s">
        <v>21</v>
      </c>
      <c r="I1420" s="17" t="s">
        <v>136</v>
      </c>
      <c r="J1420" s="17" t="str">
        <f>""</f>
        <v/>
      </c>
      <c r="K1420" s="17" t="str">
        <f>"PFES1162728552_0001"</f>
        <v>PFES1162728552_0001</v>
      </c>
      <c r="L1420" s="17">
        <v>1</v>
      </c>
      <c r="M1420" s="17">
        <v>1</v>
      </c>
    </row>
    <row r="1421" spans="1:13">
      <c r="A1421" s="7">
        <v>43816</v>
      </c>
      <c r="B1421" s="8">
        <v>0.60902777777777783</v>
      </c>
      <c r="C1421" s="17" t="str">
        <f>"FES1162728374"</f>
        <v>FES1162728374</v>
      </c>
      <c r="D1421" s="17" t="s">
        <v>19</v>
      </c>
      <c r="E1421" s="17" t="s">
        <v>101</v>
      </c>
      <c r="F1421" s="17" t="str">
        <f>"217071646 "</f>
        <v xml:space="preserve">217071646 </v>
      </c>
      <c r="G1421" s="17" t="str">
        <f t="shared" si="38"/>
        <v>ON1</v>
      </c>
      <c r="H1421" s="17" t="s">
        <v>21</v>
      </c>
      <c r="I1421" s="17" t="s">
        <v>102</v>
      </c>
      <c r="J1421" s="17" t="str">
        <f>""</f>
        <v/>
      </c>
      <c r="K1421" s="17" t="str">
        <f>"PFES1162728374_0001"</f>
        <v>PFES1162728374_0001</v>
      </c>
      <c r="L1421" s="17">
        <v>1</v>
      </c>
      <c r="M1421" s="17">
        <v>1</v>
      </c>
    </row>
    <row r="1422" spans="1:13">
      <c r="A1422" s="7">
        <v>43816</v>
      </c>
      <c r="B1422" s="8">
        <v>0.60902777777777783</v>
      </c>
      <c r="C1422" s="17" t="str">
        <f>"FES1162728500"</f>
        <v>FES1162728500</v>
      </c>
      <c r="D1422" s="17" t="s">
        <v>19</v>
      </c>
      <c r="E1422" s="17" t="s">
        <v>740</v>
      </c>
      <c r="F1422" s="17" t="str">
        <f>"217071733 "</f>
        <v xml:space="preserve">217071733 </v>
      </c>
      <c r="G1422" s="17" t="str">
        <f t="shared" si="38"/>
        <v>ON1</v>
      </c>
      <c r="H1422" s="17" t="s">
        <v>21</v>
      </c>
      <c r="I1422" s="17" t="s">
        <v>741</v>
      </c>
      <c r="J1422" s="17" t="str">
        <f>""</f>
        <v/>
      </c>
      <c r="K1422" s="17" t="str">
        <f>"PFES1162728500_0001"</f>
        <v>PFES1162728500_0001</v>
      </c>
      <c r="L1422" s="17">
        <v>1</v>
      </c>
      <c r="M1422" s="17">
        <v>1</v>
      </c>
    </row>
    <row r="1423" spans="1:13">
      <c r="A1423" s="7">
        <v>43816</v>
      </c>
      <c r="B1423" s="8">
        <v>0.60833333333333328</v>
      </c>
      <c r="C1423" s="17" t="str">
        <f>"FES1162728358"</f>
        <v>FES1162728358</v>
      </c>
      <c r="D1423" s="17" t="s">
        <v>19</v>
      </c>
      <c r="E1423" s="17" t="s">
        <v>692</v>
      </c>
      <c r="F1423" s="17" t="str">
        <f>"217071654 "</f>
        <v xml:space="preserve">217071654 </v>
      </c>
      <c r="G1423" s="17" t="str">
        <f t="shared" si="38"/>
        <v>ON1</v>
      </c>
      <c r="H1423" s="17" t="s">
        <v>21</v>
      </c>
      <c r="I1423" s="17" t="s">
        <v>693</v>
      </c>
      <c r="J1423" s="17" t="str">
        <f>""</f>
        <v/>
      </c>
      <c r="K1423" s="17" t="str">
        <f>"PFES1162728358_0001"</f>
        <v>PFES1162728358_0001</v>
      </c>
      <c r="L1423" s="17">
        <v>1</v>
      </c>
      <c r="M1423" s="17">
        <v>1</v>
      </c>
    </row>
    <row r="1424" spans="1:13">
      <c r="A1424" s="7">
        <v>43816</v>
      </c>
      <c r="B1424" s="8">
        <v>0.60833333333333328</v>
      </c>
      <c r="C1424" s="17" t="str">
        <f>"FES1162728518"</f>
        <v>FES1162728518</v>
      </c>
      <c r="D1424" s="17" t="s">
        <v>19</v>
      </c>
      <c r="E1424" s="17" t="s">
        <v>124</v>
      </c>
      <c r="F1424" s="17" t="str">
        <f>"217071745 "</f>
        <v xml:space="preserve">217071745 </v>
      </c>
      <c r="G1424" s="17" t="str">
        <f t="shared" si="38"/>
        <v>ON1</v>
      </c>
      <c r="H1424" s="17" t="s">
        <v>21</v>
      </c>
      <c r="I1424" s="17" t="s">
        <v>125</v>
      </c>
      <c r="J1424" s="17" t="str">
        <f>""</f>
        <v/>
      </c>
      <c r="K1424" s="17" t="str">
        <f>"PFES1162728518_0001"</f>
        <v>PFES1162728518_0001</v>
      </c>
      <c r="L1424" s="17">
        <v>1</v>
      </c>
      <c r="M1424" s="17">
        <v>1</v>
      </c>
    </row>
    <row r="1425" spans="1:13">
      <c r="A1425" s="7">
        <v>43816</v>
      </c>
      <c r="B1425" s="8">
        <v>0.60486111111111118</v>
      </c>
      <c r="C1425" s="17" t="str">
        <f>"FES1162728289"</f>
        <v>FES1162728289</v>
      </c>
      <c r="D1425" s="17" t="s">
        <v>19</v>
      </c>
      <c r="E1425" s="17" t="s">
        <v>705</v>
      </c>
      <c r="F1425" s="17" t="str">
        <f>"2170721611 "</f>
        <v xml:space="preserve">2170721611 </v>
      </c>
      <c r="G1425" s="17" t="str">
        <f t="shared" si="38"/>
        <v>ON1</v>
      </c>
      <c r="H1425" s="17" t="s">
        <v>21</v>
      </c>
      <c r="I1425" s="17" t="s">
        <v>78</v>
      </c>
      <c r="J1425" s="17" t="str">
        <f>""</f>
        <v/>
      </c>
      <c r="K1425" s="17" t="str">
        <f>"PFES1162728289_0001"</f>
        <v>PFES1162728289_0001</v>
      </c>
      <c r="L1425" s="17">
        <v>1</v>
      </c>
      <c r="M1425" s="17">
        <v>2</v>
      </c>
    </row>
    <row r="1426" spans="1:13">
      <c r="A1426" s="7">
        <v>43816</v>
      </c>
      <c r="B1426" s="8">
        <v>0.59930555555555554</v>
      </c>
      <c r="C1426" s="17" t="str">
        <f>"FES1162728752"</f>
        <v>FES1162728752</v>
      </c>
      <c r="D1426" s="17" t="s">
        <v>19</v>
      </c>
      <c r="E1426" s="17" t="s">
        <v>271</v>
      </c>
      <c r="F1426" s="17" t="str">
        <f>"2170721914 "</f>
        <v xml:space="preserve">2170721914 </v>
      </c>
      <c r="G1426" s="17" t="str">
        <f t="shared" si="38"/>
        <v>ON1</v>
      </c>
      <c r="H1426" s="17" t="s">
        <v>21</v>
      </c>
      <c r="I1426" s="17" t="s">
        <v>272</v>
      </c>
      <c r="J1426" s="17" t="str">
        <f>""</f>
        <v/>
      </c>
      <c r="K1426" s="17" t="str">
        <f>"PFES1162728752_0001"</f>
        <v>PFES1162728752_0001</v>
      </c>
      <c r="L1426" s="17">
        <v>1</v>
      </c>
      <c r="M1426" s="17">
        <v>1</v>
      </c>
    </row>
    <row r="1427" spans="1:13">
      <c r="A1427" s="7">
        <v>43816</v>
      </c>
      <c r="B1427" s="8">
        <v>0.59930555555555554</v>
      </c>
      <c r="C1427" s="17" t="str">
        <f>"FES1162728596"</f>
        <v>FES1162728596</v>
      </c>
      <c r="D1427" s="17" t="s">
        <v>19</v>
      </c>
      <c r="E1427" s="17" t="s">
        <v>331</v>
      </c>
      <c r="F1427" s="17" t="str">
        <f>"217071802 "</f>
        <v xml:space="preserve">217071802 </v>
      </c>
      <c r="G1427" s="17" t="str">
        <f t="shared" si="38"/>
        <v>ON1</v>
      </c>
      <c r="H1427" s="17" t="s">
        <v>21</v>
      </c>
      <c r="I1427" s="17" t="s">
        <v>332</v>
      </c>
      <c r="J1427" s="17" t="str">
        <f>""</f>
        <v/>
      </c>
      <c r="K1427" s="17" t="str">
        <f>"PFES1162728596_0001"</f>
        <v>PFES1162728596_0001</v>
      </c>
      <c r="L1427" s="17">
        <v>1</v>
      </c>
      <c r="M1427" s="17">
        <v>1</v>
      </c>
    </row>
    <row r="1428" spans="1:13">
      <c r="A1428" s="7">
        <v>43816</v>
      </c>
      <c r="B1428" s="8">
        <v>0.59861111111111109</v>
      </c>
      <c r="C1428" s="17" t="str">
        <f>"FES1162728578"</f>
        <v>FES1162728578</v>
      </c>
      <c r="D1428" s="17" t="s">
        <v>19</v>
      </c>
      <c r="E1428" s="17" t="s">
        <v>225</v>
      </c>
      <c r="F1428" s="17" t="str">
        <f>"217071439 "</f>
        <v xml:space="preserve">217071439 </v>
      </c>
      <c r="G1428" s="17" t="str">
        <f t="shared" si="38"/>
        <v>ON1</v>
      </c>
      <c r="H1428" s="17" t="s">
        <v>21</v>
      </c>
      <c r="I1428" s="17" t="s">
        <v>76</v>
      </c>
      <c r="J1428" s="17" t="str">
        <f>""</f>
        <v/>
      </c>
      <c r="K1428" s="17" t="str">
        <f>"PFES1162728578_0001"</f>
        <v>PFES1162728578_0001</v>
      </c>
      <c r="L1428" s="17">
        <v>1</v>
      </c>
      <c r="M1428" s="17">
        <v>1</v>
      </c>
    </row>
    <row r="1429" spans="1:13">
      <c r="A1429" s="7">
        <v>43816</v>
      </c>
      <c r="B1429" s="8">
        <v>0.59861111111111109</v>
      </c>
      <c r="C1429" s="17" t="str">
        <f>"FES1162728479"</f>
        <v>FES1162728479</v>
      </c>
      <c r="D1429" s="17" t="s">
        <v>19</v>
      </c>
      <c r="E1429" s="17" t="s">
        <v>672</v>
      </c>
      <c r="F1429" s="17" t="str">
        <f>"217071718 "</f>
        <v xml:space="preserve">217071718 </v>
      </c>
      <c r="G1429" s="17" t="str">
        <f t="shared" si="38"/>
        <v>ON1</v>
      </c>
      <c r="H1429" s="17" t="s">
        <v>21</v>
      </c>
      <c r="I1429" s="17" t="s">
        <v>463</v>
      </c>
      <c r="J1429" s="17" t="str">
        <f>""</f>
        <v/>
      </c>
      <c r="K1429" s="17" t="str">
        <f>"PFES1162728479_0001"</f>
        <v>PFES1162728479_0001</v>
      </c>
      <c r="L1429" s="17">
        <v>1</v>
      </c>
      <c r="M1429" s="17">
        <v>1</v>
      </c>
    </row>
    <row r="1430" spans="1:13">
      <c r="A1430" s="7">
        <v>43816</v>
      </c>
      <c r="B1430" s="8">
        <v>0.59861111111111109</v>
      </c>
      <c r="C1430" s="17" t="str">
        <f>"FES1162728491"</f>
        <v>FES1162728491</v>
      </c>
      <c r="D1430" s="17" t="s">
        <v>19</v>
      </c>
      <c r="E1430" s="17" t="s">
        <v>742</v>
      </c>
      <c r="F1430" s="17" t="str">
        <f>"217071728 "</f>
        <v xml:space="preserve">217071728 </v>
      </c>
      <c r="G1430" s="17" t="str">
        <f t="shared" si="38"/>
        <v>ON1</v>
      </c>
      <c r="H1430" s="17" t="s">
        <v>21</v>
      </c>
      <c r="I1430" s="17" t="s">
        <v>743</v>
      </c>
      <c r="J1430" s="17" t="str">
        <f>""</f>
        <v/>
      </c>
      <c r="K1430" s="17" t="str">
        <f>"PFES1162728491_0001"</f>
        <v>PFES1162728491_0001</v>
      </c>
      <c r="L1430" s="17">
        <v>1</v>
      </c>
      <c r="M1430" s="17">
        <v>1</v>
      </c>
    </row>
    <row r="1431" spans="1:13">
      <c r="A1431" s="7">
        <v>43816</v>
      </c>
      <c r="B1431" s="8">
        <v>0.59791666666666665</v>
      </c>
      <c r="C1431" s="17" t="str">
        <f>"FES1162728597"</f>
        <v>FES1162728597</v>
      </c>
      <c r="D1431" s="17" t="s">
        <v>19</v>
      </c>
      <c r="E1431" s="17" t="s">
        <v>331</v>
      </c>
      <c r="F1431" s="17" t="str">
        <f>"217071811 "</f>
        <v xml:space="preserve">217071811 </v>
      </c>
      <c r="G1431" s="17" t="str">
        <f t="shared" si="38"/>
        <v>ON1</v>
      </c>
      <c r="H1431" s="17" t="s">
        <v>21</v>
      </c>
      <c r="I1431" s="17" t="s">
        <v>332</v>
      </c>
      <c r="J1431" s="17" t="str">
        <f>""</f>
        <v/>
      </c>
      <c r="K1431" s="17" t="str">
        <f>"PFES1162728597_0001"</f>
        <v>PFES1162728597_0001</v>
      </c>
      <c r="L1431" s="17">
        <v>1</v>
      </c>
      <c r="M1431" s="17">
        <v>1</v>
      </c>
    </row>
    <row r="1432" spans="1:13">
      <c r="A1432" s="7">
        <v>43816</v>
      </c>
      <c r="B1432" s="8">
        <v>0.59652777777777777</v>
      </c>
      <c r="C1432" s="17" t="str">
        <f>"FES1162728405"</f>
        <v>FES1162728405</v>
      </c>
      <c r="D1432" s="17" t="s">
        <v>19</v>
      </c>
      <c r="E1432" s="17" t="s">
        <v>542</v>
      </c>
      <c r="F1432" s="17" t="str">
        <f>"2170718490 "</f>
        <v xml:space="preserve">2170718490 </v>
      </c>
      <c r="G1432" s="17" t="str">
        <f t="shared" si="38"/>
        <v>ON1</v>
      </c>
      <c r="H1432" s="17" t="s">
        <v>21</v>
      </c>
      <c r="I1432" s="17" t="s">
        <v>330</v>
      </c>
      <c r="J1432" s="17" t="str">
        <f>""</f>
        <v/>
      </c>
      <c r="K1432" s="17" t="str">
        <f>"PFES1162728405_0001"</f>
        <v>PFES1162728405_0001</v>
      </c>
      <c r="L1432" s="17">
        <v>1</v>
      </c>
      <c r="M1432" s="17">
        <v>2</v>
      </c>
    </row>
    <row r="1433" spans="1:13">
      <c r="A1433" s="7">
        <v>43816</v>
      </c>
      <c r="B1433" s="8">
        <v>0.59583333333333333</v>
      </c>
      <c r="C1433" s="17" t="str">
        <f>"FES1162728419"</f>
        <v>FES1162728419</v>
      </c>
      <c r="D1433" s="17" t="s">
        <v>19</v>
      </c>
      <c r="E1433" s="17" t="s">
        <v>107</v>
      </c>
      <c r="F1433" s="17" t="str">
        <f>"2170718810 "</f>
        <v xml:space="preserve">2170718810 </v>
      </c>
      <c r="G1433" s="17" t="str">
        <f t="shared" si="38"/>
        <v>ON1</v>
      </c>
      <c r="H1433" s="17" t="s">
        <v>21</v>
      </c>
      <c r="I1433" s="17" t="s">
        <v>56</v>
      </c>
      <c r="J1433" s="17" t="str">
        <f>""</f>
        <v/>
      </c>
      <c r="K1433" s="17" t="str">
        <f>"PFES1162728419_0001"</f>
        <v>PFES1162728419_0001</v>
      </c>
      <c r="L1433" s="17">
        <v>1</v>
      </c>
      <c r="M1433" s="17">
        <v>5</v>
      </c>
    </row>
    <row r="1434" spans="1:13">
      <c r="A1434" s="7">
        <v>43816</v>
      </c>
      <c r="B1434" s="8">
        <v>0.59513888888888888</v>
      </c>
      <c r="C1434" s="17" t="str">
        <f>"FES1162728508"</f>
        <v>FES1162728508</v>
      </c>
      <c r="D1434" s="17" t="s">
        <v>19</v>
      </c>
      <c r="E1434" s="17" t="s">
        <v>51</v>
      </c>
      <c r="F1434" s="17" t="str">
        <f>"217071742 "</f>
        <v xml:space="preserve">217071742 </v>
      </c>
      <c r="G1434" s="17" t="str">
        <f t="shared" si="38"/>
        <v>ON1</v>
      </c>
      <c r="H1434" s="17" t="s">
        <v>21</v>
      </c>
      <c r="I1434" s="17" t="s">
        <v>715</v>
      </c>
      <c r="J1434" s="17" t="str">
        <f>""</f>
        <v/>
      </c>
      <c r="K1434" s="17" t="str">
        <f>"PFES1162728508_0001"</f>
        <v>PFES1162728508_0001</v>
      </c>
      <c r="L1434" s="17">
        <v>1</v>
      </c>
      <c r="M1434" s="17">
        <v>2</v>
      </c>
    </row>
    <row r="1435" spans="1:13">
      <c r="A1435" s="7">
        <v>43816</v>
      </c>
      <c r="B1435" s="8">
        <v>0.59513888888888888</v>
      </c>
      <c r="C1435" s="17" t="str">
        <f>"FES1162728607"</f>
        <v>FES1162728607</v>
      </c>
      <c r="D1435" s="17" t="s">
        <v>19</v>
      </c>
      <c r="E1435" s="17" t="s">
        <v>107</v>
      </c>
      <c r="F1435" s="17" t="str">
        <f>"217071829 "</f>
        <v xml:space="preserve">217071829 </v>
      </c>
      <c r="G1435" s="17" t="str">
        <f t="shared" si="38"/>
        <v>ON1</v>
      </c>
      <c r="H1435" s="17" t="s">
        <v>21</v>
      </c>
      <c r="I1435" s="17" t="s">
        <v>56</v>
      </c>
      <c r="J1435" s="17" t="str">
        <f>""</f>
        <v/>
      </c>
      <c r="K1435" s="17" t="str">
        <f>"PFES1162728607_0001"</f>
        <v>PFES1162728607_0001</v>
      </c>
      <c r="L1435" s="17">
        <v>1</v>
      </c>
      <c r="M1435" s="17">
        <v>1</v>
      </c>
    </row>
    <row r="1436" spans="1:13">
      <c r="A1436" s="7">
        <v>43816</v>
      </c>
      <c r="B1436" s="8">
        <v>0.59444444444444444</v>
      </c>
      <c r="C1436" s="17" t="str">
        <f>"FES1162728501"</f>
        <v>FES1162728501</v>
      </c>
      <c r="D1436" s="17" t="s">
        <v>19</v>
      </c>
      <c r="E1436" s="17" t="s">
        <v>51</v>
      </c>
      <c r="F1436" s="17" t="str">
        <f>"217071734 "</f>
        <v xml:space="preserve">217071734 </v>
      </c>
      <c r="G1436" s="17" t="str">
        <f t="shared" si="38"/>
        <v>ON1</v>
      </c>
      <c r="H1436" s="17" t="s">
        <v>21</v>
      </c>
      <c r="I1436" s="17" t="s">
        <v>715</v>
      </c>
      <c r="J1436" s="17" t="str">
        <f>""</f>
        <v/>
      </c>
      <c r="K1436" s="17" t="str">
        <f>"PFES1162728501_0001"</f>
        <v>PFES1162728501_0001</v>
      </c>
      <c r="L1436" s="17">
        <v>1</v>
      </c>
      <c r="M1436" s="17">
        <v>3</v>
      </c>
    </row>
    <row r="1437" spans="1:13">
      <c r="A1437" s="7">
        <v>43816</v>
      </c>
      <c r="B1437" s="8">
        <v>0.59375</v>
      </c>
      <c r="C1437" s="17" t="str">
        <f>"FES1162728477"</f>
        <v>FES1162728477</v>
      </c>
      <c r="D1437" s="17" t="s">
        <v>19</v>
      </c>
      <c r="E1437" s="17" t="s">
        <v>373</v>
      </c>
      <c r="F1437" s="17" t="str">
        <f>"217071716 "</f>
        <v xml:space="preserve">217071716 </v>
      </c>
      <c r="G1437" s="17" t="str">
        <f t="shared" si="38"/>
        <v>ON1</v>
      </c>
      <c r="H1437" s="17" t="s">
        <v>21</v>
      </c>
      <c r="I1437" s="17" t="s">
        <v>374</v>
      </c>
      <c r="J1437" s="17" t="str">
        <f>""</f>
        <v/>
      </c>
      <c r="K1437" s="17" t="str">
        <f>"PFES1162728477_0001"</f>
        <v>PFES1162728477_0001</v>
      </c>
      <c r="L1437" s="17">
        <v>3</v>
      </c>
      <c r="M1437" s="17">
        <v>15</v>
      </c>
    </row>
    <row r="1438" spans="1:13">
      <c r="A1438" s="7">
        <v>43816</v>
      </c>
      <c r="B1438" s="8">
        <v>0.59375</v>
      </c>
      <c r="C1438" s="17" t="str">
        <f>"FES1162728477"</f>
        <v>FES1162728477</v>
      </c>
      <c r="D1438" s="17" t="s">
        <v>19</v>
      </c>
      <c r="E1438" s="17" t="s">
        <v>373</v>
      </c>
      <c r="F1438" s="17" t="str">
        <f>"217071716 "</f>
        <v xml:space="preserve">217071716 </v>
      </c>
      <c r="G1438" s="17" t="str">
        <f t="shared" si="38"/>
        <v>ON1</v>
      </c>
      <c r="H1438" s="17" t="s">
        <v>21</v>
      </c>
      <c r="I1438" s="17" t="s">
        <v>374</v>
      </c>
      <c r="J1438" s="17"/>
      <c r="K1438" s="17" t="str">
        <f>"PFES1162728477_0002"</f>
        <v>PFES1162728477_0002</v>
      </c>
      <c r="L1438" s="17">
        <v>3</v>
      </c>
      <c r="M1438" s="17">
        <v>15</v>
      </c>
    </row>
    <row r="1439" spans="1:13">
      <c r="A1439" s="7">
        <v>43816</v>
      </c>
      <c r="B1439" s="8">
        <v>0.59375</v>
      </c>
      <c r="C1439" s="17" t="str">
        <f>"FES1162728477"</f>
        <v>FES1162728477</v>
      </c>
      <c r="D1439" s="17" t="s">
        <v>19</v>
      </c>
      <c r="E1439" s="17" t="s">
        <v>373</v>
      </c>
      <c r="F1439" s="17" t="str">
        <f>"217071716 "</f>
        <v xml:space="preserve">217071716 </v>
      </c>
      <c r="G1439" s="17" t="str">
        <f t="shared" si="38"/>
        <v>ON1</v>
      </c>
      <c r="H1439" s="17" t="s">
        <v>21</v>
      </c>
      <c r="I1439" s="17" t="s">
        <v>374</v>
      </c>
      <c r="J1439" s="17"/>
      <c r="K1439" s="17" t="str">
        <f>"PFES1162728477_0003"</f>
        <v>PFES1162728477_0003</v>
      </c>
      <c r="L1439" s="17">
        <v>3</v>
      </c>
      <c r="M1439" s="17">
        <v>15</v>
      </c>
    </row>
    <row r="1440" spans="1:13">
      <c r="A1440" s="7">
        <v>43816</v>
      </c>
      <c r="B1440" s="8">
        <v>0.59236111111111112</v>
      </c>
      <c r="C1440" s="17" t="str">
        <f>"FES1162728634"</f>
        <v>FES1162728634</v>
      </c>
      <c r="D1440" s="17" t="s">
        <v>19</v>
      </c>
      <c r="E1440" s="17" t="s">
        <v>151</v>
      </c>
      <c r="F1440" s="17" t="str">
        <f>"217071853 "</f>
        <v xml:space="preserve">217071853 </v>
      </c>
      <c r="G1440" s="17" t="str">
        <f>"ON1"</f>
        <v>ON1</v>
      </c>
      <c r="H1440" s="17" t="s">
        <v>21</v>
      </c>
      <c r="I1440" s="17" t="s">
        <v>152</v>
      </c>
      <c r="J1440" s="17" t="str">
        <f>""</f>
        <v/>
      </c>
      <c r="K1440" s="17" t="str">
        <f>"PFES1162728634_0001"</f>
        <v>PFES1162728634_0001</v>
      </c>
      <c r="L1440" s="17">
        <v>2</v>
      </c>
      <c r="M1440" s="17">
        <v>12</v>
      </c>
    </row>
    <row r="1441" spans="1:13">
      <c r="A1441" s="7">
        <v>43816</v>
      </c>
      <c r="B1441" s="8">
        <v>0.59236111111111112</v>
      </c>
      <c r="C1441" s="17" t="str">
        <f>"FES1162728634"</f>
        <v>FES1162728634</v>
      </c>
      <c r="D1441" s="17" t="s">
        <v>19</v>
      </c>
      <c r="E1441" s="17" t="s">
        <v>151</v>
      </c>
      <c r="F1441" s="17" t="str">
        <f>"217071853 "</f>
        <v xml:space="preserve">217071853 </v>
      </c>
      <c r="G1441" s="17" t="str">
        <f>"ON1"</f>
        <v>ON1</v>
      </c>
      <c r="H1441" s="17" t="s">
        <v>21</v>
      </c>
      <c r="I1441" s="17" t="s">
        <v>152</v>
      </c>
      <c r="J1441" s="17"/>
      <c r="K1441" s="17" t="str">
        <f>"PFES1162728634_0002"</f>
        <v>PFES1162728634_0002</v>
      </c>
      <c r="L1441" s="17">
        <v>2</v>
      </c>
      <c r="M1441" s="17">
        <v>12</v>
      </c>
    </row>
    <row r="1442" spans="1:13">
      <c r="A1442" s="7">
        <v>43816</v>
      </c>
      <c r="B1442" s="8">
        <v>0.55486111111111114</v>
      </c>
      <c r="C1442" s="17" t="str">
        <f>"FES1162728585"</f>
        <v>FES1162728585</v>
      </c>
      <c r="D1442" s="17" t="s">
        <v>19</v>
      </c>
      <c r="E1442" s="17" t="s">
        <v>744</v>
      </c>
      <c r="F1442" s="17" t="str">
        <f>"2170711693 "</f>
        <v xml:space="preserve">2170711693 </v>
      </c>
      <c r="G1442" s="17" t="str">
        <f t="shared" ref="G1442:G1490" si="39">"ON1"</f>
        <v>ON1</v>
      </c>
      <c r="H1442" s="17" t="s">
        <v>21</v>
      </c>
      <c r="I1442" s="17" t="s">
        <v>48</v>
      </c>
      <c r="J1442" s="17" t="str">
        <f>""</f>
        <v/>
      </c>
      <c r="K1442" s="17" t="str">
        <f>"PFES1162728585_0001"</f>
        <v>PFES1162728585_0001</v>
      </c>
      <c r="L1442" s="17">
        <v>1</v>
      </c>
      <c r="M1442" s="17">
        <v>5</v>
      </c>
    </row>
    <row r="1443" spans="1:13">
      <c r="A1443" s="7">
        <v>43816</v>
      </c>
      <c r="B1443" s="8">
        <v>0.55347222222222225</v>
      </c>
      <c r="C1443" s="17" t="str">
        <f>"FES1162726921"</f>
        <v>FES1162726921</v>
      </c>
      <c r="D1443" s="17" t="s">
        <v>19</v>
      </c>
      <c r="E1443" s="17" t="s">
        <v>745</v>
      </c>
      <c r="F1443" s="17" t="str">
        <f>"2170718568 "</f>
        <v xml:space="preserve">2170718568 </v>
      </c>
      <c r="G1443" s="17" t="str">
        <f t="shared" si="39"/>
        <v>ON1</v>
      </c>
      <c r="H1443" s="17" t="s">
        <v>21</v>
      </c>
      <c r="I1443" s="17" t="s">
        <v>746</v>
      </c>
      <c r="J1443" s="17" t="str">
        <f>"HOLD FOR COLLECTION"</f>
        <v>HOLD FOR COLLECTION</v>
      </c>
      <c r="K1443" s="17" t="str">
        <f>"PFES1162726921_0001"</f>
        <v>PFES1162726921_0001</v>
      </c>
      <c r="L1443" s="17">
        <v>1</v>
      </c>
      <c r="M1443" s="17">
        <v>6</v>
      </c>
    </row>
    <row r="1444" spans="1:13">
      <c r="A1444" s="7">
        <v>43816</v>
      </c>
      <c r="B1444" s="8">
        <v>0.55277777777777781</v>
      </c>
      <c r="C1444" s="17" t="str">
        <f>"FES1162728548"</f>
        <v>FES1162728548</v>
      </c>
      <c r="D1444" s="17" t="s">
        <v>19</v>
      </c>
      <c r="E1444" s="17" t="s">
        <v>747</v>
      </c>
      <c r="F1444" s="17" t="str">
        <f>"217071804 "</f>
        <v xml:space="preserve">217071804 </v>
      </c>
      <c r="G1444" s="17" t="str">
        <f t="shared" si="39"/>
        <v>ON1</v>
      </c>
      <c r="H1444" s="17" t="s">
        <v>21</v>
      </c>
      <c r="I1444" s="17" t="s">
        <v>589</v>
      </c>
      <c r="J1444" s="17" t="str">
        <f>""</f>
        <v/>
      </c>
      <c r="K1444" s="17" t="str">
        <f>"PFES1162728548_0001"</f>
        <v>PFES1162728548_0001</v>
      </c>
      <c r="L1444" s="17">
        <v>1</v>
      </c>
      <c r="M1444" s="17">
        <v>4</v>
      </c>
    </row>
    <row r="1445" spans="1:13">
      <c r="A1445" s="7">
        <v>43816</v>
      </c>
      <c r="B1445" s="8">
        <v>0.55208333333333337</v>
      </c>
      <c r="C1445" s="17" t="str">
        <f>"FES1162728584"</f>
        <v>FES1162728584</v>
      </c>
      <c r="D1445" s="17" t="s">
        <v>19</v>
      </c>
      <c r="E1445" s="17" t="s">
        <v>744</v>
      </c>
      <c r="F1445" s="17" t="str">
        <f>"2170721692 "</f>
        <v xml:space="preserve">2170721692 </v>
      </c>
      <c r="G1445" s="17" t="str">
        <f t="shared" si="39"/>
        <v>ON1</v>
      </c>
      <c r="H1445" s="17" t="s">
        <v>21</v>
      </c>
      <c r="I1445" s="17" t="s">
        <v>48</v>
      </c>
      <c r="J1445" s="17" t="str">
        <f>""</f>
        <v/>
      </c>
      <c r="K1445" s="17" t="str">
        <f>"PFES1162728584_0001"</f>
        <v>PFES1162728584_0001</v>
      </c>
      <c r="L1445" s="17">
        <v>1</v>
      </c>
      <c r="M1445" s="17">
        <v>2</v>
      </c>
    </row>
    <row r="1446" spans="1:13">
      <c r="A1446" s="7">
        <v>43816</v>
      </c>
      <c r="B1446" s="8">
        <v>0.55208333333333337</v>
      </c>
      <c r="C1446" s="17" t="str">
        <f>"FES1162728530"</f>
        <v>FES1162728530</v>
      </c>
      <c r="D1446" s="17" t="s">
        <v>19</v>
      </c>
      <c r="E1446" s="17" t="s">
        <v>505</v>
      </c>
      <c r="F1446" s="17" t="str">
        <f>"217071130 "</f>
        <v xml:space="preserve">217071130 </v>
      </c>
      <c r="G1446" s="17" t="str">
        <f t="shared" si="39"/>
        <v>ON1</v>
      </c>
      <c r="H1446" s="17" t="s">
        <v>21</v>
      </c>
      <c r="I1446" s="17" t="s">
        <v>506</v>
      </c>
      <c r="J1446" s="17" t="str">
        <f>""</f>
        <v/>
      </c>
      <c r="K1446" s="17" t="str">
        <f>"PFES1162728530_0001"</f>
        <v>PFES1162728530_0001</v>
      </c>
      <c r="L1446" s="17">
        <v>1</v>
      </c>
      <c r="M1446" s="17">
        <v>1</v>
      </c>
    </row>
    <row r="1447" spans="1:13">
      <c r="A1447" s="7">
        <v>43816</v>
      </c>
      <c r="B1447" s="8">
        <v>0.54999999999999993</v>
      </c>
      <c r="C1447" s="17" t="str">
        <f>"FES1162728549"</f>
        <v>FES1162728549</v>
      </c>
      <c r="D1447" s="17" t="s">
        <v>19</v>
      </c>
      <c r="E1447" s="17" t="s">
        <v>118</v>
      </c>
      <c r="F1447" s="17" t="str">
        <f>"21707121085 "</f>
        <v xml:space="preserve">21707121085 </v>
      </c>
      <c r="G1447" s="17" t="str">
        <f t="shared" si="39"/>
        <v>ON1</v>
      </c>
      <c r="H1447" s="17" t="s">
        <v>21</v>
      </c>
      <c r="I1447" s="17" t="s">
        <v>119</v>
      </c>
      <c r="J1447" s="17" t="str">
        <f>""</f>
        <v/>
      </c>
      <c r="K1447" s="17" t="str">
        <f>"PFES1162728549_0001"</f>
        <v>PFES1162728549_0001</v>
      </c>
      <c r="L1447" s="17">
        <v>1</v>
      </c>
      <c r="M1447" s="17">
        <v>3</v>
      </c>
    </row>
    <row r="1448" spans="1:13">
      <c r="A1448" s="7">
        <v>43816</v>
      </c>
      <c r="B1448" s="8">
        <v>0.54999999999999993</v>
      </c>
      <c r="C1448" s="17" t="str">
        <f>"FES1162728626"</f>
        <v>FES1162728626</v>
      </c>
      <c r="D1448" s="17" t="s">
        <v>19</v>
      </c>
      <c r="E1448" s="17" t="s">
        <v>748</v>
      </c>
      <c r="F1448" s="17" t="str">
        <f>"217071845 "</f>
        <v xml:space="preserve">217071845 </v>
      </c>
      <c r="G1448" s="17" t="str">
        <f t="shared" si="39"/>
        <v>ON1</v>
      </c>
      <c r="H1448" s="17" t="s">
        <v>21</v>
      </c>
      <c r="I1448" s="17" t="s">
        <v>54</v>
      </c>
      <c r="J1448" s="17" t="str">
        <f>""</f>
        <v/>
      </c>
      <c r="K1448" s="17" t="str">
        <f>"PFES1162728626_0001"</f>
        <v>PFES1162728626_0001</v>
      </c>
      <c r="L1448" s="17">
        <v>1</v>
      </c>
      <c r="M1448" s="17">
        <v>1</v>
      </c>
    </row>
    <row r="1449" spans="1:13">
      <c r="A1449" s="7">
        <v>43816</v>
      </c>
      <c r="B1449" s="8">
        <v>0.5493055555555556</v>
      </c>
      <c r="C1449" s="17" t="str">
        <f>"FES1162728524"</f>
        <v>FES1162728524</v>
      </c>
      <c r="D1449" s="17" t="s">
        <v>19</v>
      </c>
      <c r="E1449" s="17" t="s">
        <v>749</v>
      </c>
      <c r="F1449" s="17" t="str">
        <f>"2170717966 "</f>
        <v xml:space="preserve">2170717966 </v>
      </c>
      <c r="G1449" s="17" t="str">
        <f t="shared" si="39"/>
        <v>ON1</v>
      </c>
      <c r="H1449" s="17" t="s">
        <v>21</v>
      </c>
      <c r="I1449" s="17" t="s">
        <v>750</v>
      </c>
      <c r="J1449" s="17" t="str">
        <f>""</f>
        <v/>
      </c>
      <c r="K1449" s="17" t="str">
        <f>"PFES1162728524_0001"</f>
        <v>PFES1162728524_0001</v>
      </c>
      <c r="L1449" s="17">
        <v>1</v>
      </c>
      <c r="M1449" s="17">
        <v>1</v>
      </c>
    </row>
    <row r="1450" spans="1:13">
      <c r="A1450" s="7">
        <v>43816</v>
      </c>
      <c r="B1450" s="8">
        <v>0.5493055555555556</v>
      </c>
      <c r="C1450" s="17" t="str">
        <f>"FES1162728581"</f>
        <v>FES1162728581</v>
      </c>
      <c r="D1450" s="17" t="s">
        <v>19</v>
      </c>
      <c r="E1450" s="17" t="s">
        <v>621</v>
      </c>
      <c r="F1450" s="17" t="str">
        <f>"2170712507 "</f>
        <v xml:space="preserve">2170712507 </v>
      </c>
      <c r="G1450" s="17" t="str">
        <f t="shared" si="39"/>
        <v>ON1</v>
      </c>
      <c r="H1450" s="17" t="s">
        <v>21</v>
      </c>
      <c r="I1450" s="17" t="s">
        <v>161</v>
      </c>
      <c r="J1450" s="17" t="str">
        <f>""</f>
        <v/>
      </c>
      <c r="K1450" s="17" t="str">
        <f>"PFES1162728581_0001"</f>
        <v>PFES1162728581_0001</v>
      </c>
      <c r="L1450" s="17">
        <v>1</v>
      </c>
      <c r="M1450" s="17">
        <v>1</v>
      </c>
    </row>
    <row r="1451" spans="1:13">
      <c r="A1451" s="7">
        <v>43816</v>
      </c>
      <c r="B1451" s="8">
        <v>0.5493055555555556</v>
      </c>
      <c r="C1451" s="17" t="str">
        <f>"FES1162728700"</f>
        <v>FES1162728700</v>
      </c>
      <c r="D1451" s="17" t="s">
        <v>19</v>
      </c>
      <c r="E1451" s="17" t="s">
        <v>59</v>
      </c>
      <c r="F1451" s="17" t="str">
        <f>"2170721902 "</f>
        <v xml:space="preserve">2170721902 </v>
      </c>
      <c r="G1451" s="17" t="str">
        <f t="shared" si="39"/>
        <v>ON1</v>
      </c>
      <c r="H1451" s="17" t="s">
        <v>21</v>
      </c>
      <c r="I1451" s="17" t="s">
        <v>60</v>
      </c>
      <c r="J1451" s="17" t="str">
        <f>""</f>
        <v/>
      </c>
      <c r="K1451" s="17" t="str">
        <f>"PFES1162728700_0001"</f>
        <v>PFES1162728700_0001</v>
      </c>
      <c r="L1451" s="17">
        <v>1</v>
      </c>
      <c r="M1451" s="17">
        <v>1</v>
      </c>
    </row>
    <row r="1452" spans="1:13">
      <c r="A1452" s="7">
        <v>43816</v>
      </c>
      <c r="B1452" s="8">
        <v>0.54861111111111105</v>
      </c>
      <c r="C1452" s="17" t="str">
        <f>"FES1162728521"</f>
        <v>FES1162728521</v>
      </c>
      <c r="D1452" s="17" t="s">
        <v>19</v>
      </c>
      <c r="E1452" s="17" t="s">
        <v>749</v>
      </c>
      <c r="F1452" s="17" t="str">
        <f>"217071765 "</f>
        <v xml:space="preserve">217071765 </v>
      </c>
      <c r="G1452" s="17" t="str">
        <f t="shared" si="39"/>
        <v>ON1</v>
      </c>
      <c r="H1452" s="17" t="s">
        <v>21</v>
      </c>
      <c r="I1452" s="17" t="s">
        <v>750</v>
      </c>
      <c r="J1452" s="17" t="str">
        <f>""</f>
        <v/>
      </c>
      <c r="K1452" s="17" t="str">
        <f>"PFES1162728521_0001"</f>
        <v>PFES1162728521_0001</v>
      </c>
      <c r="L1452" s="17">
        <v>1</v>
      </c>
      <c r="M1452" s="17">
        <v>1</v>
      </c>
    </row>
    <row r="1453" spans="1:13">
      <c r="A1453" s="7">
        <v>43816</v>
      </c>
      <c r="B1453" s="8">
        <v>0.54861111111111105</v>
      </c>
      <c r="C1453" s="17" t="str">
        <f>"FES1162728572"</f>
        <v>FES1162728572</v>
      </c>
      <c r="D1453" s="17" t="s">
        <v>19</v>
      </c>
      <c r="E1453" s="17" t="s">
        <v>203</v>
      </c>
      <c r="F1453" s="17" t="str">
        <f>"2170710880 "</f>
        <v xml:space="preserve">2170710880 </v>
      </c>
      <c r="G1453" s="17" t="str">
        <f t="shared" si="39"/>
        <v>ON1</v>
      </c>
      <c r="H1453" s="17" t="s">
        <v>21</v>
      </c>
      <c r="I1453" s="17" t="s">
        <v>158</v>
      </c>
      <c r="J1453" s="17" t="str">
        <f>""</f>
        <v/>
      </c>
      <c r="K1453" s="17" t="str">
        <f>"PFES1162728572_0001"</f>
        <v>PFES1162728572_0001</v>
      </c>
      <c r="L1453" s="17">
        <v>1</v>
      </c>
      <c r="M1453" s="17">
        <v>1</v>
      </c>
    </row>
    <row r="1454" spans="1:13">
      <c r="A1454" s="7">
        <v>43816</v>
      </c>
      <c r="B1454" s="8">
        <v>0.54791666666666672</v>
      </c>
      <c r="C1454" s="17" t="str">
        <f>"FES1162728638"</f>
        <v>FES1162728638</v>
      </c>
      <c r="D1454" s="17" t="s">
        <v>19</v>
      </c>
      <c r="E1454" s="17" t="s">
        <v>727</v>
      </c>
      <c r="F1454" s="17" t="str">
        <f>"2170719631 "</f>
        <v xml:space="preserve">2170719631 </v>
      </c>
      <c r="G1454" s="17" t="str">
        <f t="shared" si="39"/>
        <v>ON1</v>
      </c>
      <c r="H1454" s="17" t="s">
        <v>21</v>
      </c>
      <c r="I1454" s="17" t="s">
        <v>559</v>
      </c>
      <c r="J1454" s="17" t="str">
        <f>""</f>
        <v/>
      </c>
      <c r="K1454" s="17" t="str">
        <f>"PFES1162728638_0001"</f>
        <v>PFES1162728638_0001</v>
      </c>
      <c r="L1454" s="17">
        <v>1</v>
      </c>
      <c r="M1454" s="17">
        <v>1</v>
      </c>
    </row>
    <row r="1455" spans="1:13">
      <c r="A1455" s="7">
        <v>43816</v>
      </c>
      <c r="B1455" s="8">
        <v>0.54791666666666672</v>
      </c>
      <c r="C1455" s="17" t="str">
        <f>"FES1162728690"</f>
        <v>FES1162728690</v>
      </c>
      <c r="D1455" s="17" t="s">
        <v>19</v>
      </c>
      <c r="E1455" s="17" t="s">
        <v>751</v>
      </c>
      <c r="F1455" s="17" t="str">
        <f>"2170721888 "</f>
        <v xml:space="preserve">2170721888 </v>
      </c>
      <c r="G1455" s="17" t="str">
        <f t="shared" si="39"/>
        <v>ON1</v>
      </c>
      <c r="H1455" s="17" t="s">
        <v>21</v>
      </c>
      <c r="I1455" s="17" t="s">
        <v>212</v>
      </c>
      <c r="J1455" s="17" t="str">
        <f>""</f>
        <v/>
      </c>
      <c r="K1455" s="17" t="str">
        <f>"PFES1162728690_0001"</f>
        <v>PFES1162728690_0001</v>
      </c>
      <c r="L1455" s="17">
        <v>1</v>
      </c>
      <c r="M1455" s="17">
        <v>1</v>
      </c>
    </row>
    <row r="1456" spans="1:13">
      <c r="A1456" s="7">
        <v>43816</v>
      </c>
      <c r="B1456" s="8">
        <v>0.54791666666666672</v>
      </c>
      <c r="C1456" s="17" t="str">
        <f>"FES1162728531"</f>
        <v>FES1162728531</v>
      </c>
      <c r="D1456" s="17" t="s">
        <v>19</v>
      </c>
      <c r="E1456" s="17" t="s">
        <v>505</v>
      </c>
      <c r="F1456" s="17" t="str">
        <f>"217071350 "</f>
        <v xml:space="preserve">217071350 </v>
      </c>
      <c r="G1456" s="17" t="str">
        <f t="shared" si="39"/>
        <v>ON1</v>
      </c>
      <c r="H1456" s="17" t="s">
        <v>21</v>
      </c>
      <c r="I1456" s="17" t="s">
        <v>506</v>
      </c>
      <c r="J1456" s="17" t="str">
        <f>""</f>
        <v/>
      </c>
      <c r="K1456" s="17" t="str">
        <f>"PFES1162728531_0001"</f>
        <v>PFES1162728531_0001</v>
      </c>
      <c r="L1456" s="17">
        <v>1</v>
      </c>
      <c r="M1456" s="17">
        <v>1</v>
      </c>
    </row>
    <row r="1457" spans="1:13">
      <c r="A1457" s="7">
        <v>43816</v>
      </c>
      <c r="B1457" s="8">
        <v>0.54722222222222217</v>
      </c>
      <c r="C1457" s="17" t="str">
        <f>"FES1162728573"</f>
        <v>FES1162728573</v>
      </c>
      <c r="D1457" s="17" t="s">
        <v>19</v>
      </c>
      <c r="E1457" s="17" t="s">
        <v>71</v>
      </c>
      <c r="F1457" s="17" t="str">
        <f>"2170710942 "</f>
        <v xml:space="preserve">2170710942 </v>
      </c>
      <c r="G1457" s="17" t="str">
        <f t="shared" si="39"/>
        <v>ON1</v>
      </c>
      <c r="H1457" s="17" t="s">
        <v>21</v>
      </c>
      <c r="I1457" s="17" t="s">
        <v>72</v>
      </c>
      <c r="J1457" s="17" t="str">
        <f>""</f>
        <v/>
      </c>
      <c r="K1457" s="17" t="str">
        <f>"PFES1162728573_0001"</f>
        <v>PFES1162728573_0001</v>
      </c>
      <c r="L1457" s="17">
        <v>1</v>
      </c>
      <c r="M1457" s="17">
        <v>1</v>
      </c>
    </row>
    <row r="1458" spans="1:13">
      <c r="A1458" s="7">
        <v>43816</v>
      </c>
      <c r="B1458" s="8">
        <v>0.54722222222222217</v>
      </c>
      <c r="C1458" s="17" t="str">
        <f>"FES1162728570"</f>
        <v>FES1162728570</v>
      </c>
      <c r="D1458" s="17" t="s">
        <v>19</v>
      </c>
      <c r="E1458" s="17" t="s">
        <v>607</v>
      </c>
      <c r="F1458" s="17" t="str">
        <f>"217071258 "</f>
        <v xml:space="preserve">217071258 </v>
      </c>
      <c r="G1458" s="17" t="str">
        <f t="shared" si="39"/>
        <v>ON1</v>
      </c>
      <c r="H1458" s="17" t="s">
        <v>21</v>
      </c>
      <c r="I1458" s="17" t="s">
        <v>70</v>
      </c>
      <c r="J1458" s="17" t="str">
        <f>""</f>
        <v/>
      </c>
      <c r="K1458" s="17" t="str">
        <f>"PFES1162728570_0001"</f>
        <v>PFES1162728570_0001</v>
      </c>
      <c r="L1458" s="17">
        <v>1</v>
      </c>
      <c r="M1458" s="17">
        <v>1</v>
      </c>
    </row>
    <row r="1459" spans="1:13">
      <c r="A1459" s="7">
        <v>43816</v>
      </c>
      <c r="B1459" s="8">
        <v>0.54652777777777783</v>
      </c>
      <c r="C1459" s="17" t="str">
        <f>"FES1162728666"</f>
        <v>FES1162728666</v>
      </c>
      <c r="D1459" s="17" t="s">
        <v>19</v>
      </c>
      <c r="E1459" s="17" t="s">
        <v>505</v>
      </c>
      <c r="F1459" s="17" t="str">
        <f>"2170719885 "</f>
        <v xml:space="preserve">2170719885 </v>
      </c>
      <c r="G1459" s="17" t="str">
        <f t="shared" si="39"/>
        <v>ON1</v>
      </c>
      <c r="H1459" s="17" t="s">
        <v>21</v>
      </c>
      <c r="I1459" s="17" t="s">
        <v>506</v>
      </c>
      <c r="J1459" s="17" t="str">
        <f>""</f>
        <v/>
      </c>
      <c r="K1459" s="17" t="str">
        <f>"PFES1162728666_0001"</f>
        <v>PFES1162728666_0001</v>
      </c>
      <c r="L1459" s="17">
        <v>1</v>
      </c>
      <c r="M1459" s="17">
        <v>1</v>
      </c>
    </row>
    <row r="1460" spans="1:13">
      <c r="A1460" s="7">
        <v>43816</v>
      </c>
      <c r="B1460" s="8">
        <v>0.54652777777777783</v>
      </c>
      <c r="C1460" s="17" t="str">
        <f>"FES1162728683"</f>
        <v>FES1162728683</v>
      </c>
      <c r="D1460" s="17" t="s">
        <v>19</v>
      </c>
      <c r="E1460" s="17" t="s">
        <v>614</v>
      </c>
      <c r="F1460" s="17" t="str">
        <f>"217071879 "</f>
        <v xml:space="preserve">217071879 </v>
      </c>
      <c r="G1460" s="17" t="str">
        <f t="shared" si="39"/>
        <v>ON1</v>
      </c>
      <c r="H1460" s="17" t="s">
        <v>21</v>
      </c>
      <c r="I1460" s="17" t="s">
        <v>147</v>
      </c>
      <c r="J1460" s="17" t="str">
        <f>""</f>
        <v/>
      </c>
      <c r="K1460" s="17" t="str">
        <f>"PFES1162728683_0001"</f>
        <v>PFES1162728683_0001</v>
      </c>
      <c r="L1460" s="17">
        <v>1</v>
      </c>
      <c r="M1460" s="17">
        <v>1</v>
      </c>
    </row>
    <row r="1461" spans="1:13">
      <c r="A1461" s="7">
        <v>43816</v>
      </c>
      <c r="B1461" s="8">
        <v>0.54583333333333328</v>
      </c>
      <c r="C1461" s="17" t="str">
        <f>"FES1162728604"</f>
        <v>FES1162728604</v>
      </c>
      <c r="D1461" s="17" t="s">
        <v>19</v>
      </c>
      <c r="E1461" s="17" t="s">
        <v>737</v>
      </c>
      <c r="F1461" s="17" t="str">
        <f>"217071826 "</f>
        <v xml:space="preserve">217071826 </v>
      </c>
      <c r="G1461" s="17" t="str">
        <f t="shared" si="39"/>
        <v>ON1</v>
      </c>
      <c r="H1461" s="17" t="s">
        <v>21</v>
      </c>
      <c r="I1461" s="17" t="s">
        <v>72</v>
      </c>
      <c r="J1461" s="17" t="str">
        <f>""</f>
        <v/>
      </c>
      <c r="K1461" s="17" t="str">
        <f>"PFES1162728604_0001"</f>
        <v>PFES1162728604_0001</v>
      </c>
      <c r="L1461" s="17">
        <v>1</v>
      </c>
      <c r="M1461" s="17">
        <v>1</v>
      </c>
    </row>
    <row r="1462" spans="1:13">
      <c r="A1462" s="7">
        <v>43816</v>
      </c>
      <c r="B1462" s="8">
        <v>0.54583333333333328</v>
      </c>
      <c r="C1462" s="17" t="str">
        <f>"FES1162728550"</f>
        <v>FES1162728550</v>
      </c>
      <c r="D1462" s="17" t="s">
        <v>19</v>
      </c>
      <c r="E1462" s="17" t="s">
        <v>480</v>
      </c>
      <c r="F1462" s="17" t="str">
        <f>"2170718018 "</f>
        <v xml:space="preserve">2170718018 </v>
      </c>
      <c r="G1462" s="17" t="str">
        <f t="shared" si="39"/>
        <v>ON1</v>
      </c>
      <c r="H1462" s="17" t="s">
        <v>21</v>
      </c>
      <c r="I1462" s="17" t="s">
        <v>113</v>
      </c>
      <c r="J1462" s="17" t="str">
        <f>""</f>
        <v/>
      </c>
      <c r="K1462" s="17" t="str">
        <f>"PFES1162728550_0001"</f>
        <v>PFES1162728550_0001</v>
      </c>
      <c r="L1462" s="17">
        <v>1</v>
      </c>
      <c r="M1462" s="17">
        <v>1</v>
      </c>
    </row>
    <row r="1463" spans="1:13">
      <c r="A1463" s="7">
        <v>43816</v>
      </c>
      <c r="B1463" s="8">
        <v>0.54513888888888895</v>
      </c>
      <c r="C1463" s="17" t="str">
        <f>"FES1162728559"</f>
        <v>FES1162728559</v>
      </c>
      <c r="D1463" s="17" t="s">
        <v>19</v>
      </c>
      <c r="E1463" s="17" t="s">
        <v>752</v>
      </c>
      <c r="F1463" s="17" t="str">
        <f>"2170718745 "</f>
        <v xml:space="preserve">2170718745 </v>
      </c>
      <c r="G1463" s="17" t="str">
        <f t="shared" si="39"/>
        <v>ON1</v>
      </c>
      <c r="H1463" s="17" t="s">
        <v>21</v>
      </c>
      <c r="I1463" s="17" t="s">
        <v>54</v>
      </c>
      <c r="J1463" s="17" t="str">
        <f>""</f>
        <v/>
      </c>
      <c r="K1463" s="17" t="str">
        <f>"PFES1162728559_0001"</f>
        <v>PFES1162728559_0001</v>
      </c>
      <c r="L1463" s="17">
        <v>1</v>
      </c>
      <c r="M1463" s="17">
        <v>1</v>
      </c>
    </row>
    <row r="1464" spans="1:13">
      <c r="A1464" s="7">
        <v>43816</v>
      </c>
      <c r="B1464" s="8">
        <v>0.54513888888888895</v>
      </c>
      <c r="C1464" s="17" t="str">
        <f>"FES1162728545"</f>
        <v>FES1162728545</v>
      </c>
      <c r="D1464" s="17" t="s">
        <v>19</v>
      </c>
      <c r="E1464" s="17" t="s">
        <v>190</v>
      </c>
      <c r="F1464" s="17" t="str">
        <f>"21707217878 "</f>
        <v xml:space="preserve">21707217878 </v>
      </c>
      <c r="G1464" s="17" t="str">
        <f t="shared" si="39"/>
        <v>ON1</v>
      </c>
      <c r="H1464" s="17" t="s">
        <v>21</v>
      </c>
      <c r="I1464" s="17" t="s">
        <v>191</v>
      </c>
      <c r="J1464" s="17" t="str">
        <f>""</f>
        <v/>
      </c>
      <c r="K1464" s="17" t="str">
        <f>"PFES1162728545_0001"</f>
        <v>PFES1162728545_0001</v>
      </c>
      <c r="L1464" s="17">
        <v>1</v>
      </c>
      <c r="M1464" s="17">
        <v>1</v>
      </c>
    </row>
    <row r="1465" spans="1:13">
      <c r="A1465" s="7">
        <v>43816</v>
      </c>
      <c r="B1465" s="8">
        <v>0.52916666666666667</v>
      </c>
      <c r="C1465" s="17" t="str">
        <f>"FES1162728643"</f>
        <v>FES1162728643</v>
      </c>
      <c r="D1465" s="17" t="s">
        <v>19</v>
      </c>
      <c r="E1465" s="17" t="s">
        <v>753</v>
      </c>
      <c r="F1465" s="17" t="str">
        <f>"2170719981 "</f>
        <v xml:space="preserve">2170719981 </v>
      </c>
      <c r="G1465" s="17" t="str">
        <f t="shared" si="39"/>
        <v>ON1</v>
      </c>
      <c r="H1465" s="17" t="s">
        <v>21</v>
      </c>
      <c r="I1465" s="17" t="s">
        <v>754</v>
      </c>
      <c r="J1465" s="17" t="str">
        <f>""</f>
        <v/>
      </c>
      <c r="K1465" s="17" t="str">
        <f>"PFES1162728643_0001"</f>
        <v>PFES1162728643_0001</v>
      </c>
      <c r="L1465" s="17">
        <v>1</v>
      </c>
      <c r="M1465" s="17">
        <v>2</v>
      </c>
    </row>
    <row r="1466" spans="1:13">
      <c r="A1466" s="7">
        <v>43816</v>
      </c>
      <c r="B1466" s="8">
        <v>0.52152777777777781</v>
      </c>
      <c r="C1466" s="17" t="str">
        <f>"FES1162728652"</f>
        <v>FES1162728652</v>
      </c>
      <c r="D1466" s="17" t="s">
        <v>19</v>
      </c>
      <c r="E1466" s="17" t="s">
        <v>151</v>
      </c>
      <c r="F1466" s="17" t="str">
        <f>"217071174652 "</f>
        <v xml:space="preserve">217071174652 </v>
      </c>
      <c r="G1466" s="17" t="str">
        <f t="shared" si="39"/>
        <v>ON1</v>
      </c>
      <c r="H1466" s="17" t="s">
        <v>21</v>
      </c>
      <c r="I1466" s="17" t="s">
        <v>152</v>
      </c>
      <c r="J1466" s="17" t="str">
        <f>""</f>
        <v/>
      </c>
      <c r="K1466" s="17" t="str">
        <f>"PFES1162728652_0001"</f>
        <v>PFES1162728652_0001</v>
      </c>
      <c r="L1466" s="17">
        <v>1</v>
      </c>
      <c r="M1466" s="17">
        <v>6</v>
      </c>
    </row>
    <row r="1467" spans="1:13">
      <c r="A1467" s="7">
        <v>43816</v>
      </c>
      <c r="B1467" s="8">
        <v>0.52083333333333337</v>
      </c>
      <c r="C1467" s="17" t="str">
        <f>"FES1162728547"</f>
        <v>FES1162728547</v>
      </c>
      <c r="D1467" s="17" t="s">
        <v>19</v>
      </c>
      <c r="E1467" s="17" t="s">
        <v>42</v>
      </c>
      <c r="F1467" s="17" t="str">
        <f>"2325563.323 "</f>
        <v xml:space="preserve">2325563.323 </v>
      </c>
      <c r="G1467" s="17" t="str">
        <f t="shared" si="39"/>
        <v>ON1</v>
      </c>
      <c r="H1467" s="17" t="s">
        <v>21</v>
      </c>
      <c r="I1467" s="17" t="s">
        <v>43</v>
      </c>
      <c r="J1467" s="17" t="str">
        <f>""</f>
        <v/>
      </c>
      <c r="K1467" s="17" t="str">
        <f>"PFES1162728547_0001"</f>
        <v>PFES1162728547_0001</v>
      </c>
      <c r="L1467" s="17">
        <v>1</v>
      </c>
      <c r="M1467" s="17">
        <v>10</v>
      </c>
    </row>
    <row r="1468" spans="1:13">
      <c r="A1468" s="7">
        <v>43816</v>
      </c>
      <c r="B1468" s="8">
        <v>0.52083333333333337</v>
      </c>
      <c r="C1468" s="17" t="str">
        <f>"FES1162728554"</f>
        <v>FES1162728554</v>
      </c>
      <c r="D1468" s="17" t="s">
        <v>19</v>
      </c>
      <c r="E1468" s="17" t="s">
        <v>755</v>
      </c>
      <c r="F1468" s="17" t="str">
        <f>"21707196444 "</f>
        <v xml:space="preserve">21707196444 </v>
      </c>
      <c r="G1468" s="17" t="str">
        <f t="shared" si="39"/>
        <v>ON1</v>
      </c>
      <c r="H1468" s="17" t="s">
        <v>21</v>
      </c>
      <c r="I1468" s="17" t="s">
        <v>141</v>
      </c>
      <c r="J1468" s="17" t="str">
        <f>""</f>
        <v/>
      </c>
      <c r="K1468" s="17" t="str">
        <f>"PFES1162728554_0001"</f>
        <v>PFES1162728554_0001</v>
      </c>
      <c r="L1468" s="17">
        <v>1</v>
      </c>
      <c r="M1468" s="17">
        <v>10</v>
      </c>
    </row>
    <row r="1469" spans="1:13">
      <c r="A1469" s="7">
        <v>43816</v>
      </c>
      <c r="B1469" s="8">
        <v>0.52013888888888882</v>
      </c>
      <c r="C1469" s="17" t="str">
        <f>"FES1162728546"</f>
        <v>FES1162728546</v>
      </c>
      <c r="D1469" s="17" t="s">
        <v>19</v>
      </c>
      <c r="E1469" s="17" t="s">
        <v>250</v>
      </c>
      <c r="F1469" s="17" t="str">
        <f>"21707197090 "</f>
        <v xml:space="preserve">21707197090 </v>
      </c>
      <c r="G1469" s="17" t="str">
        <f t="shared" si="39"/>
        <v>ON1</v>
      </c>
      <c r="H1469" s="17" t="s">
        <v>21</v>
      </c>
      <c r="I1469" s="17" t="s">
        <v>251</v>
      </c>
      <c r="J1469" s="17" t="str">
        <f>""</f>
        <v/>
      </c>
      <c r="K1469" s="17" t="str">
        <f>"PFES1162728546_0001"</f>
        <v>PFES1162728546_0001</v>
      </c>
      <c r="L1469" s="17">
        <v>1</v>
      </c>
      <c r="M1469" s="17">
        <v>1</v>
      </c>
    </row>
    <row r="1470" spans="1:13">
      <c r="A1470" s="7">
        <v>43816</v>
      </c>
      <c r="B1470" s="8">
        <v>0.51944444444444449</v>
      </c>
      <c r="C1470" s="17" t="str">
        <f>"FES1162728588"</f>
        <v>FES1162728588</v>
      </c>
      <c r="D1470" s="17" t="s">
        <v>19</v>
      </c>
      <c r="E1470" s="17" t="s">
        <v>756</v>
      </c>
      <c r="F1470" s="17" t="str">
        <f>"2170712807 "</f>
        <v xml:space="preserve">2170712807 </v>
      </c>
      <c r="G1470" s="17" t="str">
        <f t="shared" si="39"/>
        <v>ON1</v>
      </c>
      <c r="H1470" s="17" t="s">
        <v>21</v>
      </c>
      <c r="I1470" s="17" t="s">
        <v>161</v>
      </c>
      <c r="J1470" s="17" t="str">
        <f>""</f>
        <v/>
      </c>
      <c r="K1470" s="17" t="str">
        <f>"PFES1162728588_0001"</f>
        <v>PFES1162728588_0001</v>
      </c>
      <c r="L1470" s="17">
        <v>1</v>
      </c>
      <c r="M1470" s="17">
        <v>1</v>
      </c>
    </row>
    <row r="1471" spans="1:13">
      <c r="A1471" s="7">
        <v>43816</v>
      </c>
      <c r="B1471" s="8">
        <v>0.51944444444444449</v>
      </c>
      <c r="C1471" s="17" t="str">
        <f>"FES1162728587"</f>
        <v>FES1162728587</v>
      </c>
      <c r="D1471" s="17" t="s">
        <v>19</v>
      </c>
      <c r="E1471" s="17" t="s">
        <v>42</v>
      </c>
      <c r="F1471" s="17" t="str">
        <f>"217071803 "</f>
        <v xml:space="preserve">217071803 </v>
      </c>
      <c r="G1471" s="17" t="str">
        <f t="shared" si="39"/>
        <v>ON1</v>
      </c>
      <c r="H1471" s="17" t="s">
        <v>21</v>
      </c>
      <c r="I1471" s="17" t="s">
        <v>43</v>
      </c>
      <c r="J1471" s="17" t="str">
        <f>""</f>
        <v/>
      </c>
      <c r="K1471" s="17" t="str">
        <f>"PFES1162728587_0001"</f>
        <v>PFES1162728587_0001</v>
      </c>
      <c r="L1471" s="17">
        <v>1</v>
      </c>
      <c r="M1471" s="17">
        <v>3</v>
      </c>
    </row>
    <row r="1472" spans="1:13">
      <c r="A1472" s="7">
        <v>43816</v>
      </c>
      <c r="B1472" s="8">
        <v>0.51874999999999993</v>
      </c>
      <c r="C1472" s="17" t="str">
        <f>"FES1162728553"</f>
        <v>FES1162728553</v>
      </c>
      <c r="D1472" s="17" t="s">
        <v>19</v>
      </c>
      <c r="E1472" s="17" t="s">
        <v>755</v>
      </c>
      <c r="F1472" s="17" t="str">
        <f>"321740474445 "</f>
        <v xml:space="preserve">321740474445 </v>
      </c>
      <c r="G1472" s="17" t="str">
        <f t="shared" si="39"/>
        <v>ON1</v>
      </c>
      <c r="H1472" s="17" t="s">
        <v>21</v>
      </c>
      <c r="I1472" s="17" t="s">
        <v>141</v>
      </c>
      <c r="J1472" s="17" t="str">
        <f>""</f>
        <v/>
      </c>
      <c r="K1472" s="17" t="str">
        <f>"PFES1162728553_0001"</f>
        <v>PFES1162728553_0001</v>
      </c>
      <c r="L1472" s="17">
        <v>1</v>
      </c>
      <c r="M1472" s="17">
        <v>2</v>
      </c>
    </row>
    <row r="1473" spans="1:13">
      <c r="A1473" s="7">
        <v>43816</v>
      </c>
      <c r="B1473" s="8">
        <v>0.51874999999999993</v>
      </c>
      <c r="C1473" s="17" t="str">
        <f>"FES1162728422"</f>
        <v>FES1162728422</v>
      </c>
      <c r="D1473" s="17" t="s">
        <v>19</v>
      </c>
      <c r="E1473" s="17" t="s">
        <v>621</v>
      </c>
      <c r="F1473" s="17" t="str">
        <f>"2170718941 "</f>
        <v xml:space="preserve">2170718941 </v>
      </c>
      <c r="G1473" s="17" t="str">
        <f t="shared" si="39"/>
        <v>ON1</v>
      </c>
      <c r="H1473" s="17" t="s">
        <v>21</v>
      </c>
      <c r="I1473" s="17" t="s">
        <v>161</v>
      </c>
      <c r="J1473" s="17" t="str">
        <f>""</f>
        <v/>
      </c>
      <c r="K1473" s="17" t="str">
        <f>"PFES1162728422_0001"</f>
        <v>PFES1162728422_0001</v>
      </c>
      <c r="L1473" s="17">
        <v>1</v>
      </c>
      <c r="M1473" s="17">
        <v>2</v>
      </c>
    </row>
    <row r="1474" spans="1:13">
      <c r="A1474" s="7">
        <v>43816</v>
      </c>
      <c r="B1474" s="8">
        <v>0.5180555555555556</v>
      </c>
      <c r="C1474" s="17" t="str">
        <f>"FES1162728560"</f>
        <v>FES1162728560</v>
      </c>
      <c r="D1474" s="17" t="s">
        <v>19</v>
      </c>
      <c r="E1474" s="17" t="s">
        <v>328</v>
      </c>
      <c r="F1474" s="17" t="str">
        <f>"2170718760 "</f>
        <v xml:space="preserve">2170718760 </v>
      </c>
      <c r="G1474" s="17" t="str">
        <f t="shared" si="39"/>
        <v>ON1</v>
      </c>
      <c r="H1474" s="17" t="s">
        <v>21</v>
      </c>
      <c r="I1474" s="17" t="s">
        <v>43</v>
      </c>
      <c r="J1474" s="17" t="str">
        <f>""</f>
        <v/>
      </c>
      <c r="K1474" s="17" t="str">
        <f>"PFES1162728560_0001"</f>
        <v>PFES1162728560_0001</v>
      </c>
      <c r="L1474" s="17">
        <v>1</v>
      </c>
      <c r="M1474" s="17">
        <v>4</v>
      </c>
    </row>
    <row r="1475" spans="1:13">
      <c r="A1475" s="7">
        <v>43816</v>
      </c>
      <c r="B1475" s="8">
        <v>0.5180555555555556</v>
      </c>
      <c r="C1475" s="17" t="str">
        <f>"FES1162728538"</f>
        <v>FES1162728538</v>
      </c>
      <c r="D1475" s="17" t="s">
        <v>19</v>
      </c>
      <c r="E1475" s="17" t="s">
        <v>59</v>
      </c>
      <c r="F1475" s="17" t="str">
        <f>"217071772 "</f>
        <v xml:space="preserve">217071772 </v>
      </c>
      <c r="G1475" s="17" t="str">
        <f t="shared" si="39"/>
        <v>ON1</v>
      </c>
      <c r="H1475" s="17" t="s">
        <v>21</v>
      </c>
      <c r="I1475" s="17" t="s">
        <v>60</v>
      </c>
      <c r="J1475" s="17" t="str">
        <f>""</f>
        <v/>
      </c>
      <c r="K1475" s="17" t="str">
        <f>"PFES1162728538_0001"</f>
        <v>PFES1162728538_0001</v>
      </c>
      <c r="L1475" s="17">
        <v>1</v>
      </c>
      <c r="M1475" s="17">
        <v>1</v>
      </c>
    </row>
    <row r="1476" spans="1:13">
      <c r="A1476" s="7">
        <v>43816</v>
      </c>
      <c r="B1476" s="8">
        <v>0.51736111111111105</v>
      </c>
      <c r="C1476" s="17" t="str">
        <f>"FES1162728536"</f>
        <v>FES1162728536</v>
      </c>
      <c r="D1476" s="17" t="s">
        <v>19</v>
      </c>
      <c r="E1476" s="17" t="s">
        <v>757</v>
      </c>
      <c r="F1476" s="17" t="str">
        <f>"217071665 "</f>
        <v xml:space="preserve">217071665 </v>
      </c>
      <c r="G1476" s="17" t="str">
        <f t="shared" si="39"/>
        <v>ON1</v>
      </c>
      <c r="H1476" s="17" t="s">
        <v>21</v>
      </c>
      <c r="I1476" s="17" t="s">
        <v>758</v>
      </c>
      <c r="J1476" s="17" t="str">
        <f>""</f>
        <v/>
      </c>
      <c r="K1476" s="17" t="str">
        <f>"PFES1162728536_0001"</f>
        <v>PFES1162728536_0001</v>
      </c>
      <c r="L1476" s="17">
        <v>1</v>
      </c>
      <c r="M1476" s="17">
        <v>1</v>
      </c>
    </row>
    <row r="1477" spans="1:13">
      <c r="A1477" s="7">
        <v>43816</v>
      </c>
      <c r="B1477" s="8">
        <v>0.51736111111111105</v>
      </c>
      <c r="C1477" s="17" t="str">
        <f>"FES1162728590"</f>
        <v>FES1162728590</v>
      </c>
      <c r="D1477" s="17" t="s">
        <v>19</v>
      </c>
      <c r="E1477" s="17" t="s">
        <v>153</v>
      </c>
      <c r="F1477" s="17" t="str">
        <f>"217071820 "</f>
        <v xml:space="preserve">217071820 </v>
      </c>
      <c r="G1477" s="17" t="str">
        <f t="shared" si="39"/>
        <v>ON1</v>
      </c>
      <c r="H1477" s="17" t="s">
        <v>21</v>
      </c>
      <c r="I1477" s="17" t="s">
        <v>145</v>
      </c>
      <c r="J1477" s="17" t="str">
        <f>""</f>
        <v/>
      </c>
      <c r="K1477" s="17" t="str">
        <f>"PFES1162728590_0001"</f>
        <v>PFES1162728590_0001</v>
      </c>
      <c r="L1477" s="17">
        <v>1</v>
      </c>
      <c r="M1477" s="17">
        <v>1</v>
      </c>
    </row>
    <row r="1478" spans="1:13">
      <c r="A1478" s="7">
        <v>43816</v>
      </c>
      <c r="B1478" s="8">
        <v>0.51666666666666672</v>
      </c>
      <c r="C1478" s="17" t="str">
        <f>"FES1162728603"</f>
        <v>FES1162728603</v>
      </c>
      <c r="D1478" s="17" t="s">
        <v>19</v>
      </c>
      <c r="E1478" s="17" t="s">
        <v>24</v>
      </c>
      <c r="F1478" s="17" t="str">
        <f>"217071825 "</f>
        <v xml:space="preserve">217071825 </v>
      </c>
      <c r="G1478" s="17" t="str">
        <f t="shared" si="39"/>
        <v>ON1</v>
      </c>
      <c r="H1478" s="17" t="s">
        <v>21</v>
      </c>
      <c r="I1478" s="17" t="s">
        <v>25</v>
      </c>
      <c r="J1478" s="17" t="str">
        <f>""</f>
        <v/>
      </c>
      <c r="K1478" s="17" t="str">
        <f>"PFES1162728603_0001"</f>
        <v>PFES1162728603_0001</v>
      </c>
      <c r="L1478" s="17">
        <v>1</v>
      </c>
      <c r="M1478" s="17">
        <v>1</v>
      </c>
    </row>
    <row r="1479" spans="1:13">
      <c r="A1479" s="7">
        <v>43816</v>
      </c>
      <c r="B1479" s="8">
        <v>0.51666666666666672</v>
      </c>
      <c r="C1479" s="17" t="str">
        <f>"FES1162728580"</f>
        <v>FES1162728580</v>
      </c>
      <c r="D1479" s="17" t="s">
        <v>19</v>
      </c>
      <c r="E1479" s="17" t="s">
        <v>154</v>
      </c>
      <c r="F1479" s="17" t="str">
        <f>"2170712499 "</f>
        <v xml:space="preserve">2170712499 </v>
      </c>
      <c r="G1479" s="17" t="str">
        <f t="shared" si="39"/>
        <v>ON1</v>
      </c>
      <c r="H1479" s="17" t="s">
        <v>21</v>
      </c>
      <c r="I1479" s="17" t="s">
        <v>155</v>
      </c>
      <c r="J1479" s="17" t="str">
        <f>""</f>
        <v/>
      </c>
      <c r="K1479" s="17" t="str">
        <f>"PFES1162728580_0001"</f>
        <v>PFES1162728580_0001</v>
      </c>
      <c r="L1479" s="17">
        <v>1</v>
      </c>
      <c r="M1479" s="17">
        <v>1</v>
      </c>
    </row>
    <row r="1480" spans="1:13">
      <c r="A1480" s="7">
        <v>43816</v>
      </c>
      <c r="B1480" s="8">
        <v>0.51666666666666672</v>
      </c>
      <c r="C1480" s="17" t="str">
        <f>"FES1162728577"</f>
        <v>FES1162728577</v>
      </c>
      <c r="D1480" s="17" t="s">
        <v>19</v>
      </c>
      <c r="E1480" s="17" t="s">
        <v>225</v>
      </c>
      <c r="F1480" s="17" t="str">
        <f>"2170712436 "</f>
        <v xml:space="preserve">2170712436 </v>
      </c>
      <c r="G1480" s="17" t="str">
        <f t="shared" si="39"/>
        <v>ON1</v>
      </c>
      <c r="H1480" s="17" t="s">
        <v>21</v>
      </c>
      <c r="I1480" s="17" t="s">
        <v>76</v>
      </c>
      <c r="J1480" s="17" t="str">
        <f>""</f>
        <v/>
      </c>
      <c r="K1480" s="17" t="str">
        <f>"PFES1162728577_0001"</f>
        <v>PFES1162728577_0001</v>
      </c>
      <c r="L1480" s="17">
        <v>1</v>
      </c>
      <c r="M1480" s="17">
        <v>1</v>
      </c>
    </row>
    <row r="1481" spans="1:13">
      <c r="A1481" s="7">
        <v>43816</v>
      </c>
      <c r="B1481" s="8">
        <v>0.51597222222222217</v>
      </c>
      <c r="C1481" s="17" t="str">
        <f>"FES1162728622"</f>
        <v>FES1162728622</v>
      </c>
      <c r="D1481" s="17" t="s">
        <v>19</v>
      </c>
      <c r="E1481" s="17" t="s">
        <v>24</v>
      </c>
      <c r="F1481" s="17" t="str">
        <f>"217071840 "</f>
        <v xml:space="preserve">217071840 </v>
      </c>
      <c r="G1481" s="17" t="str">
        <f t="shared" si="39"/>
        <v>ON1</v>
      </c>
      <c r="H1481" s="17" t="s">
        <v>21</v>
      </c>
      <c r="I1481" s="17" t="s">
        <v>25</v>
      </c>
      <c r="J1481" s="17" t="str">
        <f>""</f>
        <v/>
      </c>
      <c r="K1481" s="17" t="str">
        <f>"PFES1162728622_0001"</f>
        <v>PFES1162728622_0001</v>
      </c>
      <c r="L1481" s="17">
        <v>1</v>
      </c>
      <c r="M1481" s="17">
        <v>1</v>
      </c>
    </row>
    <row r="1482" spans="1:13">
      <c r="A1482" s="7">
        <v>43816</v>
      </c>
      <c r="B1482" s="8">
        <v>0.51597222222222217</v>
      </c>
      <c r="C1482" s="17" t="str">
        <f>"FES1162728647"</f>
        <v>FES1162728647</v>
      </c>
      <c r="D1482" s="17" t="s">
        <v>19</v>
      </c>
      <c r="E1482" s="17" t="s">
        <v>90</v>
      </c>
      <c r="F1482" s="17" t="str">
        <f>"217071856 "</f>
        <v xml:space="preserve">217071856 </v>
      </c>
      <c r="G1482" s="17" t="str">
        <f t="shared" si="39"/>
        <v>ON1</v>
      </c>
      <c r="H1482" s="17" t="s">
        <v>21</v>
      </c>
      <c r="I1482" s="17" t="s">
        <v>22</v>
      </c>
      <c r="J1482" s="17" t="str">
        <f>""</f>
        <v/>
      </c>
      <c r="K1482" s="17" t="str">
        <f>"PFES1162728647_0001"</f>
        <v>PFES1162728647_0001</v>
      </c>
      <c r="L1482" s="17">
        <v>1</v>
      </c>
      <c r="M1482" s="17">
        <v>1</v>
      </c>
    </row>
    <row r="1483" spans="1:13">
      <c r="A1483" s="7">
        <v>43816</v>
      </c>
      <c r="B1483" s="8">
        <v>0.51527777777777783</v>
      </c>
      <c r="C1483" s="17" t="str">
        <f>"FES1162728659"</f>
        <v>FES1162728659</v>
      </c>
      <c r="D1483" s="17" t="s">
        <v>19</v>
      </c>
      <c r="E1483" s="17" t="s">
        <v>324</v>
      </c>
      <c r="F1483" s="17" t="str">
        <f>"2170719123 "</f>
        <v xml:space="preserve">2170719123 </v>
      </c>
      <c r="G1483" s="17" t="str">
        <f t="shared" si="39"/>
        <v>ON1</v>
      </c>
      <c r="H1483" s="17" t="s">
        <v>21</v>
      </c>
      <c r="I1483" s="17" t="s">
        <v>325</v>
      </c>
      <c r="J1483" s="17" t="str">
        <f>""</f>
        <v/>
      </c>
      <c r="K1483" s="17" t="str">
        <f>"PFES1162728659_0001"</f>
        <v>PFES1162728659_0001</v>
      </c>
      <c r="L1483" s="17">
        <v>1</v>
      </c>
      <c r="M1483" s="17">
        <v>1</v>
      </c>
    </row>
    <row r="1484" spans="1:13">
      <c r="A1484" s="7">
        <v>43816</v>
      </c>
      <c r="B1484" s="8">
        <v>0.51527777777777783</v>
      </c>
      <c r="C1484" s="17" t="str">
        <f>"FES1162728660"</f>
        <v>FES1162728660</v>
      </c>
      <c r="D1484" s="17" t="s">
        <v>19</v>
      </c>
      <c r="E1484" s="17" t="s">
        <v>755</v>
      </c>
      <c r="F1484" s="17" t="str">
        <f>"2170719212 "</f>
        <v xml:space="preserve">2170719212 </v>
      </c>
      <c r="G1484" s="17" t="str">
        <f t="shared" si="39"/>
        <v>ON1</v>
      </c>
      <c r="H1484" s="17" t="s">
        <v>21</v>
      </c>
      <c r="I1484" s="17" t="s">
        <v>141</v>
      </c>
      <c r="J1484" s="17" t="str">
        <f>""</f>
        <v/>
      </c>
      <c r="K1484" s="17" t="str">
        <f>"PFES1162728660_0001"</f>
        <v>PFES1162728660_0001</v>
      </c>
      <c r="L1484" s="17">
        <v>1</v>
      </c>
      <c r="M1484" s="17">
        <v>1</v>
      </c>
    </row>
    <row r="1485" spans="1:13">
      <c r="A1485" s="7">
        <v>43816</v>
      </c>
      <c r="B1485" s="8">
        <v>0.51458333333333328</v>
      </c>
      <c r="C1485" s="17" t="str">
        <f>"FES1162728629"</f>
        <v>FES1162728629</v>
      </c>
      <c r="D1485" s="17" t="s">
        <v>19</v>
      </c>
      <c r="E1485" s="17" t="s">
        <v>507</v>
      </c>
      <c r="F1485" s="17" t="str">
        <f>"217071847 "</f>
        <v xml:space="preserve">217071847 </v>
      </c>
      <c r="G1485" s="17" t="str">
        <f t="shared" si="39"/>
        <v>ON1</v>
      </c>
      <c r="H1485" s="17" t="s">
        <v>21</v>
      </c>
      <c r="I1485" s="17" t="s">
        <v>508</v>
      </c>
      <c r="J1485" s="17" t="str">
        <f>""</f>
        <v/>
      </c>
      <c r="K1485" s="17" t="str">
        <f>"PFES1162728629_0001"</f>
        <v>PFES1162728629_0001</v>
      </c>
      <c r="L1485" s="17">
        <v>1</v>
      </c>
      <c r="M1485" s="17">
        <v>1</v>
      </c>
    </row>
    <row r="1486" spans="1:13">
      <c r="A1486" s="7">
        <v>43816</v>
      </c>
      <c r="B1486" s="8">
        <v>0.51458333333333328</v>
      </c>
      <c r="C1486" s="17" t="str">
        <f>"FES1162728593"</f>
        <v>FES1162728593</v>
      </c>
      <c r="D1486" s="17" t="s">
        <v>19</v>
      </c>
      <c r="E1486" s="17" t="s">
        <v>154</v>
      </c>
      <c r="F1486" s="17" t="str">
        <f>"2170712759 "</f>
        <v xml:space="preserve">2170712759 </v>
      </c>
      <c r="G1486" s="17" t="str">
        <f t="shared" si="39"/>
        <v>ON1</v>
      </c>
      <c r="H1486" s="17" t="s">
        <v>21</v>
      </c>
      <c r="I1486" s="17" t="s">
        <v>155</v>
      </c>
      <c r="J1486" s="17" t="str">
        <f>""</f>
        <v/>
      </c>
      <c r="K1486" s="17" t="str">
        <f>"PFES1162728593_0001"</f>
        <v>PFES1162728593_0001</v>
      </c>
      <c r="L1486" s="17">
        <v>1</v>
      </c>
      <c r="M1486" s="17">
        <v>1</v>
      </c>
    </row>
    <row r="1487" spans="1:13">
      <c r="A1487" s="7">
        <v>43816</v>
      </c>
      <c r="B1487" s="8">
        <v>0.51458333333333328</v>
      </c>
      <c r="C1487" s="17" t="str">
        <f>"FES1162728658"</f>
        <v>FES1162728658</v>
      </c>
      <c r="D1487" s="17" t="s">
        <v>19</v>
      </c>
      <c r="E1487" s="17" t="s">
        <v>38</v>
      </c>
      <c r="F1487" s="17" t="str">
        <f>"2170716023 "</f>
        <v xml:space="preserve">2170716023 </v>
      </c>
      <c r="G1487" s="17" t="str">
        <f t="shared" si="39"/>
        <v>ON1</v>
      </c>
      <c r="H1487" s="17" t="s">
        <v>21</v>
      </c>
      <c r="I1487" s="17" t="s">
        <v>39</v>
      </c>
      <c r="J1487" s="17" t="str">
        <f>""</f>
        <v/>
      </c>
      <c r="K1487" s="17" t="str">
        <f>"PFES1162728658_0001"</f>
        <v>PFES1162728658_0001</v>
      </c>
      <c r="L1487" s="17">
        <v>1</v>
      </c>
      <c r="M1487" s="17">
        <v>1</v>
      </c>
    </row>
    <row r="1488" spans="1:13">
      <c r="A1488" s="7">
        <v>43816</v>
      </c>
      <c r="B1488" s="8">
        <v>0.51388888888888895</v>
      </c>
      <c r="C1488" s="17" t="str">
        <f>"FES1162728606"</f>
        <v>FES1162728606</v>
      </c>
      <c r="D1488" s="17" t="s">
        <v>19</v>
      </c>
      <c r="E1488" s="17" t="s">
        <v>154</v>
      </c>
      <c r="F1488" s="17" t="str">
        <f>"2170712828 "</f>
        <v xml:space="preserve">2170712828 </v>
      </c>
      <c r="G1488" s="17" t="str">
        <f t="shared" si="39"/>
        <v>ON1</v>
      </c>
      <c r="H1488" s="17" t="s">
        <v>21</v>
      </c>
      <c r="I1488" s="17" t="s">
        <v>155</v>
      </c>
      <c r="J1488" s="17" t="str">
        <f>""</f>
        <v/>
      </c>
      <c r="K1488" s="17" t="str">
        <f>"PFES1162728606_0001"</f>
        <v>PFES1162728606_0001</v>
      </c>
      <c r="L1488" s="17">
        <v>1</v>
      </c>
      <c r="M1488" s="17">
        <v>1</v>
      </c>
    </row>
    <row r="1489" spans="1:13">
      <c r="A1489" s="7">
        <v>43816</v>
      </c>
      <c r="B1489" s="8">
        <v>0.51388888888888895</v>
      </c>
      <c r="C1489" s="17" t="str">
        <f>"FES1162728657"</f>
        <v>FES1162728657</v>
      </c>
      <c r="D1489" s="17" t="s">
        <v>19</v>
      </c>
      <c r="E1489" s="17" t="s">
        <v>264</v>
      </c>
      <c r="F1489" s="17" t="str">
        <f>"21707128167 "</f>
        <v xml:space="preserve">21707128167 </v>
      </c>
      <c r="G1489" s="17" t="str">
        <f t="shared" si="39"/>
        <v>ON1</v>
      </c>
      <c r="H1489" s="17" t="s">
        <v>21</v>
      </c>
      <c r="I1489" s="17" t="s">
        <v>265</v>
      </c>
      <c r="J1489" s="17" t="str">
        <f>""</f>
        <v/>
      </c>
      <c r="K1489" s="17" t="str">
        <f>"PFES1162728657_0001"</f>
        <v>PFES1162728657_0001</v>
      </c>
      <c r="L1489" s="17">
        <v>1</v>
      </c>
      <c r="M1489" s="17">
        <v>1</v>
      </c>
    </row>
    <row r="1490" spans="1:13">
      <c r="A1490" s="7">
        <v>43816</v>
      </c>
      <c r="B1490" s="8">
        <v>0.5131944444444444</v>
      </c>
      <c r="C1490" s="17" t="str">
        <f>"FES1162728672"</f>
        <v>FES1162728672</v>
      </c>
      <c r="D1490" s="17" t="s">
        <v>19</v>
      </c>
      <c r="E1490" s="17" t="s">
        <v>530</v>
      </c>
      <c r="F1490" s="17" t="str">
        <f>"2170721850 "</f>
        <v xml:space="preserve">2170721850 </v>
      </c>
      <c r="G1490" s="17" t="str">
        <f t="shared" si="39"/>
        <v>ON1</v>
      </c>
      <c r="H1490" s="17" t="s">
        <v>21</v>
      </c>
      <c r="I1490" s="17" t="s">
        <v>132</v>
      </c>
      <c r="J1490" s="17" t="str">
        <f>""</f>
        <v/>
      </c>
      <c r="K1490" s="17" t="str">
        <f>"PFES1162728672_0001"</f>
        <v>PFES1162728672_0001</v>
      </c>
      <c r="L1490" s="17">
        <v>1</v>
      </c>
      <c r="M1490" s="17">
        <v>1</v>
      </c>
    </row>
    <row r="1491" spans="1:13">
      <c r="A1491" s="7">
        <v>43816</v>
      </c>
      <c r="B1491" s="8">
        <v>0.43611111111111112</v>
      </c>
      <c r="C1491" s="17" t="str">
        <f>"FES1162728632"</f>
        <v>FES1162728632</v>
      </c>
      <c r="D1491" s="17" t="s">
        <v>19</v>
      </c>
      <c r="E1491" s="17" t="s">
        <v>759</v>
      </c>
      <c r="F1491" s="17" t="str">
        <f>"2170721855 "</f>
        <v xml:space="preserve">2170721855 </v>
      </c>
      <c r="G1491" s="17" t="str">
        <f>"SDX"</f>
        <v>SDX</v>
      </c>
      <c r="H1491" s="17" t="s">
        <v>21</v>
      </c>
      <c r="I1491" s="17" t="s">
        <v>760</v>
      </c>
      <c r="J1491" s="17" t="str">
        <f>"SDX"</f>
        <v>SDX</v>
      </c>
      <c r="K1491" s="17" t="str">
        <f>"PFES1162728632_0001"</f>
        <v>PFES1162728632_0001</v>
      </c>
      <c r="L1491" s="17">
        <v>1</v>
      </c>
      <c r="M1491" s="17">
        <v>7</v>
      </c>
    </row>
    <row r="1492" spans="1:13">
      <c r="A1492" s="7">
        <v>43812</v>
      </c>
      <c r="B1492" s="8">
        <v>0.63402777777777775</v>
      </c>
      <c r="C1492" s="18" t="str">
        <f>"FES1162728350"</f>
        <v>FES1162728350</v>
      </c>
      <c r="D1492" s="18" t="s">
        <v>19</v>
      </c>
      <c r="E1492" s="18" t="s">
        <v>217</v>
      </c>
      <c r="F1492" s="18" t="str">
        <f>"217071638 "</f>
        <v xml:space="preserve">217071638 </v>
      </c>
      <c r="G1492" s="18" t="str">
        <f t="shared" ref="G1492:G1555" si="40">"ON1"</f>
        <v>ON1</v>
      </c>
      <c r="H1492" s="18" t="s">
        <v>21</v>
      </c>
      <c r="I1492" s="18" t="s">
        <v>102</v>
      </c>
      <c r="J1492" s="18" t="str">
        <f>""</f>
        <v/>
      </c>
      <c r="K1492" s="18" t="str">
        <f>"PFES1162728350_0001"</f>
        <v>PFES1162728350_0001</v>
      </c>
      <c r="L1492" s="18">
        <v>1</v>
      </c>
      <c r="M1492" s="18">
        <v>9</v>
      </c>
    </row>
    <row r="1493" spans="1:13">
      <c r="A1493" s="7">
        <v>43812</v>
      </c>
      <c r="B1493" s="8">
        <v>0.63402777777777775</v>
      </c>
      <c r="C1493" s="18" t="str">
        <f>"FES1162728351"</f>
        <v>FES1162728351</v>
      </c>
      <c r="D1493" s="18" t="s">
        <v>19</v>
      </c>
      <c r="E1493" s="18" t="s">
        <v>44</v>
      </c>
      <c r="F1493" s="18" t="str">
        <f>"217071645 "</f>
        <v xml:space="preserve">217071645 </v>
      </c>
      <c r="G1493" s="18" t="str">
        <f t="shared" si="40"/>
        <v>ON1</v>
      </c>
      <c r="H1493" s="18" t="s">
        <v>21</v>
      </c>
      <c r="I1493" s="18" t="s">
        <v>45</v>
      </c>
      <c r="J1493" s="18" t="str">
        <f>""</f>
        <v/>
      </c>
      <c r="K1493" s="18" t="str">
        <f>"PFES1162728351_0001"</f>
        <v>PFES1162728351_0001</v>
      </c>
      <c r="L1493" s="18">
        <v>1</v>
      </c>
      <c r="M1493" s="18">
        <v>2</v>
      </c>
    </row>
    <row r="1494" spans="1:13">
      <c r="A1494" s="7">
        <v>43812</v>
      </c>
      <c r="B1494" s="8">
        <v>0.6333333333333333</v>
      </c>
      <c r="C1494" s="18" t="str">
        <f>"FES1162728499"</f>
        <v>FES1162728499</v>
      </c>
      <c r="D1494" s="18" t="s">
        <v>19</v>
      </c>
      <c r="E1494" s="18" t="s">
        <v>93</v>
      </c>
      <c r="F1494" s="18" t="str">
        <f>"2170721732 "</f>
        <v xml:space="preserve">2170721732 </v>
      </c>
      <c r="G1494" s="18" t="str">
        <f t="shared" si="40"/>
        <v>ON1</v>
      </c>
      <c r="H1494" s="18" t="s">
        <v>21</v>
      </c>
      <c r="I1494" s="18" t="s">
        <v>136</v>
      </c>
      <c r="J1494" s="18" t="str">
        <f>""</f>
        <v/>
      </c>
      <c r="K1494" s="18" t="str">
        <f>"PFES1162728499_0001"</f>
        <v>PFES1162728499_0001</v>
      </c>
      <c r="L1494" s="18">
        <v>1</v>
      </c>
      <c r="M1494" s="18">
        <v>2</v>
      </c>
    </row>
    <row r="1495" spans="1:13">
      <c r="A1495" s="7">
        <v>43812</v>
      </c>
      <c r="B1495" s="8">
        <v>0.6333333333333333</v>
      </c>
      <c r="C1495" s="18" t="str">
        <f>"FES1162728474"</f>
        <v>FES1162728474</v>
      </c>
      <c r="D1495" s="18" t="s">
        <v>19</v>
      </c>
      <c r="E1495" s="18" t="s">
        <v>84</v>
      </c>
      <c r="F1495" s="18" t="str">
        <f>"217071712 "</f>
        <v xml:space="preserve">217071712 </v>
      </c>
      <c r="G1495" s="18" t="str">
        <f t="shared" si="40"/>
        <v>ON1</v>
      </c>
      <c r="H1495" s="18" t="s">
        <v>21</v>
      </c>
      <c r="I1495" s="18" t="s">
        <v>85</v>
      </c>
      <c r="J1495" s="18" t="str">
        <f>""</f>
        <v/>
      </c>
      <c r="K1495" s="18" t="str">
        <f>"PFES1162728474_0001"</f>
        <v>PFES1162728474_0001</v>
      </c>
      <c r="L1495" s="18">
        <v>1</v>
      </c>
      <c r="M1495" s="18">
        <v>2</v>
      </c>
    </row>
    <row r="1496" spans="1:13">
      <c r="A1496" s="7">
        <v>43812</v>
      </c>
      <c r="B1496" s="8">
        <v>0.6333333333333333</v>
      </c>
      <c r="C1496" s="18" t="str">
        <f>"FES1162728469"</f>
        <v>FES1162728469</v>
      </c>
      <c r="D1496" s="18" t="s">
        <v>19</v>
      </c>
      <c r="E1496" s="18" t="s">
        <v>621</v>
      </c>
      <c r="F1496" s="18" t="str">
        <f>"217071371 "</f>
        <v xml:space="preserve">217071371 </v>
      </c>
      <c r="G1496" s="18" t="str">
        <f t="shared" si="40"/>
        <v>ON1</v>
      </c>
      <c r="H1496" s="18" t="s">
        <v>21</v>
      </c>
      <c r="I1496" s="18" t="s">
        <v>161</v>
      </c>
      <c r="J1496" s="18" t="str">
        <f>""</f>
        <v/>
      </c>
      <c r="K1496" s="18" t="str">
        <f>"PFES1162728469_0001"</f>
        <v>PFES1162728469_0001</v>
      </c>
      <c r="L1496" s="18">
        <v>1</v>
      </c>
      <c r="M1496" s="18">
        <v>12</v>
      </c>
    </row>
    <row r="1497" spans="1:13">
      <c r="A1497" s="7">
        <v>43812</v>
      </c>
      <c r="B1497" s="8">
        <v>0.63263888888888886</v>
      </c>
      <c r="C1497" s="18" t="str">
        <f>"FES1162728315"</f>
        <v>FES1162728315</v>
      </c>
      <c r="D1497" s="18" t="s">
        <v>19</v>
      </c>
      <c r="E1497" s="18" t="s">
        <v>116</v>
      </c>
      <c r="F1497" s="18" t="str">
        <f>"2170719393 "</f>
        <v xml:space="preserve">2170719393 </v>
      </c>
      <c r="G1497" s="18" t="str">
        <f t="shared" si="40"/>
        <v>ON1</v>
      </c>
      <c r="H1497" s="18" t="s">
        <v>21</v>
      </c>
      <c r="I1497" s="18" t="s">
        <v>117</v>
      </c>
      <c r="J1497" s="18" t="str">
        <f>""</f>
        <v/>
      </c>
      <c r="K1497" s="18" t="str">
        <f>"PFES1162728315_0001"</f>
        <v>PFES1162728315_0001</v>
      </c>
      <c r="L1497" s="18">
        <v>1</v>
      </c>
      <c r="M1497" s="18">
        <v>9</v>
      </c>
    </row>
    <row r="1498" spans="1:13">
      <c r="A1498" s="7">
        <v>43812</v>
      </c>
      <c r="B1498" s="8">
        <v>0.63263888888888886</v>
      </c>
      <c r="C1498" s="18" t="str">
        <f>"FES1162728515"</f>
        <v>FES1162728515</v>
      </c>
      <c r="D1498" s="18" t="s">
        <v>19</v>
      </c>
      <c r="E1498" s="18" t="s">
        <v>748</v>
      </c>
      <c r="F1498" s="18" t="str">
        <f>"217071749 "</f>
        <v xml:space="preserve">217071749 </v>
      </c>
      <c r="G1498" s="18" t="str">
        <f t="shared" si="40"/>
        <v>ON1</v>
      </c>
      <c r="H1498" s="18" t="s">
        <v>21</v>
      </c>
      <c r="I1498" s="18" t="s">
        <v>54</v>
      </c>
      <c r="J1498" s="18" t="str">
        <f>""</f>
        <v/>
      </c>
      <c r="K1498" s="18" t="str">
        <f>"PFES1162728515_0001"</f>
        <v>PFES1162728515_0001</v>
      </c>
      <c r="L1498" s="18">
        <v>1</v>
      </c>
      <c r="M1498" s="18">
        <v>4</v>
      </c>
    </row>
    <row r="1499" spans="1:13">
      <c r="A1499" s="7">
        <v>43812</v>
      </c>
      <c r="B1499" s="8">
        <v>0.63194444444444442</v>
      </c>
      <c r="C1499" s="18" t="str">
        <f>"FES1162728497"</f>
        <v>FES1162728497</v>
      </c>
      <c r="D1499" s="18" t="s">
        <v>19</v>
      </c>
      <c r="E1499" s="18" t="s">
        <v>761</v>
      </c>
      <c r="F1499" s="18" t="str">
        <f>"2170719806 "</f>
        <v xml:space="preserve">2170719806 </v>
      </c>
      <c r="G1499" s="18" t="str">
        <f t="shared" si="40"/>
        <v>ON1</v>
      </c>
      <c r="H1499" s="18" t="s">
        <v>21</v>
      </c>
      <c r="I1499" s="18" t="s">
        <v>197</v>
      </c>
      <c r="J1499" s="18" t="str">
        <f>""</f>
        <v/>
      </c>
      <c r="K1499" s="18" t="str">
        <f>"PFES1162728497_0001"</f>
        <v>PFES1162728497_0001</v>
      </c>
      <c r="L1499" s="18">
        <v>1</v>
      </c>
      <c r="M1499" s="18">
        <v>22</v>
      </c>
    </row>
    <row r="1500" spans="1:13">
      <c r="A1500" s="7">
        <v>43812</v>
      </c>
      <c r="B1500" s="8">
        <v>0.63124999999999998</v>
      </c>
      <c r="C1500" s="18" t="str">
        <f>"FES1162728367"</f>
        <v>FES1162728367</v>
      </c>
      <c r="D1500" s="18" t="s">
        <v>19</v>
      </c>
      <c r="E1500" s="18" t="s">
        <v>239</v>
      </c>
      <c r="F1500" s="18" t="str">
        <f>"217071664 "</f>
        <v xml:space="preserve">217071664 </v>
      </c>
      <c r="G1500" s="18" t="str">
        <f t="shared" si="40"/>
        <v>ON1</v>
      </c>
      <c r="H1500" s="18" t="s">
        <v>21</v>
      </c>
      <c r="I1500" s="18" t="s">
        <v>175</v>
      </c>
      <c r="J1500" s="18" t="str">
        <f>""</f>
        <v/>
      </c>
      <c r="K1500" s="18" t="str">
        <f>"PFES1162728367_0001"</f>
        <v>PFES1162728367_0001</v>
      </c>
      <c r="L1500" s="18">
        <v>2</v>
      </c>
      <c r="M1500" s="18">
        <v>2</v>
      </c>
    </row>
    <row r="1501" spans="1:13">
      <c r="A1501" s="7">
        <v>43496</v>
      </c>
      <c r="B1501" s="8">
        <v>0.68194444444444446</v>
      </c>
      <c r="C1501" s="18" t="str">
        <f>"FES1162728367"</f>
        <v>FES1162728367</v>
      </c>
      <c r="D1501" s="18" t="s">
        <v>19</v>
      </c>
      <c r="E1501" s="18" t="s">
        <v>256</v>
      </c>
      <c r="F1501" s="18" t="str">
        <f>"2170672045 "</f>
        <v xml:space="preserve">2170672045 </v>
      </c>
      <c r="G1501" s="18" t="str">
        <f t="shared" si="40"/>
        <v>ON1</v>
      </c>
      <c r="H1501" s="18" t="s">
        <v>21</v>
      </c>
      <c r="I1501" s="18" t="s">
        <v>257</v>
      </c>
      <c r="J1501" s="18" t="str">
        <f>""</f>
        <v/>
      </c>
      <c r="K1501" s="18" t="str">
        <f>"PFES1162728367_0002"</f>
        <v>PFES1162728367_0002</v>
      </c>
      <c r="L1501" s="18">
        <v>1</v>
      </c>
      <c r="M1501" s="18">
        <v>5</v>
      </c>
    </row>
    <row r="1502" spans="1:13">
      <c r="A1502" s="7">
        <v>43812</v>
      </c>
      <c r="B1502" s="8">
        <v>0.63124999999999998</v>
      </c>
      <c r="C1502" s="18" t="str">
        <f>"FES1162728489"</f>
        <v>FES1162728489</v>
      </c>
      <c r="D1502" s="18" t="s">
        <v>19</v>
      </c>
      <c r="E1502" s="18" t="s">
        <v>397</v>
      </c>
      <c r="F1502" s="18" t="str">
        <f>"217071726 "</f>
        <v xml:space="preserve">217071726 </v>
      </c>
      <c r="G1502" s="18" t="str">
        <f t="shared" si="40"/>
        <v>ON1</v>
      </c>
      <c r="H1502" s="18" t="s">
        <v>21</v>
      </c>
      <c r="I1502" s="18" t="s">
        <v>398</v>
      </c>
      <c r="J1502" s="18" t="str">
        <f>""</f>
        <v/>
      </c>
      <c r="K1502" s="18" t="str">
        <f>"PFES1162728489_0001"</f>
        <v>PFES1162728489_0001</v>
      </c>
      <c r="L1502" s="18">
        <v>1</v>
      </c>
      <c r="M1502" s="18">
        <v>2</v>
      </c>
    </row>
    <row r="1503" spans="1:13">
      <c r="A1503" s="7">
        <v>43812</v>
      </c>
      <c r="B1503" s="8">
        <v>0.63055555555555554</v>
      </c>
      <c r="C1503" s="18" t="str">
        <f>"FES1162728451"</f>
        <v>FES1162728451</v>
      </c>
      <c r="D1503" s="18" t="s">
        <v>19</v>
      </c>
      <c r="E1503" s="18" t="s">
        <v>97</v>
      </c>
      <c r="F1503" s="18" t="str">
        <f>"2170718712 "</f>
        <v xml:space="preserve">2170718712 </v>
      </c>
      <c r="G1503" s="18" t="str">
        <f t="shared" si="40"/>
        <v>ON1</v>
      </c>
      <c r="H1503" s="18" t="s">
        <v>21</v>
      </c>
      <c r="I1503" s="18" t="s">
        <v>98</v>
      </c>
      <c r="J1503" s="18" t="str">
        <f>""</f>
        <v/>
      </c>
      <c r="K1503" s="18" t="str">
        <f>"PFES1162728451_0001"</f>
        <v>PFES1162728451_0001</v>
      </c>
      <c r="L1503" s="18">
        <v>1</v>
      </c>
      <c r="M1503" s="18">
        <v>2</v>
      </c>
    </row>
    <row r="1504" spans="1:13">
      <c r="A1504" s="7">
        <v>43812</v>
      </c>
      <c r="B1504" s="8">
        <v>0.63055555555555554</v>
      </c>
      <c r="C1504" s="18" t="str">
        <f>"FES1162728475"</f>
        <v>FES1162728475</v>
      </c>
      <c r="D1504" s="18" t="s">
        <v>19</v>
      </c>
      <c r="E1504" s="18" t="s">
        <v>205</v>
      </c>
      <c r="F1504" s="18" t="str">
        <f>"2170717132 "</f>
        <v xml:space="preserve">2170717132 </v>
      </c>
      <c r="G1504" s="18" t="str">
        <f t="shared" si="40"/>
        <v>ON1</v>
      </c>
      <c r="H1504" s="18" t="s">
        <v>21</v>
      </c>
      <c r="I1504" s="18" t="s">
        <v>206</v>
      </c>
      <c r="J1504" s="18" t="str">
        <f>""</f>
        <v/>
      </c>
      <c r="K1504" s="18" t="str">
        <f>"PFES1162728475_0001"</f>
        <v>PFES1162728475_0001</v>
      </c>
      <c r="L1504" s="18">
        <v>1</v>
      </c>
      <c r="M1504" s="18">
        <v>2</v>
      </c>
    </row>
    <row r="1505" spans="1:13">
      <c r="A1505" s="7">
        <v>43812</v>
      </c>
      <c r="B1505" s="8">
        <v>0.62986111111111109</v>
      </c>
      <c r="C1505" s="18" t="str">
        <f>"FES1162728503"</f>
        <v>FES1162728503</v>
      </c>
      <c r="D1505" s="18" t="s">
        <v>19</v>
      </c>
      <c r="E1505" s="18" t="s">
        <v>82</v>
      </c>
      <c r="F1505" s="18" t="str">
        <f>"217071736 "</f>
        <v xml:space="preserve">217071736 </v>
      </c>
      <c r="G1505" s="18" t="str">
        <f t="shared" si="40"/>
        <v>ON1</v>
      </c>
      <c r="H1505" s="18" t="s">
        <v>21</v>
      </c>
      <c r="I1505" s="18" t="s">
        <v>72</v>
      </c>
      <c r="J1505" s="18" t="str">
        <f>""</f>
        <v/>
      </c>
      <c r="K1505" s="18" t="str">
        <f>"PFES1162728503_0001"</f>
        <v>PFES1162728503_0001</v>
      </c>
      <c r="L1505" s="18">
        <v>1</v>
      </c>
      <c r="M1505" s="18">
        <v>1</v>
      </c>
    </row>
    <row r="1506" spans="1:13">
      <c r="A1506" s="7">
        <v>43812</v>
      </c>
      <c r="B1506" s="8">
        <v>0.62986111111111109</v>
      </c>
      <c r="C1506" s="18" t="str">
        <f>"FES1162728476"</f>
        <v>FES1162728476</v>
      </c>
      <c r="D1506" s="18" t="s">
        <v>19</v>
      </c>
      <c r="E1506" s="18" t="s">
        <v>737</v>
      </c>
      <c r="F1506" s="18" t="str">
        <f>"2170721715 "</f>
        <v xml:space="preserve">2170721715 </v>
      </c>
      <c r="G1506" s="18" t="str">
        <f t="shared" si="40"/>
        <v>ON1</v>
      </c>
      <c r="H1506" s="18" t="s">
        <v>21</v>
      </c>
      <c r="I1506" s="18" t="s">
        <v>72</v>
      </c>
      <c r="J1506" s="18" t="str">
        <f>""</f>
        <v/>
      </c>
      <c r="K1506" s="18" t="str">
        <f>"PFES1162728476_0001"</f>
        <v>PFES1162728476_0001</v>
      </c>
      <c r="L1506" s="18">
        <v>1</v>
      </c>
      <c r="M1506" s="18">
        <v>1</v>
      </c>
    </row>
    <row r="1507" spans="1:13">
      <c r="A1507" s="7">
        <v>43812</v>
      </c>
      <c r="B1507" s="8">
        <v>0.62916666666666665</v>
      </c>
      <c r="C1507" s="18" t="str">
        <f>"FES1162728490"</f>
        <v>FES1162728490</v>
      </c>
      <c r="D1507" s="18" t="s">
        <v>19</v>
      </c>
      <c r="E1507" s="18" t="s">
        <v>53</v>
      </c>
      <c r="F1507" s="18" t="str">
        <f>"21707212721 "</f>
        <v xml:space="preserve">21707212721 </v>
      </c>
      <c r="G1507" s="18" t="str">
        <f t="shared" si="40"/>
        <v>ON1</v>
      </c>
      <c r="H1507" s="18" t="s">
        <v>21</v>
      </c>
      <c r="I1507" s="18" t="s">
        <v>54</v>
      </c>
      <c r="J1507" s="18" t="str">
        <f>""</f>
        <v/>
      </c>
      <c r="K1507" s="18" t="str">
        <f>"PFES1162728490_0001"</f>
        <v>PFES1162728490_0001</v>
      </c>
      <c r="L1507" s="18">
        <v>1</v>
      </c>
      <c r="M1507" s="18">
        <v>1</v>
      </c>
    </row>
    <row r="1508" spans="1:13">
      <c r="A1508" s="7">
        <v>43812</v>
      </c>
      <c r="B1508" s="8">
        <v>0.62847222222222221</v>
      </c>
      <c r="C1508" s="18" t="str">
        <f>"FES1162728340"</f>
        <v>FES1162728340</v>
      </c>
      <c r="D1508" s="18" t="s">
        <v>19</v>
      </c>
      <c r="E1508" s="18" t="s">
        <v>44</v>
      </c>
      <c r="F1508" s="18" t="str">
        <f>"217071794 "</f>
        <v xml:space="preserve">217071794 </v>
      </c>
      <c r="G1508" s="18" t="str">
        <f t="shared" si="40"/>
        <v>ON1</v>
      </c>
      <c r="H1508" s="18" t="s">
        <v>21</v>
      </c>
      <c r="I1508" s="18" t="s">
        <v>45</v>
      </c>
      <c r="J1508" s="18" t="str">
        <f>""</f>
        <v/>
      </c>
      <c r="K1508" s="18" t="str">
        <f>"PFES1162728340_0001"</f>
        <v>PFES1162728340_0001</v>
      </c>
      <c r="L1508" s="18">
        <v>1</v>
      </c>
      <c r="M1508" s="18">
        <v>1</v>
      </c>
    </row>
    <row r="1509" spans="1:13">
      <c r="A1509" s="7">
        <v>43812</v>
      </c>
      <c r="B1509" s="8">
        <v>0.62847222222222221</v>
      </c>
      <c r="C1509" s="18" t="str">
        <f>"FES1162728392"</f>
        <v>FES1162728392</v>
      </c>
      <c r="D1509" s="18" t="s">
        <v>19</v>
      </c>
      <c r="E1509" s="18" t="s">
        <v>105</v>
      </c>
      <c r="F1509" s="18" t="str">
        <f>"2170718148 "</f>
        <v xml:space="preserve">2170718148 </v>
      </c>
      <c r="G1509" s="18" t="str">
        <f t="shared" si="40"/>
        <v>ON1</v>
      </c>
      <c r="H1509" s="18" t="s">
        <v>21</v>
      </c>
      <c r="I1509" s="18" t="s">
        <v>106</v>
      </c>
      <c r="J1509" s="18" t="str">
        <f>""</f>
        <v/>
      </c>
      <c r="K1509" s="18" t="str">
        <f>"PFES1162728392_0001"</f>
        <v>PFES1162728392_0001</v>
      </c>
      <c r="L1509" s="18">
        <v>1</v>
      </c>
      <c r="M1509" s="18">
        <v>1</v>
      </c>
    </row>
    <row r="1510" spans="1:13">
      <c r="A1510" s="7">
        <v>43812</v>
      </c>
      <c r="B1510" s="8">
        <v>0.62777777777777777</v>
      </c>
      <c r="C1510" s="18" t="str">
        <f>"FES1162728434"</f>
        <v>FES1162728434</v>
      </c>
      <c r="D1510" s="18" t="s">
        <v>19</v>
      </c>
      <c r="E1510" s="18" t="s">
        <v>215</v>
      </c>
      <c r="F1510" s="18" t="str">
        <f>"2170719952 "</f>
        <v xml:space="preserve">2170719952 </v>
      </c>
      <c r="G1510" s="18" t="str">
        <f t="shared" si="40"/>
        <v>ON1</v>
      </c>
      <c r="H1510" s="18" t="s">
        <v>21</v>
      </c>
      <c r="I1510" s="18" t="s">
        <v>216</v>
      </c>
      <c r="J1510" s="18" t="str">
        <f>""</f>
        <v/>
      </c>
      <c r="K1510" s="18" t="str">
        <f>"PFES1162728434_0001"</f>
        <v>PFES1162728434_0001</v>
      </c>
      <c r="L1510" s="18">
        <v>1</v>
      </c>
      <c r="M1510" s="18">
        <v>1</v>
      </c>
    </row>
    <row r="1511" spans="1:13">
      <c r="A1511" s="7">
        <v>43812</v>
      </c>
      <c r="B1511" s="8">
        <v>0.62777777777777777</v>
      </c>
      <c r="C1511" s="18" t="str">
        <f>"FES1162728433"</f>
        <v>FES1162728433</v>
      </c>
      <c r="D1511" s="18" t="s">
        <v>19</v>
      </c>
      <c r="E1511" s="18" t="s">
        <v>101</v>
      </c>
      <c r="F1511" s="18" t="str">
        <f>"2170719594 "</f>
        <v xml:space="preserve">2170719594 </v>
      </c>
      <c r="G1511" s="18" t="str">
        <f t="shared" si="40"/>
        <v>ON1</v>
      </c>
      <c r="H1511" s="18" t="s">
        <v>21</v>
      </c>
      <c r="I1511" s="18" t="s">
        <v>102</v>
      </c>
      <c r="J1511" s="18" t="str">
        <f>""</f>
        <v/>
      </c>
      <c r="K1511" s="18" t="str">
        <f>"PFES1162728433_0001"</f>
        <v>PFES1162728433_0001</v>
      </c>
      <c r="L1511" s="18">
        <v>1</v>
      </c>
      <c r="M1511" s="18">
        <v>1</v>
      </c>
    </row>
    <row r="1512" spans="1:13">
      <c r="A1512" s="7">
        <v>43812</v>
      </c>
      <c r="B1512" s="8">
        <v>0.62777777777777777</v>
      </c>
      <c r="C1512" s="18" t="str">
        <f>"FES1162728333"</f>
        <v>FES1162728333</v>
      </c>
      <c r="D1512" s="18" t="s">
        <v>19</v>
      </c>
      <c r="E1512" s="18" t="s">
        <v>148</v>
      </c>
      <c r="F1512" s="18" t="str">
        <f>"21707120005 "</f>
        <v xml:space="preserve">21707120005 </v>
      </c>
      <c r="G1512" s="18" t="str">
        <f t="shared" si="40"/>
        <v>ON1</v>
      </c>
      <c r="H1512" s="18" t="s">
        <v>21</v>
      </c>
      <c r="I1512" s="18" t="s">
        <v>41</v>
      </c>
      <c r="J1512" s="18" t="str">
        <f>""</f>
        <v/>
      </c>
      <c r="K1512" s="18" t="str">
        <f>"PFES1162728333_0001"</f>
        <v>PFES1162728333_0001</v>
      </c>
      <c r="L1512" s="18">
        <v>1</v>
      </c>
      <c r="M1512" s="18">
        <v>1</v>
      </c>
    </row>
    <row r="1513" spans="1:13">
      <c r="A1513" s="7">
        <v>43812</v>
      </c>
      <c r="B1513" s="8">
        <v>0.62708333333333333</v>
      </c>
      <c r="C1513" s="18" t="str">
        <f>"FES1162728336"</f>
        <v>FES1162728336</v>
      </c>
      <c r="D1513" s="18" t="s">
        <v>19</v>
      </c>
      <c r="E1513" s="18" t="s">
        <v>416</v>
      </c>
      <c r="F1513" s="18" t="str">
        <f>"21707120223 "</f>
        <v xml:space="preserve">21707120223 </v>
      </c>
      <c r="G1513" s="18" t="str">
        <f t="shared" si="40"/>
        <v>ON1</v>
      </c>
      <c r="H1513" s="18" t="s">
        <v>21</v>
      </c>
      <c r="I1513" s="18" t="s">
        <v>45</v>
      </c>
      <c r="J1513" s="18" t="str">
        <f>""</f>
        <v/>
      </c>
      <c r="K1513" s="18" t="str">
        <f>"PFES1162728336_0001"</f>
        <v>PFES1162728336_0001</v>
      </c>
      <c r="L1513" s="18">
        <v>1</v>
      </c>
      <c r="M1513" s="18">
        <v>1</v>
      </c>
    </row>
    <row r="1514" spans="1:13">
      <c r="A1514" s="7">
        <v>43812</v>
      </c>
      <c r="B1514" s="8">
        <v>0.62708333333333333</v>
      </c>
      <c r="C1514" s="18" t="str">
        <f>"FES1162728391"</f>
        <v>FES1162728391</v>
      </c>
      <c r="D1514" s="18" t="s">
        <v>19</v>
      </c>
      <c r="E1514" s="18" t="s">
        <v>474</v>
      </c>
      <c r="F1514" s="18" t="str">
        <f>"2170718005 "</f>
        <v xml:space="preserve">2170718005 </v>
      </c>
      <c r="G1514" s="18" t="str">
        <f t="shared" si="40"/>
        <v>ON1</v>
      </c>
      <c r="H1514" s="18" t="s">
        <v>21</v>
      </c>
      <c r="I1514" s="18" t="s">
        <v>136</v>
      </c>
      <c r="J1514" s="18" t="str">
        <f>""</f>
        <v/>
      </c>
      <c r="K1514" s="18" t="str">
        <f>"PFES1162728391_0001"</f>
        <v>PFES1162728391_0001</v>
      </c>
      <c r="L1514" s="18">
        <v>1</v>
      </c>
      <c r="M1514" s="18">
        <v>1</v>
      </c>
    </row>
    <row r="1515" spans="1:13">
      <c r="A1515" s="7">
        <v>43812</v>
      </c>
      <c r="B1515" s="8">
        <v>0.62638888888888888</v>
      </c>
      <c r="C1515" s="18" t="str">
        <f>"FES1162728512"</f>
        <v>FES1162728512</v>
      </c>
      <c r="D1515" s="18" t="s">
        <v>19</v>
      </c>
      <c r="E1515" s="18" t="s">
        <v>375</v>
      </c>
      <c r="F1515" s="18" t="str">
        <f>"217071746 "</f>
        <v xml:space="preserve">217071746 </v>
      </c>
      <c r="G1515" s="18" t="str">
        <f t="shared" si="40"/>
        <v>ON1</v>
      </c>
      <c r="H1515" s="18" t="s">
        <v>21</v>
      </c>
      <c r="I1515" s="18" t="s">
        <v>376</v>
      </c>
      <c r="J1515" s="18" t="str">
        <f>""</f>
        <v/>
      </c>
      <c r="K1515" s="18" t="str">
        <f>"PFES1162728512_0001"</f>
        <v>PFES1162728512_0001</v>
      </c>
      <c r="L1515" s="18">
        <v>1</v>
      </c>
      <c r="M1515" s="18">
        <v>1</v>
      </c>
    </row>
    <row r="1516" spans="1:13">
      <c r="A1516" s="7">
        <v>43812</v>
      </c>
      <c r="B1516" s="8">
        <v>0.62638888888888888</v>
      </c>
      <c r="C1516" s="18" t="str">
        <f>"FES1162728511"</f>
        <v>FES1162728511</v>
      </c>
      <c r="D1516" s="18" t="s">
        <v>19</v>
      </c>
      <c r="E1516" s="18" t="s">
        <v>762</v>
      </c>
      <c r="F1516" s="18" t="str">
        <f>"2170712137 "</f>
        <v xml:space="preserve">2170712137 </v>
      </c>
      <c r="G1516" s="18" t="str">
        <f t="shared" si="40"/>
        <v>ON1</v>
      </c>
      <c r="H1516" s="18" t="s">
        <v>21</v>
      </c>
      <c r="I1516" s="18" t="s">
        <v>763</v>
      </c>
      <c r="J1516" s="18" t="str">
        <f>""</f>
        <v/>
      </c>
      <c r="K1516" s="18" t="str">
        <f>"PFES1162728511_0001"</f>
        <v>PFES1162728511_0001</v>
      </c>
      <c r="L1516" s="18">
        <v>1</v>
      </c>
      <c r="M1516" s="18">
        <v>1</v>
      </c>
    </row>
    <row r="1517" spans="1:13">
      <c r="A1517" s="7">
        <v>43812</v>
      </c>
      <c r="B1517" s="8">
        <v>0.62638888888888888</v>
      </c>
      <c r="C1517" s="18" t="str">
        <f>"FES1162728478"</f>
        <v>FES1162728478</v>
      </c>
      <c r="D1517" s="18" t="s">
        <v>19</v>
      </c>
      <c r="E1517" s="18" t="s">
        <v>205</v>
      </c>
      <c r="F1517" s="18" t="str">
        <f>"2170721717 "</f>
        <v xml:space="preserve">2170721717 </v>
      </c>
      <c r="G1517" s="18" t="str">
        <f t="shared" si="40"/>
        <v>ON1</v>
      </c>
      <c r="H1517" s="18" t="s">
        <v>21</v>
      </c>
      <c r="I1517" s="18" t="s">
        <v>206</v>
      </c>
      <c r="J1517" s="18" t="str">
        <f>""</f>
        <v/>
      </c>
      <c r="K1517" s="18" t="str">
        <f>"PFES1162728478_0001"</f>
        <v>PFES1162728478_0001</v>
      </c>
      <c r="L1517" s="18">
        <v>1</v>
      </c>
      <c r="M1517" s="18">
        <v>1</v>
      </c>
    </row>
    <row r="1518" spans="1:13">
      <c r="A1518" s="7">
        <v>43812</v>
      </c>
      <c r="B1518" s="8">
        <v>0.62569444444444444</v>
      </c>
      <c r="C1518" s="18" t="str">
        <f>"FES1162728488"</f>
        <v>FES1162728488</v>
      </c>
      <c r="D1518" s="18" t="s">
        <v>19</v>
      </c>
      <c r="E1518" s="18" t="s">
        <v>764</v>
      </c>
      <c r="F1518" s="18" t="str">
        <f>"2170721711 "</f>
        <v xml:space="preserve">2170721711 </v>
      </c>
      <c r="G1518" s="18" t="str">
        <f t="shared" si="40"/>
        <v>ON1</v>
      </c>
      <c r="H1518" s="18" t="s">
        <v>21</v>
      </c>
      <c r="I1518" s="18" t="s">
        <v>58</v>
      </c>
      <c r="J1518" s="18" t="str">
        <f>""</f>
        <v/>
      </c>
      <c r="K1518" s="18" t="str">
        <f>"PFES1162728488_0001"</f>
        <v>PFES1162728488_0001</v>
      </c>
      <c r="L1518" s="18">
        <v>1</v>
      </c>
      <c r="M1518" s="18">
        <v>1</v>
      </c>
    </row>
    <row r="1519" spans="1:13">
      <c r="A1519" s="7">
        <v>43812</v>
      </c>
      <c r="B1519" s="8">
        <v>0.625</v>
      </c>
      <c r="C1519" s="18" t="str">
        <f>"FES1162728458"</f>
        <v>FES1162728458</v>
      </c>
      <c r="D1519" s="18" t="s">
        <v>19</v>
      </c>
      <c r="E1519" s="18" t="s">
        <v>765</v>
      </c>
      <c r="F1519" s="18" t="str">
        <f>"2170721961 "</f>
        <v xml:space="preserve">2170721961 </v>
      </c>
      <c r="G1519" s="18" t="str">
        <f t="shared" si="40"/>
        <v>ON1</v>
      </c>
      <c r="H1519" s="18" t="s">
        <v>21</v>
      </c>
      <c r="I1519" s="18" t="s">
        <v>346</v>
      </c>
      <c r="J1519" s="18" t="str">
        <f>""</f>
        <v/>
      </c>
      <c r="K1519" s="18" t="str">
        <f>"PFES1162728458_0001"</f>
        <v>PFES1162728458_0001</v>
      </c>
      <c r="L1519" s="18">
        <v>1</v>
      </c>
      <c r="M1519" s="18">
        <v>1</v>
      </c>
    </row>
    <row r="1520" spans="1:13">
      <c r="A1520" s="7">
        <v>43812</v>
      </c>
      <c r="B1520" s="8">
        <v>0.625</v>
      </c>
      <c r="C1520" s="18" t="str">
        <f>"FES1162728346"</f>
        <v>FES1162728346</v>
      </c>
      <c r="D1520" s="18" t="s">
        <v>19</v>
      </c>
      <c r="E1520" s="18" t="s">
        <v>766</v>
      </c>
      <c r="F1520" s="18" t="str">
        <f>"2170711071 "</f>
        <v xml:space="preserve">2170711071 </v>
      </c>
      <c r="G1520" s="18" t="str">
        <f t="shared" si="40"/>
        <v>ON1</v>
      </c>
      <c r="H1520" s="18" t="s">
        <v>21</v>
      </c>
      <c r="I1520" s="18" t="s">
        <v>557</v>
      </c>
      <c r="J1520" s="18" t="str">
        <f>""</f>
        <v/>
      </c>
      <c r="K1520" s="18" t="str">
        <f>"PFES1162728346_0001"</f>
        <v>PFES1162728346_0001</v>
      </c>
      <c r="L1520" s="18">
        <v>1</v>
      </c>
      <c r="M1520" s="18">
        <v>1</v>
      </c>
    </row>
    <row r="1521" spans="1:13">
      <c r="A1521" s="7">
        <v>43812</v>
      </c>
      <c r="B1521" s="8">
        <v>0.61736111111111114</v>
      </c>
      <c r="C1521" s="18" t="str">
        <f>"FES1162728411"</f>
        <v>FES1162728411</v>
      </c>
      <c r="D1521" s="18" t="s">
        <v>19</v>
      </c>
      <c r="E1521" s="18" t="s">
        <v>667</v>
      </c>
      <c r="F1521" s="18" t="str">
        <f>"2170718647 "</f>
        <v xml:space="preserve">2170718647 </v>
      </c>
      <c r="G1521" s="18" t="str">
        <f t="shared" si="40"/>
        <v>ON1</v>
      </c>
      <c r="H1521" s="18" t="s">
        <v>21</v>
      </c>
      <c r="I1521" s="18" t="s">
        <v>430</v>
      </c>
      <c r="J1521" s="18" t="str">
        <f>""</f>
        <v/>
      </c>
      <c r="K1521" s="18" t="str">
        <f>"PFES1162728411_0001"</f>
        <v>PFES1162728411_0001</v>
      </c>
      <c r="L1521" s="18">
        <v>1</v>
      </c>
      <c r="M1521" s="18">
        <v>4</v>
      </c>
    </row>
    <row r="1522" spans="1:13">
      <c r="A1522" s="7">
        <v>43812</v>
      </c>
      <c r="B1522" s="8">
        <v>0.6166666666666667</v>
      </c>
      <c r="C1522" s="18" t="str">
        <f>"FES1162728292"</f>
        <v>FES1162728292</v>
      </c>
      <c r="D1522" s="18" t="s">
        <v>19</v>
      </c>
      <c r="E1522" s="18" t="s">
        <v>260</v>
      </c>
      <c r="F1522" s="18" t="str">
        <f>"217071097 "</f>
        <v xml:space="preserve">217071097 </v>
      </c>
      <c r="G1522" s="18" t="str">
        <f t="shared" si="40"/>
        <v>ON1</v>
      </c>
      <c r="H1522" s="18" t="s">
        <v>21</v>
      </c>
      <c r="I1522" s="18" t="s">
        <v>216</v>
      </c>
      <c r="J1522" s="18" t="str">
        <f>""</f>
        <v/>
      </c>
      <c r="K1522" s="18" t="str">
        <f>"PFES1162728292_0001"</f>
        <v>PFES1162728292_0001</v>
      </c>
      <c r="L1522" s="18">
        <v>2</v>
      </c>
      <c r="M1522" s="18">
        <v>6</v>
      </c>
    </row>
    <row r="1523" spans="1:13">
      <c r="A1523" s="7">
        <v>43496</v>
      </c>
      <c r="B1523" s="8">
        <v>0.66249999999999998</v>
      </c>
      <c r="C1523" s="18" t="str">
        <f>"FES1162728292"</f>
        <v>FES1162728292</v>
      </c>
      <c r="D1523" s="18" t="s">
        <v>19</v>
      </c>
      <c r="E1523" s="18" t="s">
        <v>433</v>
      </c>
      <c r="F1523" s="18" t="str">
        <f>"2170671961 "</f>
        <v xml:space="preserve">2170671961 </v>
      </c>
      <c r="G1523" s="18" t="str">
        <f t="shared" si="40"/>
        <v>ON1</v>
      </c>
      <c r="H1523" s="18" t="s">
        <v>21</v>
      </c>
      <c r="I1523" s="18" t="s">
        <v>434</v>
      </c>
      <c r="J1523" s="18" t="str">
        <f>""</f>
        <v/>
      </c>
      <c r="K1523" s="18" t="str">
        <f>"PFES1162728292_0002"</f>
        <v>PFES1162728292_0002</v>
      </c>
      <c r="L1523" s="18">
        <v>1</v>
      </c>
      <c r="M1523" s="18">
        <v>1</v>
      </c>
    </row>
    <row r="1524" spans="1:13">
      <c r="A1524" s="7">
        <v>43812</v>
      </c>
      <c r="B1524" s="8">
        <v>0.6166666666666667</v>
      </c>
      <c r="C1524" s="18" t="str">
        <f>"FES1162728316"</f>
        <v>FES1162728316</v>
      </c>
      <c r="D1524" s="18" t="s">
        <v>19</v>
      </c>
      <c r="E1524" s="18" t="s">
        <v>292</v>
      </c>
      <c r="F1524" s="18" t="str">
        <f>"2170719414 "</f>
        <v xml:space="preserve">2170719414 </v>
      </c>
      <c r="G1524" s="18" t="str">
        <f t="shared" si="40"/>
        <v>ON1</v>
      </c>
      <c r="H1524" s="18" t="s">
        <v>21</v>
      </c>
      <c r="I1524" s="18" t="s">
        <v>78</v>
      </c>
      <c r="J1524" s="18" t="str">
        <f>""</f>
        <v/>
      </c>
      <c r="K1524" s="18" t="str">
        <f>"PFES1162728316_0001"</f>
        <v>PFES1162728316_0001</v>
      </c>
      <c r="L1524" s="18">
        <v>1</v>
      </c>
      <c r="M1524" s="18">
        <v>6</v>
      </c>
    </row>
    <row r="1525" spans="1:13">
      <c r="A1525" s="7">
        <v>43812</v>
      </c>
      <c r="B1525" s="8">
        <v>0.61597222222222225</v>
      </c>
      <c r="C1525" s="18" t="str">
        <f>"FES1162728393"</f>
        <v>FES1162728393</v>
      </c>
      <c r="D1525" s="18" t="s">
        <v>19</v>
      </c>
      <c r="E1525" s="18" t="s">
        <v>767</v>
      </c>
      <c r="F1525" s="18" t="str">
        <f>"2170712586 "</f>
        <v xml:space="preserve">2170712586 </v>
      </c>
      <c r="G1525" s="18" t="str">
        <f t="shared" si="40"/>
        <v>ON1</v>
      </c>
      <c r="H1525" s="18" t="s">
        <v>21</v>
      </c>
      <c r="I1525" s="18" t="s">
        <v>102</v>
      </c>
      <c r="J1525" s="18" t="str">
        <f>""</f>
        <v/>
      </c>
      <c r="K1525" s="18" t="str">
        <f>"PFES1162728393_0001"</f>
        <v>PFES1162728393_0001</v>
      </c>
      <c r="L1525" s="18">
        <v>1</v>
      </c>
      <c r="M1525" s="18">
        <v>9</v>
      </c>
    </row>
    <row r="1526" spans="1:13">
      <c r="A1526" s="7">
        <v>43812</v>
      </c>
      <c r="B1526" s="8">
        <v>0.61597222222222225</v>
      </c>
      <c r="C1526" s="18" t="str">
        <f>"FES1162728320"</f>
        <v>FES1162728320</v>
      </c>
      <c r="D1526" s="18" t="s">
        <v>19</v>
      </c>
      <c r="E1526" s="18" t="s">
        <v>120</v>
      </c>
      <c r="F1526" s="18" t="str">
        <f>"2170719512 "</f>
        <v xml:space="preserve">2170719512 </v>
      </c>
      <c r="G1526" s="18" t="str">
        <f t="shared" si="40"/>
        <v>ON1</v>
      </c>
      <c r="H1526" s="18" t="s">
        <v>21</v>
      </c>
      <c r="I1526" s="18" t="s">
        <v>121</v>
      </c>
      <c r="J1526" s="18" t="str">
        <f>""</f>
        <v/>
      </c>
      <c r="K1526" s="18" t="str">
        <f>"PFES1162728320_0001"</f>
        <v>PFES1162728320_0001</v>
      </c>
      <c r="L1526" s="18">
        <v>1</v>
      </c>
      <c r="M1526" s="18">
        <v>1</v>
      </c>
    </row>
    <row r="1527" spans="1:13">
      <c r="A1527" s="7">
        <v>43812</v>
      </c>
      <c r="B1527" s="8">
        <v>0.61597222222222225</v>
      </c>
      <c r="C1527" s="18" t="str">
        <f>"FES1162728485"</f>
        <v>FES1162728485</v>
      </c>
      <c r="D1527" s="18" t="s">
        <v>19</v>
      </c>
      <c r="E1527" s="18" t="s">
        <v>395</v>
      </c>
      <c r="F1527" s="18" t="str">
        <f>"2170718096 "</f>
        <v xml:space="preserve">2170718096 </v>
      </c>
      <c r="G1527" s="18" t="str">
        <f t="shared" si="40"/>
        <v>ON1</v>
      </c>
      <c r="H1527" s="18" t="s">
        <v>21</v>
      </c>
      <c r="I1527" s="18" t="s">
        <v>396</v>
      </c>
      <c r="J1527" s="18" t="str">
        <f>""</f>
        <v/>
      </c>
      <c r="K1527" s="18" t="str">
        <f>"PFES1162728485_0001"</f>
        <v>PFES1162728485_0001</v>
      </c>
      <c r="L1527" s="18">
        <v>1</v>
      </c>
      <c r="M1527" s="18">
        <v>2</v>
      </c>
    </row>
    <row r="1528" spans="1:13">
      <c r="A1528" s="7">
        <v>43812</v>
      </c>
      <c r="B1528" s="8">
        <v>0.61527777777777781</v>
      </c>
      <c r="C1528" s="18" t="str">
        <f>"FES1162728517"</f>
        <v>FES1162728517</v>
      </c>
      <c r="D1528" s="18" t="s">
        <v>19</v>
      </c>
      <c r="E1528" s="18" t="s">
        <v>42</v>
      </c>
      <c r="F1528" s="18" t="str">
        <f>"217071136 "</f>
        <v xml:space="preserve">217071136 </v>
      </c>
      <c r="G1528" s="18" t="str">
        <f t="shared" si="40"/>
        <v>ON1</v>
      </c>
      <c r="H1528" s="18" t="s">
        <v>21</v>
      </c>
      <c r="I1528" s="18" t="s">
        <v>43</v>
      </c>
      <c r="J1528" s="18" t="str">
        <f>""</f>
        <v/>
      </c>
      <c r="K1528" s="18" t="str">
        <f>"PFES1162728517_0001"</f>
        <v>PFES1162728517_0001</v>
      </c>
      <c r="L1528" s="18">
        <v>1</v>
      </c>
      <c r="M1528" s="18">
        <v>2</v>
      </c>
    </row>
    <row r="1529" spans="1:13">
      <c r="A1529" s="7">
        <v>43812</v>
      </c>
      <c r="B1529" s="8">
        <v>0.61527777777777781</v>
      </c>
      <c r="C1529" s="18" t="str">
        <f>"FES1162728472"</f>
        <v>FES1162728472</v>
      </c>
      <c r="D1529" s="18" t="s">
        <v>19</v>
      </c>
      <c r="E1529" s="18" t="s">
        <v>497</v>
      </c>
      <c r="F1529" s="18" t="str">
        <f>"2170719706 "</f>
        <v xml:space="preserve">2170719706 </v>
      </c>
      <c r="G1529" s="18" t="str">
        <f t="shared" si="40"/>
        <v>ON1</v>
      </c>
      <c r="H1529" s="18" t="s">
        <v>21</v>
      </c>
      <c r="I1529" s="18" t="s">
        <v>498</v>
      </c>
      <c r="J1529" s="18" t="str">
        <f>""</f>
        <v/>
      </c>
      <c r="K1529" s="18" t="str">
        <f>"PFES1162728472_0001"</f>
        <v>PFES1162728472_0001</v>
      </c>
      <c r="L1529" s="18">
        <v>1</v>
      </c>
      <c r="M1529" s="18">
        <v>5</v>
      </c>
    </row>
    <row r="1530" spans="1:13">
      <c r="A1530" s="7">
        <v>43812</v>
      </c>
      <c r="B1530" s="8">
        <v>0.61458333333333337</v>
      </c>
      <c r="C1530" s="18" t="str">
        <f>"FES1162728483"</f>
        <v>FES1162728483</v>
      </c>
      <c r="D1530" s="18" t="s">
        <v>19</v>
      </c>
      <c r="E1530" s="18" t="s">
        <v>768</v>
      </c>
      <c r="F1530" s="18" t="str">
        <f>"217071720 "</f>
        <v xml:space="preserve">217071720 </v>
      </c>
      <c r="G1530" s="18" t="str">
        <f t="shared" si="40"/>
        <v>ON1</v>
      </c>
      <c r="H1530" s="18" t="s">
        <v>21</v>
      </c>
      <c r="I1530" s="18" t="s">
        <v>72</v>
      </c>
      <c r="J1530" s="18" t="str">
        <f>""</f>
        <v/>
      </c>
      <c r="K1530" s="18" t="str">
        <f>"PFES1162728483_0001"</f>
        <v>PFES1162728483_0001</v>
      </c>
      <c r="L1530" s="18">
        <v>1</v>
      </c>
      <c r="M1530" s="18">
        <v>2</v>
      </c>
    </row>
    <row r="1531" spans="1:13">
      <c r="A1531" s="7">
        <v>43812</v>
      </c>
      <c r="B1531" s="8">
        <v>0.61458333333333337</v>
      </c>
      <c r="C1531" s="18" t="str">
        <f>"FES1162728328"</f>
        <v>FES1162728328</v>
      </c>
      <c r="D1531" s="18" t="s">
        <v>19</v>
      </c>
      <c r="E1531" s="18" t="s">
        <v>44</v>
      </c>
      <c r="F1531" s="18" t="str">
        <f>"2170719161 "</f>
        <v xml:space="preserve">2170719161 </v>
      </c>
      <c r="G1531" s="18" t="str">
        <f t="shared" si="40"/>
        <v>ON1</v>
      </c>
      <c r="H1531" s="18" t="s">
        <v>21</v>
      </c>
      <c r="I1531" s="18" t="s">
        <v>45</v>
      </c>
      <c r="J1531" s="18" t="str">
        <f>""</f>
        <v/>
      </c>
      <c r="K1531" s="18" t="str">
        <f>"PFES1162728328_0001"</f>
        <v>PFES1162728328_0001</v>
      </c>
      <c r="L1531" s="18">
        <v>1</v>
      </c>
      <c r="M1531" s="18">
        <v>7</v>
      </c>
    </row>
    <row r="1532" spans="1:13">
      <c r="A1532" s="7">
        <v>43812</v>
      </c>
      <c r="B1532" s="8">
        <v>0.61319444444444449</v>
      </c>
      <c r="C1532" s="18" t="str">
        <f>"FES1162728463"</f>
        <v>FES1162728463</v>
      </c>
      <c r="D1532" s="18" t="s">
        <v>19</v>
      </c>
      <c r="E1532" s="18" t="s">
        <v>279</v>
      </c>
      <c r="F1532" s="18" t="str">
        <f>"2170721700 "</f>
        <v xml:space="preserve">2170721700 </v>
      </c>
      <c r="G1532" s="18" t="str">
        <f t="shared" si="40"/>
        <v>ON1</v>
      </c>
      <c r="H1532" s="18" t="s">
        <v>21</v>
      </c>
      <c r="I1532" s="18" t="s">
        <v>70</v>
      </c>
      <c r="J1532" s="18" t="str">
        <f>"PLS SATURDAY DELIVER CONTACT,"</f>
        <v>PLS SATURDAY DELIVER CONTACT,</v>
      </c>
      <c r="K1532" s="18" t="str">
        <f>"PFES1162728463_0001"</f>
        <v>PFES1162728463_0001</v>
      </c>
      <c r="L1532" s="18">
        <v>1</v>
      </c>
      <c r="M1532" s="18">
        <v>1</v>
      </c>
    </row>
    <row r="1533" spans="1:13">
      <c r="A1533" s="7">
        <v>43812</v>
      </c>
      <c r="B1533" s="8">
        <v>0.61041666666666672</v>
      </c>
      <c r="C1533" s="18" t="str">
        <f>"FES1162728417"</f>
        <v>FES1162728417</v>
      </c>
      <c r="D1533" s="18" t="s">
        <v>19</v>
      </c>
      <c r="E1533" s="18" t="s">
        <v>534</v>
      </c>
      <c r="F1533" s="18" t="str">
        <f>"2170718764 "</f>
        <v xml:space="preserve">2170718764 </v>
      </c>
      <c r="G1533" s="18" t="str">
        <f t="shared" si="40"/>
        <v>ON1</v>
      </c>
      <c r="H1533" s="18" t="s">
        <v>21</v>
      </c>
      <c r="I1533" s="18" t="s">
        <v>535</v>
      </c>
      <c r="J1533" s="18" t="str">
        <f>""</f>
        <v/>
      </c>
      <c r="K1533" s="18" t="str">
        <f>"PFES1162728417_0001"</f>
        <v>PFES1162728417_0001</v>
      </c>
      <c r="L1533" s="18">
        <v>1</v>
      </c>
      <c r="M1533" s="18">
        <v>3</v>
      </c>
    </row>
    <row r="1534" spans="1:13">
      <c r="A1534" s="7">
        <v>43812</v>
      </c>
      <c r="B1534" s="8">
        <v>0.61041666666666672</v>
      </c>
      <c r="C1534" s="18" t="str">
        <f>"FES1162728396"</f>
        <v>FES1162728396</v>
      </c>
      <c r="D1534" s="18" t="s">
        <v>19</v>
      </c>
      <c r="E1534" s="18" t="s">
        <v>439</v>
      </c>
      <c r="F1534" s="18" t="str">
        <f>"2170718280 "</f>
        <v xml:space="preserve">2170718280 </v>
      </c>
      <c r="G1534" s="18" t="str">
        <f t="shared" si="40"/>
        <v>ON1</v>
      </c>
      <c r="H1534" s="18" t="s">
        <v>21</v>
      </c>
      <c r="I1534" s="18" t="s">
        <v>359</v>
      </c>
      <c r="J1534" s="18" t="str">
        <f>""</f>
        <v/>
      </c>
      <c r="K1534" s="18" t="str">
        <f>"PFES1162728396_0001"</f>
        <v>PFES1162728396_0001</v>
      </c>
      <c r="L1534" s="18">
        <v>1</v>
      </c>
      <c r="M1534" s="18">
        <v>1</v>
      </c>
    </row>
    <row r="1535" spans="1:13">
      <c r="A1535" s="7">
        <v>43812</v>
      </c>
      <c r="B1535" s="8">
        <v>0.60972222222222217</v>
      </c>
      <c r="C1535" s="18" t="str">
        <f>"FES1162728390"</f>
        <v>FES1162728390</v>
      </c>
      <c r="D1535" s="18" t="s">
        <v>19</v>
      </c>
      <c r="E1535" s="18" t="s">
        <v>324</v>
      </c>
      <c r="F1535" s="18" t="str">
        <f>"2170717791 "</f>
        <v xml:space="preserve">2170717791 </v>
      </c>
      <c r="G1535" s="18" t="str">
        <f t="shared" si="40"/>
        <v>ON1</v>
      </c>
      <c r="H1535" s="18" t="s">
        <v>21</v>
      </c>
      <c r="I1535" s="18" t="s">
        <v>325</v>
      </c>
      <c r="J1535" s="18" t="str">
        <f>""</f>
        <v/>
      </c>
      <c r="K1535" s="18" t="str">
        <f>"PFES1162728390_0001"</f>
        <v>PFES1162728390_0001</v>
      </c>
      <c r="L1535" s="18">
        <v>2</v>
      </c>
      <c r="M1535" s="18">
        <v>5</v>
      </c>
    </row>
    <row r="1536" spans="1:13">
      <c r="A1536" s="7">
        <v>43496</v>
      </c>
      <c r="B1536" s="8">
        <v>0.63263888888888886</v>
      </c>
      <c r="C1536" s="18" t="str">
        <f>"FES1162728390"</f>
        <v>FES1162728390</v>
      </c>
      <c r="D1536" s="18" t="s">
        <v>19</v>
      </c>
      <c r="E1536" s="18" t="s">
        <v>114</v>
      </c>
      <c r="F1536" s="18" t="str">
        <f>"2170671925 "</f>
        <v xml:space="preserve">2170671925 </v>
      </c>
      <c r="G1536" s="18" t="str">
        <f t="shared" si="40"/>
        <v>ON1</v>
      </c>
      <c r="H1536" s="18" t="s">
        <v>21</v>
      </c>
      <c r="I1536" s="18" t="s">
        <v>115</v>
      </c>
      <c r="J1536" s="18" t="str">
        <f>""</f>
        <v/>
      </c>
      <c r="K1536" s="18" t="str">
        <f>"PFES1162728390_0002"</f>
        <v>PFES1162728390_0002</v>
      </c>
      <c r="L1536" s="18">
        <v>1</v>
      </c>
      <c r="M1536" s="18">
        <v>2</v>
      </c>
    </row>
    <row r="1537" spans="1:13">
      <c r="A1537" s="7">
        <v>43812</v>
      </c>
      <c r="B1537" s="8">
        <v>0.60902777777777783</v>
      </c>
      <c r="C1537" s="18" t="str">
        <f>"FES1162728310"</f>
        <v>FES1162728310</v>
      </c>
      <c r="D1537" s="18" t="s">
        <v>19</v>
      </c>
      <c r="E1537" s="18" t="s">
        <v>42</v>
      </c>
      <c r="F1537" s="18" t="str">
        <f>"217071246 "</f>
        <v xml:space="preserve">217071246 </v>
      </c>
      <c r="G1537" s="18" t="str">
        <f t="shared" si="40"/>
        <v>ON1</v>
      </c>
      <c r="H1537" s="18" t="s">
        <v>21</v>
      </c>
      <c r="I1537" s="18" t="s">
        <v>43</v>
      </c>
      <c r="J1537" s="18" t="str">
        <f>""</f>
        <v/>
      </c>
      <c r="K1537" s="18" t="str">
        <f>"PFES1162728310_0001"</f>
        <v>PFES1162728310_0001</v>
      </c>
      <c r="L1537" s="18">
        <v>1</v>
      </c>
      <c r="M1537" s="18">
        <v>4</v>
      </c>
    </row>
    <row r="1538" spans="1:13">
      <c r="A1538" s="7">
        <v>43812</v>
      </c>
      <c r="B1538" s="8">
        <v>0.60902777777777783</v>
      </c>
      <c r="C1538" s="18" t="str">
        <f>"FES1162728401"</f>
        <v>FES1162728401</v>
      </c>
      <c r="D1538" s="18" t="s">
        <v>19</v>
      </c>
      <c r="E1538" s="18" t="s">
        <v>590</v>
      </c>
      <c r="F1538" s="18" t="str">
        <f>"2170718410 "</f>
        <v xml:space="preserve">2170718410 </v>
      </c>
      <c r="G1538" s="18" t="str">
        <f t="shared" si="40"/>
        <v>ON1</v>
      </c>
      <c r="H1538" s="18" t="s">
        <v>21</v>
      </c>
      <c r="I1538" s="18" t="s">
        <v>80</v>
      </c>
      <c r="J1538" s="18" t="str">
        <f>""</f>
        <v/>
      </c>
      <c r="K1538" s="18" t="str">
        <f>"PFES1162728401_0001"</f>
        <v>PFES1162728401_0001</v>
      </c>
      <c r="L1538" s="18">
        <v>1</v>
      </c>
      <c r="M1538" s="18">
        <v>8</v>
      </c>
    </row>
    <row r="1539" spans="1:13">
      <c r="A1539" s="7">
        <v>43812</v>
      </c>
      <c r="B1539" s="8">
        <v>0.60833333333333328</v>
      </c>
      <c r="C1539" s="18" t="str">
        <f>"FES1162728376"</f>
        <v>FES1162728376</v>
      </c>
      <c r="D1539" s="18" t="s">
        <v>19</v>
      </c>
      <c r="E1539" s="18" t="s">
        <v>94</v>
      </c>
      <c r="F1539" s="18" t="str">
        <f>"217071659 "</f>
        <v xml:space="preserve">217071659 </v>
      </c>
      <c r="G1539" s="18" t="str">
        <f t="shared" si="40"/>
        <v>ON1</v>
      </c>
      <c r="H1539" s="18" t="s">
        <v>21</v>
      </c>
      <c r="I1539" s="18" t="s">
        <v>95</v>
      </c>
      <c r="J1539" s="18" t="str">
        <f>""</f>
        <v/>
      </c>
      <c r="K1539" s="18" t="str">
        <f>"PFES1162728376_0001"</f>
        <v>PFES1162728376_0001</v>
      </c>
      <c r="L1539" s="18">
        <v>1</v>
      </c>
      <c r="M1539" s="18">
        <v>2</v>
      </c>
    </row>
    <row r="1540" spans="1:13">
      <c r="A1540" s="7">
        <v>43812</v>
      </c>
      <c r="B1540" s="8">
        <v>0.60833333333333328</v>
      </c>
      <c r="C1540" s="18" t="str">
        <f>"FES1162728290"</f>
        <v>FES1162728290</v>
      </c>
      <c r="D1540" s="18" t="s">
        <v>19</v>
      </c>
      <c r="E1540" s="18" t="s">
        <v>452</v>
      </c>
      <c r="F1540" s="18" t="str">
        <f>"217071632 "</f>
        <v xml:space="preserve">217071632 </v>
      </c>
      <c r="G1540" s="18" t="str">
        <f t="shared" si="40"/>
        <v>ON1</v>
      </c>
      <c r="H1540" s="18" t="s">
        <v>21</v>
      </c>
      <c r="I1540" s="18" t="s">
        <v>220</v>
      </c>
      <c r="J1540" s="18" t="str">
        <f>""</f>
        <v/>
      </c>
      <c r="K1540" s="18" t="str">
        <f>"PFES1162728290_0001"</f>
        <v>PFES1162728290_0001</v>
      </c>
      <c r="L1540" s="18">
        <v>1</v>
      </c>
      <c r="M1540" s="18">
        <v>1</v>
      </c>
    </row>
    <row r="1541" spans="1:13">
      <c r="A1541" s="7">
        <v>43812</v>
      </c>
      <c r="B1541" s="8">
        <v>0.60763888888888895</v>
      </c>
      <c r="C1541" s="18" t="str">
        <f>"FES1162728082"</f>
        <v>FES1162728082</v>
      </c>
      <c r="D1541" s="18" t="s">
        <v>19</v>
      </c>
      <c r="E1541" s="18" t="s">
        <v>75</v>
      </c>
      <c r="F1541" s="18" t="str">
        <f>"2170718366 "</f>
        <v xml:space="preserve">2170718366 </v>
      </c>
      <c r="G1541" s="18" t="str">
        <f t="shared" si="40"/>
        <v>ON1</v>
      </c>
      <c r="H1541" s="18" t="s">
        <v>21</v>
      </c>
      <c r="I1541" s="18" t="s">
        <v>76</v>
      </c>
      <c r="J1541" s="18" t="str">
        <f>""</f>
        <v/>
      </c>
      <c r="K1541" s="18" t="str">
        <f>"PFES1162728082_0001"</f>
        <v>PFES1162728082_0001</v>
      </c>
      <c r="L1541" s="18">
        <v>1</v>
      </c>
      <c r="M1541" s="18">
        <v>8</v>
      </c>
    </row>
    <row r="1542" spans="1:13">
      <c r="A1542" s="7">
        <v>43812</v>
      </c>
      <c r="B1542" s="8">
        <v>0.60763888888888895</v>
      </c>
      <c r="C1542" s="18" t="str">
        <f>"FES1162728266"</f>
        <v>FES1162728266</v>
      </c>
      <c r="D1542" s="18" t="s">
        <v>19</v>
      </c>
      <c r="E1542" s="18" t="s">
        <v>124</v>
      </c>
      <c r="F1542" s="18" t="str">
        <f>"217071544 "</f>
        <v xml:space="preserve">217071544 </v>
      </c>
      <c r="G1542" s="18" t="str">
        <f t="shared" si="40"/>
        <v>ON1</v>
      </c>
      <c r="H1542" s="18" t="s">
        <v>21</v>
      </c>
      <c r="I1542" s="18" t="s">
        <v>125</v>
      </c>
      <c r="J1542" s="18" t="str">
        <f>""</f>
        <v/>
      </c>
      <c r="K1542" s="18" t="str">
        <f>"PFES1162728266_0001"</f>
        <v>PFES1162728266_0001</v>
      </c>
      <c r="L1542" s="18">
        <v>1</v>
      </c>
      <c r="M1542" s="18">
        <v>7</v>
      </c>
    </row>
    <row r="1543" spans="1:13">
      <c r="A1543" s="7">
        <v>43812</v>
      </c>
      <c r="B1543" s="8">
        <v>0.6069444444444444</v>
      </c>
      <c r="C1543" s="18" t="str">
        <f>"FES1162728378"</f>
        <v>FES1162728378</v>
      </c>
      <c r="D1543" s="18" t="s">
        <v>19</v>
      </c>
      <c r="E1543" s="18" t="s">
        <v>126</v>
      </c>
      <c r="F1543" s="18" t="str">
        <f>"217071671 "</f>
        <v xml:space="preserve">217071671 </v>
      </c>
      <c r="G1543" s="18" t="str">
        <f t="shared" si="40"/>
        <v>ON1</v>
      </c>
      <c r="H1543" s="18" t="s">
        <v>21</v>
      </c>
      <c r="I1543" s="18" t="s">
        <v>27</v>
      </c>
      <c r="J1543" s="18" t="str">
        <f>""</f>
        <v/>
      </c>
      <c r="K1543" s="18" t="str">
        <f>"PFES1162728378_0001"</f>
        <v>PFES1162728378_0001</v>
      </c>
      <c r="L1543" s="18">
        <v>1</v>
      </c>
      <c r="M1543" s="18">
        <v>4</v>
      </c>
    </row>
    <row r="1544" spans="1:13">
      <c r="A1544" s="7">
        <v>43812</v>
      </c>
      <c r="B1544" s="8">
        <v>0.6069444444444444</v>
      </c>
      <c r="C1544" s="18" t="str">
        <f>"FES1162728359"</f>
        <v>FES1162728359</v>
      </c>
      <c r="D1544" s="18" t="s">
        <v>19</v>
      </c>
      <c r="E1544" s="18" t="s">
        <v>59</v>
      </c>
      <c r="F1544" s="18" t="str">
        <f>"217071655 "</f>
        <v xml:space="preserve">217071655 </v>
      </c>
      <c r="G1544" s="18" t="str">
        <f t="shared" si="40"/>
        <v>ON1</v>
      </c>
      <c r="H1544" s="18" t="s">
        <v>21</v>
      </c>
      <c r="I1544" s="18" t="s">
        <v>60</v>
      </c>
      <c r="J1544" s="18" t="str">
        <f>""</f>
        <v/>
      </c>
      <c r="K1544" s="18" t="str">
        <f>"PFES1162728359_0001"</f>
        <v>PFES1162728359_0001</v>
      </c>
      <c r="L1544" s="18">
        <v>1</v>
      </c>
      <c r="M1544" s="18">
        <v>1</v>
      </c>
    </row>
    <row r="1545" spans="1:13">
      <c r="A1545" s="7">
        <v>43812</v>
      </c>
      <c r="B1545" s="8">
        <v>0.6069444444444444</v>
      </c>
      <c r="C1545" s="18" t="str">
        <f>"FES1162728453"</f>
        <v>FES1162728453</v>
      </c>
      <c r="D1545" s="18" t="s">
        <v>19</v>
      </c>
      <c r="E1545" s="18" t="s">
        <v>439</v>
      </c>
      <c r="F1545" s="18" t="str">
        <f>"217071687 "</f>
        <v xml:space="preserve">217071687 </v>
      </c>
      <c r="G1545" s="18" t="str">
        <f t="shared" si="40"/>
        <v>ON1</v>
      </c>
      <c r="H1545" s="18" t="s">
        <v>21</v>
      </c>
      <c r="I1545" s="18" t="s">
        <v>359</v>
      </c>
      <c r="J1545" s="18" t="str">
        <f>""</f>
        <v/>
      </c>
      <c r="K1545" s="18" t="str">
        <f>"PFES1162728453_0001"</f>
        <v>PFES1162728453_0001</v>
      </c>
      <c r="L1545" s="18">
        <v>1</v>
      </c>
      <c r="M1545" s="18">
        <v>3</v>
      </c>
    </row>
    <row r="1546" spans="1:13">
      <c r="A1546" s="7">
        <v>43812</v>
      </c>
      <c r="B1546" s="8">
        <v>0.60625000000000007</v>
      </c>
      <c r="C1546" s="18" t="str">
        <f>"FES1162728454"</f>
        <v>FES1162728454</v>
      </c>
      <c r="D1546" s="18" t="s">
        <v>19</v>
      </c>
      <c r="E1546" s="18" t="s">
        <v>151</v>
      </c>
      <c r="F1546" s="18" t="str">
        <f>"217071688 "</f>
        <v xml:space="preserve">217071688 </v>
      </c>
      <c r="G1546" s="18" t="str">
        <f t="shared" si="40"/>
        <v>ON1</v>
      </c>
      <c r="H1546" s="18" t="s">
        <v>21</v>
      </c>
      <c r="I1546" s="18" t="s">
        <v>152</v>
      </c>
      <c r="J1546" s="18" t="str">
        <f>""</f>
        <v/>
      </c>
      <c r="K1546" s="18" t="str">
        <f>"PFES1162728454_0001"</f>
        <v>PFES1162728454_0001</v>
      </c>
      <c r="L1546" s="18">
        <v>1</v>
      </c>
      <c r="M1546" s="18">
        <v>7</v>
      </c>
    </row>
    <row r="1547" spans="1:13">
      <c r="A1547" s="7">
        <v>43812</v>
      </c>
      <c r="B1547" s="8">
        <v>0.60625000000000007</v>
      </c>
      <c r="C1547" s="18" t="str">
        <f>"FES1162728299"</f>
        <v>FES1162728299</v>
      </c>
      <c r="D1547" s="18" t="s">
        <v>19</v>
      </c>
      <c r="E1547" s="18" t="s">
        <v>769</v>
      </c>
      <c r="F1547" s="18" t="str">
        <f>"2170718263 "</f>
        <v xml:space="preserve">2170718263 </v>
      </c>
      <c r="G1547" s="18" t="str">
        <f t="shared" si="40"/>
        <v>ON1</v>
      </c>
      <c r="H1547" s="18" t="s">
        <v>21</v>
      </c>
      <c r="I1547" s="18" t="s">
        <v>770</v>
      </c>
      <c r="J1547" s="18" t="str">
        <f>""</f>
        <v/>
      </c>
      <c r="K1547" s="18" t="str">
        <f>"PFES1162728299_0001"</f>
        <v>PFES1162728299_0001</v>
      </c>
      <c r="L1547" s="18">
        <v>1</v>
      </c>
      <c r="M1547" s="18">
        <v>1</v>
      </c>
    </row>
    <row r="1548" spans="1:13">
      <c r="A1548" s="7">
        <v>43812</v>
      </c>
      <c r="B1548" s="8">
        <v>0.60625000000000007</v>
      </c>
      <c r="C1548" s="18" t="str">
        <f>"FES1162728429"</f>
        <v>FES1162728429</v>
      </c>
      <c r="D1548" s="18" t="s">
        <v>19</v>
      </c>
      <c r="E1548" s="18" t="s">
        <v>771</v>
      </c>
      <c r="F1548" s="18" t="str">
        <f>"2170719+214 "</f>
        <v xml:space="preserve">2170719+214 </v>
      </c>
      <c r="G1548" s="18" t="str">
        <f t="shared" si="40"/>
        <v>ON1</v>
      </c>
      <c r="H1548" s="18" t="s">
        <v>21</v>
      </c>
      <c r="I1548" s="18" t="s">
        <v>342</v>
      </c>
      <c r="J1548" s="18" t="str">
        <f>""</f>
        <v/>
      </c>
      <c r="K1548" s="18" t="str">
        <f>"PFES1162728429_0001"</f>
        <v>PFES1162728429_0001</v>
      </c>
      <c r="L1548" s="18">
        <v>1</v>
      </c>
      <c r="M1548" s="18">
        <v>1</v>
      </c>
    </row>
    <row r="1549" spans="1:13">
      <c r="A1549" s="7">
        <v>43812</v>
      </c>
      <c r="B1549" s="8">
        <v>0.60555555555555551</v>
      </c>
      <c r="C1549" s="18" t="str">
        <f>"FES1162728412"</f>
        <v>FES1162728412</v>
      </c>
      <c r="D1549" s="18" t="s">
        <v>19</v>
      </c>
      <c r="E1549" s="18" t="s">
        <v>513</v>
      </c>
      <c r="F1549" s="18" t="str">
        <f>"2170718653 "</f>
        <v xml:space="preserve">2170718653 </v>
      </c>
      <c r="G1549" s="18" t="str">
        <f t="shared" si="40"/>
        <v>ON1</v>
      </c>
      <c r="H1549" s="18" t="s">
        <v>21</v>
      </c>
      <c r="I1549" s="18" t="s">
        <v>514</v>
      </c>
      <c r="J1549" s="18" t="str">
        <f>""</f>
        <v/>
      </c>
      <c r="K1549" s="18" t="str">
        <f>"PFES1162728412_0001"</f>
        <v>PFES1162728412_0001</v>
      </c>
      <c r="L1549" s="18">
        <v>1</v>
      </c>
      <c r="M1549" s="18">
        <v>1</v>
      </c>
    </row>
    <row r="1550" spans="1:13">
      <c r="A1550" s="7">
        <v>43812</v>
      </c>
      <c r="B1550" s="8">
        <v>0.60486111111111118</v>
      </c>
      <c r="C1550" s="18" t="str">
        <f>"FES1162728387"</f>
        <v>FES1162728387</v>
      </c>
      <c r="D1550" s="18" t="s">
        <v>19</v>
      </c>
      <c r="E1550" s="18" t="s">
        <v>534</v>
      </c>
      <c r="F1550" s="18" t="str">
        <f>"2170716505 "</f>
        <v xml:space="preserve">2170716505 </v>
      </c>
      <c r="G1550" s="18" t="str">
        <f t="shared" si="40"/>
        <v>ON1</v>
      </c>
      <c r="H1550" s="18" t="s">
        <v>21</v>
      </c>
      <c r="I1550" s="18" t="s">
        <v>535</v>
      </c>
      <c r="J1550" s="18" t="str">
        <f>""</f>
        <v/>
      </c>
      <c r="K1550" s="18" t="str">
        <f>"PFES1162728387_0001"</f>
        <v>PFES1162728387_0001</v>
      </c>
      <c r="L1550" s="18">
        <v>1</v>
      </c>
      <c r="M1550" s="18">
        <v>1</v>
      </c>
    </row>
    <row r="1551" spans="1:13">
      <c r="A1551" s="7">
        <v>43812</v>
      </c>
      <c r="B1551" s="8">
        <v>0.60486111111111118</v>
      </c>
      <c r="C1551" s="18" t="str">
        <f>"FES1162728311"</f>
        <v>FES1162728311</v>
      </c>
      <c r="D1551" s="18" t="s">
        <v>19</v>
      </c>
      <c r="E1551" s="18" t="s">
        <v>159</v>
      </c>
      <c r="F1551" s="18" t="str">
        <f>"2170719268 "</f>
        <v xml:space="preserve">2170719268 </v>
      </c>
      <c r="G1551" s="18" t="str">
        <f t="shared" si="40"/>
        <v>ON1</v>
      </c>
      <c r="H1551" s="18" t="s">
        <v>21</v>
      </c>
      <c r="I1551" s="18" t="s">
        <v>54</v>
      </c>
      <c r="J1551" s="18" t="str">
        <f>""</f>
        <v/>
      </c>
      <c r="K1551" s="18" t="str">
        <f>"PFES1162728311_0001"</f>
        <v>PFES1162728311_0001</v>
      </c>
      <c r="L1551" s="18">
        <v>1</v>
      </c>
      <c r="M1551" s="18">
        <v>1</v>
      </c>
    </row>
    <row r="1552" spans="1:13">
      <c r="A1552" s="7">
        <v>43812</v>
      </c>
      <c r="B1552" s="8">
        <v>0.60416666666666663</v>
      </c>
      <c r="C1552" s="18" t="str">
        <f>"FES1162728424"</f>
        <v>FES1162728424</v>
      </c>
      <c r="D1552" s="18" t="s">
        <v>19</v>
      </c>
      <c r="E1552" s="18" t="s">
        <v>772</v>
      </c>
      <c r="F1552" s="18" t="str">
        <f>"2170718961 "</f>
        <v xml:space="preserve">2170718961 </v>
      </c>
      <c r="G1552" s="18" t="str">
        <f t="shared" si="40"/>
        <v>ON1</v>
      </c>
      <c r="H1552" s="18" t="s">
        <v>21</v>
      </c>
      <c r="I1552" s="18" t="s">
        <v>773</v>
      </c>
      <c r="J1552" s="18" t="str">
        <f>""</f>
        <v/>
      </c>
      <c r="K1552" s="18" t="str">
        <f>"PFES1162728424_0001"</f>
        <v>PFES1162728424_0001</v>
      </c>
      <c r="L1552" s="18">
        <v>1</v>
      </c>
      <c r="M1552" s="18">
        <v>1</v>
      </c>
    </row>
    <row r="1553" spans="1:13">
      <c r="A1553" s="7">
        <v>43812</v>
      </c>
      <c r="B1553" s="8">
        <v>0.60416666666666663</v>
      </c>
      <c r="C1553" s="18" t="str">
        <f>"FES1162728439"</f>
        <v>FES1162728439</v>
      </c>
      <c r="D1553" s="18" t="s">
        <v>19</v>
      </c>
      <c r="E1553" s="18" t="s">
        <v>460</v>
      </c>
      <c r="F1553" s="18" t="str">
        <f>"2170720959 "</f>
        <v xml:space="preserve">2170720959 </v>
      </c>
      <c r="G1553" s="18" t="str">
        <f t="shared" si="40"/>
        <v>ON1</v>
      </c>
      <c r="H1553" s="18" t="s">
        <v>21</v>
      </c>
      <c r="I1553" s="18" t="s">
        <v>175</v>
      </c>
      <c r="J1553" s="18" t="str">
        <f>""</f>
        <v/>
      </c>
      <c r="K1553" s="18" t="str">
        <f>"PFES1162728439_0001"</f>
        <v>PFES1162728439_0001</v>
      </c>
      <c r="L1553" s="18">
        <v>1</v>
      </c>
      <c r="M1553" s="18">
        <v>1</v>
      </c>
    </row>
    <row r="1554" spans="1:13">
      <c r="A1554" s="7">
        <v>43812</v>
      </c>
      <c r="B1554" s="8">
        <v>0.60347222222222219</v>
      </c>
      <c r="C1554" s="18" t="str">
        <f>"FES010997745705"</f>
        <v>FES010997745705</v>
      </c>
      <c r="D1554" s="18" t="s">
        <v>19</v>
      </c>
      <c r="E1554" s="18" t="s">
        <v>173</v>
      </c>
      <c r="F1554" s="18" t="str">
        <f>"21707210851 "</f>
        <v xml:space="preserve">21707210851 </v>
      </c>
      <c r="G1554" s="18" t="str">
        <f t="shared" si="40"/>
        <v>ON1</v>
      </c>
      <c r="H1554" s="18" t="s">
        <v>21</v>
      </c>
      <c r="I1554" s="18" t="s">
        <v>130</v>
      </c>
      <c r="J1554" s="18" t="str">
        <f>""</f>
        <v/>
      </c>
      <c r="K1554" s="18" t="str">
        <f>"PFES010997745705_0001"</f>
        <v>PFES010997745705_0001</v>
      </c>
      <c r="L1554" s="18">
        <v>1</v>
      </c>
      <c r="M1554" s="18">
        <v>1</v>
      </c>
    </row>
    <row r="1555" spans="1:13">
      <c r="A1555" s="7">
        <v>43812</v>
      </c>
      <c r="B1555" s="8">
        <v>0.60347222222222219</v>
      </c>
      <c r="C1555" s="18" t="str">
        <f>"FES1162728277"</f>
        <v>FES1162728277</v>
      </c>
      <c r="D1555" s="18" t="s">
        <v>19</v>
      </c>
      <c r="E1555" s="18" t="s">
        <v>96</v>
      </c>
      <c r="F1555" s="18" t="str">
        <f>"21707161271 "</f>
        <v xml:space="preserve">21707161271 </v>
      </c>
      <c r="G1555" s="18" t="str">
        <f t="shared" si="40"/>
        <v>ON1</v>
      </c>
      <c r="H1555" s="18" t="s">
        <v>21</v>
      </c>
      <c r="I1555" s="18" t="s">
        <v>56</v>
      </c>
      <c r="J1555" s="18" t="str">
        <f>""</f>
        <v/>
      </c>
      <c r="K1555" s="18" t="str">
        <f>"PFES1162728277_0001"</f>
        <v>PFES1162728277_0001</v>
      </c>
      <c r="L1555" s="18">
        <v>1</v>
      </c>
      <c r="M1555" s="18">
        <v>1</v>
      </c>
    </row>
    <row r="1556" spans="1:13">
      <c r="A1556" s="7">
        <v>43812</v>
      </c>
      <c r="B1556" s="8">
        <v>0.60277777777777775</v>
      </c>
      <c r="C1556" s="18" t="str">
        <f>"FES1162728303"</f>
        <v>FES1162728303</v>
      </c>
      <c r="D1556" s="18" t="s">
        <v>19</v>
      </c>
      <c r="E1556" s="18" t="s">
        <v>203</v>
      </c>
      <c r="F1556" s="18" t="str">
        <f>"2170719001 "</f>
        <v xml:space="preserve">2170719001 </v>
      </c>
      <c r="G1556" s="18" t="str">
        <f t="shared" ref="G1556:G1603" si="41">"ON1"</f>
        <v>ON1</v>
      </c>
      <c r="H1556" s="18" t="s">
        <v>21</v>
      </c>
      <c r="I1556" s="18" t="s">
        <v>204</v>
      </c>
      <c r="J1556" s="18" t="str">
        <f>""</f>
        <v/>
      </c>
      <c r="K1556" s="18" t="str">
        <f>"PFES1162728303_0001"</f>
        <v>PFES1162728303_0001</v>
      </c>
      <c r="L1556" s="18">
        <v>1</v>
      </c>
      <c r="M1556" s="18">
        <v>1</v>
      </c>
    </row>
    <row r="1557" spans="1:13">
      <c r="A1557" s="7">
        <v>43812</v>
      </c>
      <c r="B1557" s="8">
        <v>0.60277777777777775</v>
      </c>
      <c r="C1557" s="18" t="str">
        <f>"FES1162728449"</f>
        <v>FES1162728449</v>
      </c>
      <c r="D1557" s="18" t="s">
        <v>19</v>
      </c>
      <c r="E1557" s="18" t="s">
        <v>774</v>
      </c>
      <c r="F1557" s="18" t="str">
        <f>"2170712106 "</f>
        <v xml:space="preserve">2170712106 </v>
      </c>
      <c r="G1557" s="18" t="str">
        <f t="shared" si="41"/>
        <v>ON1</v>
      </c>
      <c r="H1557" s="18" t="s">
        <v>21</v>
      </c>
      <c r="I1557" s="18" t="s">
        <v>775</v>
      </c>
      <c r="J1557" s="18" t="str">
        <f>""</f>
        <v/>
      </c>
      <c r="K1557" s="18" t="str">
        <f>"PFES1162728449_0001"</f>
        <v>PFES1162728449_0001</v>
      </c>
      <c r="L1557" s="18">
        <v>1</v>
      </c>
      <c r="M1557" s="18">
        <v>1</v>
      </c>
    </row>
    <row r="1558" spans="1:13">
      <c r="A1558" s="7">
        <v>43812</v>
      </c>
      <c r="B1558" s="8">
        <v>0.6020833333333333</v>
      </c>
      <c r="C1558" s="18" t="str">
        <f>"FES1162728321"</f>
        <v>FES1162728321</v>
      </c>
      <c r="D1558" s="18" t="s">
        <v>19</v>
      </c>
      <c r="E1558" s="18" t="s">
        <v>776</v>
      </c>
      <c r="F1558" s="18" t="str">
        <f>"2170719538 "</f>
        <v xml:space="preserve">2170719538 </v>
      </c>
      <c r="G1558" s="18" t="str">
        <f t="shared" si="41"/>
        <v>ON1</v>
      </c>
      <c r="H1558" s="18" t="s">
        <v>21</v>
      </c>
      <c r="I1558" s="18" t="s">
        <v>85</v>
      </c>
      <c r="J1558" s="18" t="str">
        <f>""</f>
        <v/>
      </c>
      <c r="K1558" s="18" t="str">
        <f>"PFES1162728321_0001"</f>
        <v>PFES1162728321_0001</v>
      </c>
      <c r="L1558" s="18">
        <v>1</v>
      </c>
      <c r="M1558" s="18">
        <v>1</v>
      </c>
    </row>
    <row r="1559" spans="1:13">
      <c r="A1559" s="7">
        <v>43812</v>
      </c>
      <c r="B1559" s="8">
        <v>0.6020833333333333</v>
      </c>
      <c r="C1559" s="18" t="str">
        <f>"FES1162728295"</f>
        <v>FES1162728295</v>
      </c>
      <c r="D1559" s="18" t="s">
        <v>19</v>
      </c>
      <c r="E1559" s="18" t="s">
        <v>777</v>
      </c>
      <c r="F1559" s="18" t="str">
        <f>"2170716321 "</f>
        <v xml:space="preserve">2170716321 </v>
      </c>
      <c r="G1559" s="18" t="str">
        <f t="shared" si="41"/>
        <v>ON1</v>
      </c>
      <c r="H1559" s="18" t="s">
        <v>21</v>
      </c>
      <c r="I1559" s="18" t="s">
        <v>87</v>
      </c>
      <c r="J1559" s="18" t="str">
        <f>""</f>
        <v/>
      </c>
      <c r="K1559" s="18" t="str">
        <f>"PFES1162728295_0001"</f>
        <v>PFES1162728295_0001</v>
      </c>
      <c r="L1559" s="18">
        <v>1</v>
      </c>
      <c r="M1559" s="18">
        <v>1</v>
      </c>
    </row>
    <row r="1560" spans="1:13">
      <c r="A1560" s="7">
        <v>43812</v>
      </c>
      <c r="B1560" s="8">
        <v>0.6020833333333333</v>
      </c>
      <c r="C1560" s="18" t="str">
        <f>"FES1162728287"</f>
        <v>FES1162728287</v>
      </c>
      <c r="D1560" s="18" t="s">
        <v>19</v>
      </c>
      <c r="E1560" s="18" t="s">
        <v>462</v>
      </c>
      <c r="F1560" s="18" t="str">
        <f>"21707121630 "</f>
        <v xml:space="preserve">21707121630 </v>
      </c>
      <c r="G1560" s="18" t="str">
        <f t="shared" si="41"/>
        <v>ON1</v>
      </c>
      <c r="H1560" s="18" t="s">
        <v>21</v>
      </c>
      <c r="I1560" s="18" t="s">
        <v>463</v>
      </c>
      <c r="J1560" s="18" t="str">
        <f>""</f>
        <v/>
      </c>
      <c r="K1560" s="18" t="str">
        <f>"PFES1162728287_0001"</f>
        <v>PFES1162728287_0001</v>
      </c>
      <c r="L1560" s="18">
        <v>1</v>
      </c>
      <c r="M1560" s="18">
        <v>1</v>
      </c>
    </row>
    <row r="1561" spans="1:13">
      <c r="A1561" s="7">
        <v>43812</v>
      </c>
      <c r="B1561" s="8">
        <v>0.60138888888888886</v>
      </c>
      <c r="C1561" s="18" t="str">
        <f>"FES1162728284"</f>
        <v>FES1162728284</v>
      </c>
      <c r="D1561" s="18" t="s">
        <v>19</v>
      </c>
      <c r="E1561" s="18" t="s">
        <v>93</v>
      </c>
      <c r="F1561" s="18" t="str">
        <f>"2170716272 "</f>
        <v xml:space="preserve">2170716272 </v>
      </c>
      <c r="G1561" s="18" t="str">
        <f t="shared" si="41"/>
        <v>ON1</v>
      </c>
      <c r="H1561" s="18" t="s">
        <v>21</v>
      </c>
      <c r="I1561" s="18" t="s">
        <v>31</v>
      </c>
      <c r="J1561" s="18" t="str">
        <f>""</f>
        <v/>
      </c>
      <c r="K1561" s="18" t="str">
        <f>"PFES1162728284_0001"</f>
        <v>PFES1162728284_0001</v>
      </c>
      <c r="L1561" s="18">
        <v>1</v>
      </c>
      <c r="M1561" s="18">
        <v>1</v>
      </c>
    </row>
    <row r="1562" spans="1:13">
      <c r="A1562" s="7">
        <v>43812</v>
      </c>
      <c r="B1562" s="8">
        <v>0.60138888888888886</v>
      </c>
      <c r="C1562" s="18" t="str">
        <f>"FES1162728465"</f>
        <v>FES1162728465</v>
      </c>
      <c r="D1562" s="18" t="s">
        <v>19</v>
      </c>
      <c r="E1562" s="18" t="s">
        <v>59</v>
      </c>
      <c r="F1562" s="18" t="str">
        <f>"2170717203 "</f>
        <v xml:space="preserve">2170717203 </v>
      </c>
      <c r="G1562" s="18" t="str">
        <f t="shared" si="41"/>
        <v>ON1</v>
      </c>
      <c r="H1562" s="18" t="s">
        <v>21</v>
      </c>
      <c r="I1562" s="18" t="s">
        <v>60</v>
      </c>
      <c r="J1562" s="18" t="str">
        <f>""</f>
        <v/>
      </c>
      <c r="K1562" s="18" t="str">
        <f>"PFES1162728465_0001"</f>
        <v>PFES1162728465_0001</v>
      </c>
      <c r="L1562" s="18">
        <v>1</v>
      </c>
      <c r="M1562" s="18">
        <v>1</v>
      </c>
    </row>
    <row r="1563" spans="1:13">
      <c r="A1563" s="7">
        <v>43812</v>
      </c>
      <c r="B1563" s="8">
        <v>0.60069444444444442</v>
      </c>
      <c r="C1563" s="18" t="str">
        <f>"FES1162728484"</f>
        <v>FES1162728484</v>
      </c>
      <c r="D1563" s="18" t="s">
        <v>19</v>
      </c>
      <c r="E1563" s="18" t="s">
        <v>736</v>
      </c>
      <c r="F1563" s="18" t="str">
        <f>"217071725 "</f>
        <v xml:space="preserve">217071725 </v>
      </c>
      <c r="G1563" s="18" t="str">
        <f t="shared" si="41"/>
        <v>ON1</v>
      </c>
      <c r="H1563" s="18" t="s">
        <v>21</v>
      </c>
      <c r="I1563" s="18" t="s">
        <v>50</v>
      </c>
      <c r="J1563" s="18" t="str">
        <f>""</f>
        <v/>
      </c>
      <c r="K1563" s="18" t="str">
        <f>"PFES1162728484_0001"</f>
        <v>PFES1162728484_0001</v>
      </c>
      <c r="L1563" s="18">
        <v>1</v>
      </c>
      <c r="M1563" s="18">
        <v>1</v>
      </c>
    </row>
    <row r="1564" spans="1:13">
      <c r="A1564" s="7">
        <v>43812</v>
      </c>
      <c r="B1564" s="8">
        <v>0.60069444444444442</v>
      </c>
      <c r="C1564" s="18" t="str">
        <f>"FES1162728509"</f>
        <v>FES1162728509</v>
      </c>
      <c r="D1564" s="18" t="s">
        <v>19</v>
      </c>
      <c r="E1564" s="18" t="s">
        <v>59</v>
      </c>
      <c r="F1564" s="18" t="str">
        <f>"2170721743 "</f>
        <v xml:space="preserve">2170721743 </v>
      </c>
      <c r="G1564" s="18" t="str">
        <f t="shared" si="41"/>
        <v>ON1</v>
      </c>
      <c r="H1564" s="18" t="s">
        <v>21</v>
      </c>
      <c r="I1564" s="18" t="s">
        <v>60</v>
      </c>
      <c r="J1564" s="18" t="str">
        <f>""</f>
        <v/>
      </c>
      <c r="K1564" s="18" t="str">
        <f>"PFES1162728509_0001"</f>
        <v>PFES1162728509_0001</v>
      </c>
      <c r="L1564" s="18">
        <v>1</v>
      </c>
      <c r="M1564" s="18">
        <v>1</v>
      </c>
    </row>
    <row r="1565" spans="1:13">
      <c r="A1565" s="7">
        <v>43812</v>
      </c>
      <c r="B1565" s="8">
        <v>0.6</v>
      </c>
      <c r="C1565" s="18" t="str">
        <f>"FES1162728461"</f>
        <v>FES1162728461</v>
      </c>
      <c r="D1565" s="18" t="s">
        <v>19</v>
      </c>
      <c r="E1565" s="18" t="s">
        <v>778</v>
      </c>
      <c r="F1565" s="18" t="str">
        <f>"2170721509 "</f>
        <v xml:space="preserve">2170721509 </v>
      </c>
      <c r="G1565" s="18" t="str">
        <f t="shared" si="41"/>
        <v>ON1</v>
      </c>
      <c r="H1565" s="18" t="s">
        <v>21</v>
      </c>
      <c r="I1565" s="18" t="s">
        <v>204</v>
      </c>
      <c r="J1565" s="18" t="str">
        <f>""</f>
        <v/>
      </c>
      <c r="K1565" s="18" t="str">
        <f>"PFES1162728461_0001"</f>
        <v>PFES1162728461_0001</v>
      </c>
      <c r="L1565" s="18">
        <v>1</v>
      </c>
      <c r="M1565" s="18">
        <v>1</v>
      </c>
    </row>
    <row r="1566" spans="1:13">
      <c r="A1566" s="7">
        <v>43812</v>
      </c>
      <c r="B1566" s="8">
        <v>0.58124999999999993</v>
      </c>
      <c r="C1566" s="18" t="str">
        <f>"FES1162728456"</f>
        <v>FES1162728456</v>
      </c>
      <c r="D1566" s="18" t="s">
        <v>19</v>
      </c>
      <c r="E1566" s="18" t="s">
        <v>82</v>
      </c>
      <c r="F1566" s="18" t="str">
        <f>"217071690 "</f>
        <v xml:space="preserve">217071690 </v>
      </c>
      <c r="G1566" s="18" t="str">
        <f t="shared" si="41"/>
        <v>ON1</v>
      </c>
      <c r="H1566" s="18" t="s">
        <v>21</v>
      </c>
      <c r="I1566" s="18" t="s">
        <v>72</v>
      </c>
      <c r="J1566" s="18" t="str">
        <f>""</f>
        <v/>
      </c>
      <c r="K1566" s="18" t="str">
        <f>"PFES1162728456_0001"</f>
        <v>PFES1162728456_0001</v>
      </c>
      <c r="L1566" s="18">
        <v>1</v>
      </c>
      <c r="M1566" s="18">
        <v>4</v>
      </c>
    </row>
    <row r="1567" spans="1:13">
      <c r="A1567" s="7">
        <v>43812</v>
      </c>
      <c r="B1567" s="8">
        <v>0.58124999999999993</v>
      </c>
      <c r="C1567" s="18" t="str">
        <f>"FES1162728304"</f>
        <v>FES1162728304</v>
      </c>
      <c r="D1567" s="18" t="s">
        <v>19</v>
      </c>
      <c r="E1567" s="18" t="s">
        <v>65</v>
      </c>
      <c r="F1567" s="18" t="str">
        <f>"2170719039 "</f>
        <v xml:space="preserve">2170719039 </v>
      </c>
      <c r="G1567" s="18" t="str">
        <f t="shared" si="41"/>
        <v>ON1</v>
      </c>
      <c r="H1567" s="18" t="s">
        <v>21</v>
      </c>
      <c r="I1567" s="18" t="s">
        <v>66</v>
      </c>
      <c r="J1567" s="18" t="str">
        <f>""</f>
        <v/>
      </c>
      <c r="K1567" s="18" t="str">
        <f>"PFES1162728304_0001"</f>
        <v>PFES1162728304_0001</v>
      </c>
      <c r="L1567" s="18">
        <v>1</v>
      </c>
      <c r="M1567" s="18">
        <v>4</v>
      </c>
    </row>
    <row r="1568" spans="1:13">
      <c r="A1568" s="7">
        <v>43812</v>
      </c>
      <c r="B1568" s="8">
        <v>0.58124999999999993</v>
      </c>
      <c r="C1568" s="18" t="str">
        <f>"FES1162728408"</f>
        <v>FES1162728408</v>
      </c>
      <c r="D1568" s="18" t="s">
        <v>19</v>
      </c>
      <c r="E1568" s="18" t="s">
        <v>779</v>
      </c>
      <c r="F1568" s="18" t="str">
        <f>"2170718533 "</f>
        <v xml:space="preserve">2170718533 </v>
      </c>
      <c r="G1568" s="18" t="str">
        <f t="shared" si="41"/>
        <v>ON1</v>
      </c>
      <c r="H1568" s="18" t="s">
        <v>21</v>
      </c>
      <c r="I1568" s="18" t="s">
        <v>278</v>
      </c>
      <c r="J1568" s="18" t="str">
        <f>""</f>
        <v/>
      </c>
      <c r="K1568" s="18" t="str">
        <f>"PFES1162728408_0001"</f>
        <v>PFES1162728408_0001</v>
      </c>
      <c r="L1568" s="18">
        <v>1</v>
      </c>
      <c r="M1568" s="18">
        <v>2</v>
      </c>
    </row>
    <row r="1569" spans="1:13">
      <c r="A1569" s="7">
        <v>43812</v>
      </c>
      <c r="B1569" s="8">
        <v>0.5805555555555556</v>
      </c>
      <c r="C1569" s="18" t="str">
        <f>"FES1162728306"</f>
        <v>FES1162728306</v>
      </c>
      <c r="D1569" s="18" t="s">
        <v>19</v>
      </c>
      <c r="E1569" s="18" t="s">
        <v>65</v>
      </c>
      <c r="F1569" s="18" t="str">
        <f>"2170719066 "</f>
        <v xml:space="preserve">2170719066 </v>
      </c>
      <c r="G1569" s="18" t="str">
        <f t="shared" si="41"/>
        <v>ON1</v>
      </c>
      <c r="H1569" s="18" t="s">
        <v>21</v>
      </c>
      <c r="I1569" s="18" t="s">
        <v>66</v>
      </c>
      <c r="J1569" s="18" t="str">
        <f>""</f>
        <v/>
      </c>
      <c r="K1569" s="18" t="str">
        <f>"PFES1162728306_0001"</f>
        <v>PFES1162728306_0001</v>
      </c>
      <c r="L1569" s="18">
        <v>1</v>
      </c>
      <c r="M1569" s="18">
        <v>1</v>
      </c>
    </row>
    <row r="1570" spans="1:13">
      <c r="A1570" s="7">
        <v>43812</v>
      </c>
      <c r="B1570" s="8">
        <v>0.5805555555555556</v>
      </c>
      <c r="C1570" s="18" t="str">
        <f>"FES1162728423"</f>
        <v>FES1162728423</v>
      </c>
      <c r="D1570" s="18" t="s">
        <v>19</v>
      </c>
      <c r="E1570" s="18" t="s">
        <v>780</v>
      </c>
      <c r="F1570" s="18" t="str">
        <f>"2170719789 "</f>
        <v xml:space="preserve">2170719789 </v>
      </c>
      <c r="G1570" s="18" t="str">
        <f t="shared" si="41"/>
        <v>ON1</v>
      </c>
      <c r="H1570" s="18" t="s">
        <v>21</v>
      </c>
      <c r="I1570" s="18" t="s">
        <v>781</v>
      </c>
      <c r="J1570" s="18" t="str">
        <f>""</f>
        <v/>
      </c>
      <c r="K1570" s="18" t="str">
        <f>"PFES1162728423_0001"</f>
        <v>PFES1162728423_0001</v>
      </c>
      <c r="L1570" s="18">
        <v>1</v>
      </c>
      <c r="M1570" s="18">
        <v>2</v>
      </c>
    </row>
    <row r="1571" spans="1:13">
      <c r="A1571" s="7">
        <v>43812</v>
      </c>
      <c r="B1571" s="8">
        <v>0.57986111111111105</v>
      </c>
      <c r="C1571" s="18" t="str">
        <f>"FES1162728399"</f>
        <v>FES1162728399</v>
      </c>
      <c r="D1571" s="18" t="s">
        <v>19</v>
      </c>
      <c r="E1571" s="18" t="s">
        <v>57</v>
      </c>
      <c r="F1571" s="18" t="str">
        <f>"217071391 "</f>
        <v xml:space="preserve">217071391 </v>
      </c>
      <c r="G1571" s="18" t="str">
        <f t="shared" si="41"/>
        <v>ON1</v>
      </c>
      <c r="H1571" s="18" t="s">
        <v>21</v>
      </c>
      <c r="I1571" s="18" t="s">
        <v>58</v>
      </c>
      <c r="J1571" s="18" t="str">
        <f>""</f>
        <v/>
      </c>
      <c r="K1571" s="18" t="str">
        <f>"PFES1162728399_0001"</f>
        <v>PFES1162728399_0001</v>
      </c>
      <c r="L1571" s="18">
        <v>1</v>
      </c>
      <c r="M1571" s="18">
        <v>11</v>
      </c>
    </row>
    <row r="1572" spans="1:13">
      <c r="A1572" s="7">
        <v>43812</v>
      </c>
      <c r="B1572" s="8">
        <v>0.56319444444444444</v>
      </c>
      <c r="C1572" s="18" t="str">
        <f>"FES1162728318"</f>
        <v>FES1162728318</v>
      </c>
      <c r="D1572" s="18" t="s">
        <v>19</v>
      </c>
      <c r="E1572" s="18" t="s">
        <v>644</v>
      </c>
      <c r="F1572" s="18" t="str">
        <f>"2170719471 "</f>
        <v xml:space="preserve">2170719471 </v>
      </c>
      <c r="G1572" s="18" t="str">
        <f t="shared" si="41"/>
        <v>ON1</v>
      </c>
      <c r="H1572" s="18" t="s">
        <v>21</v>
      </c>
      <c r="I1572" s="18" t="s">
        <v>123</v>
      </c>
      <c r="J1572" s="18" t="str">
        <f>""</f>
        <v/>
      </c>
      <c r="K1572" s="18" t="str">
        <f>"PFES1162728318_0001"</f>
        <v>PFES1162728318_0001</v>
      </c>
      <c r="L1572" s="18">
        <v>1</v>
      </c>
      <c r="M1572" s="18">
        <v>18</v>
      </c>
    </row>
    <row r="1573" spans="1:13">
      <c r="A1573" s="7">
        <v>43812</v>
      </c>
      <c r="B1573" s="8">
        <v>0.56319444444444444</v>
      </c>
      <c r="C1573" s="18" t="str">
        <f>"FES1162728482"</f>
        <v>FES1162728482</v>
      </c>
      <c r="D1573" s="18" t="s">
        <v>19</v>
      </c>
      <c r="E1573" s="18" t="s">
        <v>543</v>
      </c>
      <c r="F1573" s="18" t="str">
        <f>"21707127424 "</f>
        <v xml:space="preserve">21707127424 </v>
      </c>
      <c r="G1573" s="18" t="str">
        <f t="shared" si="41"/>
        <v>ON1</v>
      </c>
      <c r="H1573" s="18" t="s">
        <v>21</v>
      </c>
      <c r="I1573" s="18" t="s">
        <v>544</v>
      </c>
      <c r="J1573" s="18" t="str">
        <f>""</f>
        <v/>
      </c>
      <c r="K1573" s="18" t="str">
        <f>"PFES1162728482_0001"</f>
        <v>PFES1162728482_0001</v>
      </c>
      <c r="L1573" s="18">
        <v>1</v>
      </c>
      <c r="M1573" s="18">
        <v>4</v>
      </c>
    </row>
    <row r="1574" spans="1:13">
      <c r="A1574" s="7">
        <v>43812</v>
      </c>
      <c r="B1574" s="8">
        <v>0.5625</v>
      </c>
      <c r="C1574" s="18" t="str">
        <f>"FES1162728441"</f>
        <v>FES1162728441</v>
      </c>
      <c r="D1574" s="18" t="s">
        <v>19</v>
      </c>
      <c r="E1574" s="18" t="s">
        <v>782</v>
      </c>
      <c r="F1574" s="18" t="str">
        <f>"217071505 "</f>
        <v xml:space="preserve">217071505 </v>
      </c>
      <c r="G1574" s="18" t="str">
        <f t="shared" si="41"/>
        <v>ON1</v>
      </c>
      <c r="H1574" s="18" t="s">
        <v>21</v>
      </c>
      <c r="I1574" s="18" t="s">
        <v>783</v>
      </c>
      <c r="J1574" s="18" t="str">
        <f>""</f>
        <v/>
      </c>
      <c r="K1574" s="18" t="str">
        <f>"PFES1162728441_0001"</f>
        <v>PFES1162728441_0001</v>
      </c>
      <c r="L1574" s="18">
        <v>1</v>
      </c>
      <c r="M1574" s="18">
        <v>2</v>
      </c>
    </row>
    <row r="1575" spans="1:13">
      <c r="A1575" s="7">
        <v>43812</v>
      </c>
      <c r="B1575" s="8">
        <v>0.56111111111111112</v>
      </c>
      <c r="C1575" s="18" t="str">
        <f>"FES1162728248"</f>
        <v>FES1162728248</v>
      </c>
      <c r="D1575" s="18" t="s">
        <v>19</v>
      </c>
      <c r="E1575" s="18" t="s">
        <v>84</v>
      </c>
      <c r="F1575" s="18" t="str">
        <f>"217071590 "</f>
        <v xml:space="preserve">217071590 </v>
      </c>
      <c r="G1575" s="18" t="str">
        <f t="shared" si="41"/>
        <v>ON1</v>
      </c>
      <c r="H1575" s="18" t="s">
        <v>21</v>
      </c>
      <c r="I1575" s="18" t="s">
        <v>85</v>
      </c>
      <c r="J1575" s="18" t="str">
        <f>""</f>
        <v/>
      </c>
      <c r="K1575" s="18" t="str">
        <f>"PFES1162728248_0001"</f>
        <v>PFES1162728248_0001</v>
      </c>
      <c r="L1575" s="18">
        <v>1</v>
      </c>
      <c r="M1575" s="18">
        <v>6</v>
      </c>
    </row>
    <row r="1576" spans="1:13">
      <c r="A1576" s="7">
        <v>43812</v>
      </c>
      <c r="B1576" s="8">
        <v>0.56111111111111112</v>
      </c>
      <c r="C1576" s="18" t="str">
        <f>"FES1162728414"</f>
        <v>FES1162728414</v>
      </c>
      <c r="D1576" s="18" t="s">
        <v>19</v>
      </c>
      <c r="E1576" s="18" t="s">
        <v>784</v>
      </c>
      <c r="F1576" s="18" t="str">
        <f>"2170718665 "</f>
        <v xml:space="preserve">2170718665 </v>
      </c>
      <c r="G1576" s="18" t="str">
        <f t="shared" si="41"/>
        <v>ON1</v>
      </c>
      <c r="H1576" s="18" t="s">
        <v>21</v>
      </c>
      <c r="I1576" s="18" t="s">
        <v>102</v>
      </c>
      <c r="J1576" s="18" t="str">
        <f>""</f>
        <v/>
      </c>
      <c r="K1576" s="18" t="str">
        <f>"PFES1162728414_0001"</f>
        <v>PFES1162728414_0001</v>
      </c>
      <c r="L1576" s="18">
        <v>1</v>
      </c>
      <c r="M1576" s="18">
        <v>4</v>
      </c>
    </row>
    <row r="1577" spans="1:13">
      <c r="A1577" s="7">
        <v>43812</v>
      </c>
      <c r="B1577" s="8">
        <v>0.56041666666666667</v>
      </c>
      <c r="C1577" s="18" t="str">
        <f>"FES1162728363"</f>
        <v>FES1162728363</v>
      </c>
      <c r="D1577" s="18" t="s">
        <v>19</v>
      </c>
      <c r="E1577" s="18" t="s">
        <v>57</v>
      </c>
      <c r="F1577" s="18" t="str">
        <f>"2170721662 "</f>
        <v xml:space="preserve">2170721662 </v>
      </c>
      <c r="G1577" s="18" t="str">
        <f t="shared" si="41"/>
        <v>ON1</v>
      </c>
      <c r="H1577" s="18" t="s">
        <v>21</v>
      </c>
      <c r="I1577" s="18" t="s">
        <v>58</v>
      </c>
      <c r="J1577" s="18" t="str">
        <f>""</f>
        <v/>
      </c>
      <c r="K1577" s="18" t="str">
        <f>"PFES1162728363_0001"</f>
        <v>PFES1162728363_0001</v>
      </c>
      <c r="L1577" s="18">
        <v>1</v>
      </c>
      <c r="M1577" s="18">
        <v>2</v>
      </c>
    </row>
    <row r="1578" spans="1:13">
      <c r="A1578" s="7">
        <v>43812</v>
      </c>
      <c r="B1578" s="8">
        <v>0.56041666666666667</v>
      </c>
      <c r="C1578" s="18" t="str">
        <f>"FES1162728354"</f>
        <v>FES1162728354</v>
      </c>
      <c r="D1578" s="18" t="s">
        <v>19</v>
      </c>
      <c r="E1578" s="18" t="s">
        <v>785</v>
      </c>
      <c r="F1578" s="18" t="str">
        <f>"217071554 "</f>
        <v xml:space="preserve">217071554 </v>
      </c>
      <c r="G1578" s="18" t="str">
        <f t="shared" si="41"/>
        <v>ON1</v>
      </c>
      <c r="H1578" s="18" t="s">
        <v>21</v>
      </c>
      <c r="I1578" s="18" t="s">
        <v>653</v>
      </c>
      <c r="J1578" s="18" t="str">
        <f>""</f>
        <v/>
      </c>
      <c r="K1578" s="18" t="str">
        <f>"PFES1162728354_0001"</f>
        <v>PFES1162728354_0001</v>
      </c>
      <c r="L1578" s="18">
        <v>1</v>
      </c>
      <c r="M1578" s="18">
        <v>1</v>
      </c>
    </row>
    <row r="1579" spans="1:13">
      <c r="A1579" s="7">
        <v>43812</v>
      </c>
      <c r="B1579" s="8">
        <v>0.55972222222222223</v>
      </c>
      <c r="C1579" s="18" t="str">
        <f>"FES1162728305"</f>
        <v>FES1162728305</v>
      </c>
      <c r="D1579" s="18" t="s">
        <v>19</v>
      </c>
      <c r="E1579" s="18" t="s">
        <v>65</v>
      </c>
      <c r="F1579" s="18" t="str">
        <f>"2170719053 "</f>
        <v xml:space="preserve">2170719053 </v>
      </c>
      <c r="G1579" s="18" t="str">
        <f t="shared" si="41"/>
        <v>ON1</v>
      </c>
      <c r="H1579" s="18" t="s">
        <v>21</v>
      </c>
      <c r="I1579" s="18" t="s">
        <v>66</v>
      </c>
      <c r="J1579" s="18" t="str">
        <f>""</f>
        <v/>
      </c>
      <c r="K1579" s="18" t="str">
        <f>"PFES1162728305_0001"</f>
        <v>PFES1162728305_0001</v>
      </c>
      <c r="L1579" s="18">
        <v>1</v>
      </c>
      <c r="M1579" s="18">
        <v>1</v>
      </c>
    </row>
    <row r="1580" spans="1:13">
      <c r="A1580" s="7">
        <v>43812</v>
      </c>
      <c r="B1580" s="8">
        <v>0.55972222222222223</v>
      </c>
      <c r="C1580" s="18" t="str">
        <f>"FES1162728206"</f>
        <v>FES1162728206</v>
      </c>
      <c r="D1580" s="18" t="s">
        <v>19</v>
      </c>
      <c r="E1580" s="18" t="s">
        <v>114</v>
      </c>
      <c r="F1580" s="18" t="str">
        <f>"217071546 "</f>
        <v xml:space="preserve">217071546 </v>
      </c>
      <c r="G1580" s="18" t="str">
        <f t="shared" si="41"/>
        <v>ON1</v>
      </c>
      <c r="H1580" s="18" t="s">
        <v>21</v>
      </c>
      <c r="I1580" s="18" t="s">
        <v>115</v>
      </c>
      <c r="J1580" s="18" t="str">
        <f>""</f>
        <v/>
      </c>
      <c r="K1580" s="18" t="str">
        <f>"PFES1162728206_0001"</f>
        <v>PFES1162728206_0001</v>
      </c>
      <c r="L1580" s="18">
        <v>1</v>
      </c>
      <c r="M1580" s="18">
        <v>18</v>
      </c>
    </row>
    <row r="1581" spans="1:13">
      <c r="A1581" s="7">
        <v>43812</v>
      </c>
      <c r="B1581" s="8">
        <v>0.55972222222222223</v>
      </c>
      <c r="C1581" s="18" t="str">
        <f>"FES1162728395"</f>
        <v>FES1162728395</v>
      </c>
      <c r="D1581" s="18" t="s">
        <v>19</v>
      </c>
      <c r="E1581" s="18" t="s">
        <v>786</v>
      </c>
      <c r="F1581" s="18" t="str">
        <f>"2170711827 "</f>
        <v xml:space="preserve">2170711827 </v>
      </c>
      <c r="G1581" s="18" t="str">
        <f t="shared" si="41"/>
        <v>ON1</v>
      </c>
      <c r="H1581" s="18" t="s">
        <v>21</v>
      </c>
      <c r="I1581" s="18" t="s">
        <v>227</v>
      </c>
      <c r="J1581" s="18" t="str">
        <f>""</f>
        <v/>
      </c>
      <c r="K1581" s="18" t="str">
        <f>"PFES1162728395_0001"</f>
        <v>PFES1162728395_0001</v>
      </c>
      <c r="L1581" s="18">
        <v>1</v>
      </c>
      <c r="M1581" s="18">
        <v>7</v>
      </c>
    </row>
    <row r="1582" spans="1:13">
      <c r="A1582" s="7">
        <v>43812</v>
      </c>
      <c r="B1582" s="8">
        <v>0.5541666666666667</v>
      </c>
      <c r="C1582" s="18" t="str">
        <f>"FES1162728459"</f>
        <v>FES1162728459</v>
      </c>
      <c r="D1582" s="18" t="s">
        <v>19</v>
      </c>
      <c r="E1582" s="18" t="s">
        <v>118</v>
      </c>
      <c r="F1582" s="18" t="str">
        <f>"2170721695 "</f>
        <v xml:space="preserve">2170721695 </v>
      </c>
      <c r="G1582" s="18" t="str">
        <f t="shared" si="41"/>
        <v>ON1</v>
      </c>
      <c r="H1582" s="18" t="s">
        <v>21</v>
      </c>
      <c r="I1582" s="18" t="s">
        <v>119</v>
      </c>
      <c r="J1582" s="18" t="str">
        <f>""</f>
        <v/>
      </c>
      <c r="K1582" s="18" t="str">
        <f>"PFES1162728459_0001"</f>
        <v>PFES1162728459_0001</v>
      </c>
      <c r="L1582" s="18">
        <v>1</v>
      </c>
      <c r="M1582" s="18">
        <v>1</v>
      </c>
    </row>
    <row r="1583" spans="1:13">
      <c r="A1583" s="7">
        <v>43812</v>
      </c>
      <c r="B1583" s="8">
        <v>0.5541666666666667</v>
      </c>
      <c r="C1583" s="18" t="str">
        <f>"FES1162728355"</f>
        <v>FES1162728355</v>
      </c>
      <c r="D1583" s="18" t="s">
        <v>19</v>
      </c>
      <c r="E1583" s="18" t="s">
        <v>684</v>
      </c>
      <c r="F1583" s="18" t="str">
        <f>"2170721651 "</f>
        <v xml:space="preserve">2170721651 </v>
      </c>
      <c r="G1583" s="18" t="str">
        <f t="shared" si="41"/>
        <v>ON1</v>
      </c>
      <c r="H1583" s="18" t="s">
        <v>21</v>
      </c>
      <c r="I1583" s="18" t="s">
        <v>685</v>
      </c>
      <c r="J1583" s="18" t="str">
        <f>""</f>
        <v/>
      </c>
      <c r="K1583" s="18" t="str">
        <f>"PFES1162728355_0001"</f>
        <v>PFES1162728355_0001</v>
      </c>
      <c r="L1583" s="18">
        <v>1</v>
      </c>
      <c r="M1583" s="18">
        <v>1</v>
      </c>
    </row>
    <row r="1584" spans="1:13">
      <c r="A1584" s="7">
        <v>43812</v>
      </c>
      <c r="B1584" s="8">
        <v>0.5541666666666667</v>
      </c>
      <c r="C1584" s="18" t="str">
        <f>"FES1162728462"</f>
        <v>FES1162728462</v>
      </c>
      <c r="D1584" s="18" t="s">
        <v>19</v>
      </c>
      <c r="E1584" s="18" t="s">
        <v>787</v>
      </c>
      <c r="F1584" s="18" t="str">
        <f>"2170721697 "</f>
        <v xml:space="preserve">2170721697 </v>
      </c>
      <c r="G1584" s="18" t="str">
        <f t="shared" si="41"/>
        <v>ON1</v>
      </c>
      <c r="H1584" s="18" t="s">
        <v>21</v>
      </c>
      <c r="I1584" s="18" t="s">
        <v>788</v>
      </c>
      <c r="J1584" s="18" t="str">
        <f>""</f>
        <v/>
      </c>
      <c r="K1584" s="18" t="str">
        <f>"PFES1162728462_0001"</f>
        <v>PFES1162728462_0001</v>
      </c>
      <c r="L1584" s="18">
        <v>1</v>
      </c>
      <c r="M1584" s="18">
        <v>1</v>
      </c>
    </row>
    <row r="1585" spans="1:13">
      <c r="A1585" s="7">
        <v>43812</v>
      </c>
      <c r="B1585" s="8">
        <v>0.55347222222222225</v>
      </c>
      <c r="C1585" s="18" t="str">
        <f>"FES1162728329"</f>
        <v>FES1162728329</v>
      </c>
      <c r="D1585" s="18" t="s">
        <v>19</v>
      </c>
      <c r="E1585" s="18" t="s">
        <v>727</v>
      </c>
      <c r="F1585" s="18" t="str">
        <f>"2170719631 "</f>
        <v xml:space="preserve">2170719631 </v>
      </c>
      <c r="G1585" s="18" t="str">
        <f t="shared" si="41"/>
        <v>ON1</v>
      </c>
      <c r="H1585" s="18" t="s">
        <v>21</v>
      </c>
      <c r="I1585" s="18" t="s">
        <v>559</v>
      </c>
      <c r="J1585" s="18" t="str">
        <f>""</f>
        <v/>
      </c>
      <c r="K1585" s="18" t="str">
        <f>"PFES1162728329_0001"</f>
        <v>PFES1162728329_0001</v>
      </c>
      <c r="L1585" s="18">
        <v>1</v>
      </c>
      <c r="M1585" s="18">
        <v>1</v>
      </c>
    </row>
    <row r="1586" spans="1:13">
      <c r="A1586" s="7">
        <v>43812</v>
      </c>
      <c r="B1586" s="8">
        <v>0.55347222222222225</v>
      </c>
      <c r="C1586" s="18" t="str">
        <f>"FES1162728455"</f>
        <v>FES1162728455</v>
      </c>
      <c r="D1586" s="18" t="s">
        <v>19</v>
      </c>
      <c r="E1586" s="18" t="s">
        <v>684</v>
      </c>
      <c r="F1586" s="18" t="str">
        <f>"2170721689 "</f>
        <v xml:space="preserve">2170721689 </v>
      </c>
      <c r="G1586" s="18" t="str">
        <f t="shared" si="41"/>
        <v>ON1</v>
      </c>
      <c r="H1586" s="18" t="s">
        <v>21</v>
      </c>
      <c r="I1586" s="18" t="s">
        <v>685</v>
      </c>
      <c r="J1586" s="18" t="str">
        <f>""</f>
        <v/>
      </c>
      <c r="K1586" s="18" t="str">
        <f>"PFES1162728455_0001"</f>
        <v>PFES1162728455_0001</v>
      </c>
      <c r="L1586" s="18">
        <v>1</v>
      </c>
      <c r="M1586" s="18">
        <v>1</v>
      </c>
    </row>
    <row r="1587" spans="1:13">
      <c r="A1587" s="7">
        <v>43812</v>
      </c>
      <c r="B1587" s="8">
        <v>0.55277777777777781</v>
      </c>
      <c r="C1587" s="18" t="str">
        <f>"FES1162728427"</f>
        <v>FES1162728427</v>
      </c>
      <c r="D1587" s="18" t="s">
        <v>19</v>
      </c>
      <c r="E1587" s="18" t="s">
        <v>82</v>
      </c>
      <c r="F1587" s="18" t="str">
        <f>"2170719186 "</f>
        <v xml:space="preserve">2170719186 </v>
      </c>
      <c r="G1587" s="18" t="str">
        <f t="shared" si="41"/>
        <v>ON1</v>
      </c>
      <c r="H1587" s="18" t="s">
        <v>21</v>
      </c>
      <c r="I1587" s="18" t="s">
        <v>72</v>
      </c>
      <c r="J1587" s="18" t="str">
        <f>""</f>
        <v/>
      </c>
      <c r="K1587" s="18" t="str">
        <f>"PFES1162728427_0001"</f>
        <v>PFES1162728427_0001</v>
      </c>
      <c r="L1587" s="18">
        <v>1</v>
      </c>
      <c r="M1587" s="18">
        <v>1</v>
      </c>
    </row>
    <row r="1588" spans="1:13">
      <c r="A1588" s="7">
        <v>43812</v>
      </c>
      <c r="B1588" s="8">
        <v>0.55277777777777781</v>
      </c>
      <c r="C1588" s="18" t="str">
        <f>"FES1162728342"</f>
        <v>FES1162728342</v>
      </c>
      <c r="D1588" s="18" t="s">
        <v>19</v>
      </c>
      <c r="E1588" s="18" t="s">
        <v>203</v>
      </c>
      <c r="F1588" s="18" t="str">
        <f>"2170720856 "</f>
        <v xml:space="preserve">2170720856 </v>
      </c>
      <c r="G1588" s="18" t="str">
        <f t="shared" si="41"/>
        <v>ON1</v>
      </c>
      <c r="H1588" s="18" t="s">
        <v>21</v>
      </c>
      <c r="I1588" s="18" t="s">
        <v>158</v>
      </c>
      <c r="J1588" s="18" t="str">
        <f>""</f>
        <v/>
      </c>
      <c r="K1588" s="18" t="str">
        <f>"PFES1162728342_0001"</f>
        <v>PFES1162728342_0001</v>
      </c>
      <c r="L1588" s="18">
        <v>1</v>
      </c>
      <c r="M1588" s="18">
        <v>1</v>
      </c>
    </row>
    <row r="1589" spans="1:13">
      <c r="A1589" s="7">
        <v>43812</v>
      </c>
      <c r="B1589" s="8">
        <v>0.55208333333333337</v>
      </c>
      <c r="C1589" s="18" t="str">
        <f>"FES1162728327"</f>
        <v>FES1162728327</v>
      </c>
      <c r="D1589" s="18" t="s">
        <v>19</v>
      </c>
      <c r="E1589" s="18" t="s">
        <v>789</v>
      </c>
      <c r="F1589" s="18" t="str">
        <f>"2170719609 "</f>
        <v xml:space="preserve">2170719609 </v>
      </c>
      <c r="G1589" s="18" t="str">
        <f t="shared" si="41"/>
        <v>ON1</v>
      </c>
      <c r="H1589" s="18" t="s">
        <v>21</v>
      </c>
      <c r="I1589" s="18" t="s">
        <v>790</v>
      </c>
      <c r="J1589" s="18" t="str">
        <f>""</f>
        <v/>
      </c>
      <c r="K1589" s="18" t="str">
        <f>"PFES1162728327_0001"</f>
        <v>PFES1162728327_0001</v>
      </c>
      <c r="L1589" s="18">
        <v>1</v>
      </c>
      <c r="M1589" s="18">
        <v>1</v>
      </c>
    </row>
    <row r="1590" spans="1:13">
      <c r="A1590" s="7">
        <v>43812</v>
      </c>
      <c r="B1590" s="8">
        <v>0.55208333333333337</v>
      </c>
      <c r="C1590" s="18" t="str">
        <f>"FES1162728404"</f>
        <v>FES1162728404</v>
      </c>
      <c r="D1590" s="18" t="s">
        <v>19</v>
      </c>
      <c r="E1590" s="18" t="s">
        <v>665</v>
      </c>
      <c r="F1590" s="18" t="str">
        <f>"2170718467 "</f>
        <v xml:space="preserve">2170718467 </v>
      </c>
      <c r="G1590" s="18" t="str">
        <f t="shared" si="41"/>
        <v>ON1</v>
      </c>
      <c r="H1590" s="18" t="s">
        <v>21</v>
      </c>
      <c r="I1590" s="18" t="s">
        <v>70</v>
      </c>
      <c r="J1590" s="18" t="str">
        <f>""</f>
        <v/>
      </c>
      <c r="K1590" s="18" t="str">
        <f>"PFES1162728404_0001"</f>
        <v>PFES1162728404_0001</v>
      </c>
      <c r="L1590" s="18">
        <v>1</v>
      </c>
      <c r="M1590" s="18">
        <v>1</v>
      </c>
    </row>
    <row r="1591" spans="1:13">
      <c r="A1591" s="7">
        <v>43812</v>
      </c>
      <c r="B1591" s="8">
        <v>0.55138888888888882</v>
      </c>
      <c r="C1591" s="18" t="str">
        <f>"FES1162728380"</f>
        <v>FES1162728380</v>
      </c>
      <c r="D1591" s="18" t="s">
        <v>19</v>
      </c>
      <c r="E1591" s="18" t="s">
        <v>263</v>
      </c>
      <c r="F1591" s="18" t="str">
        <f>"2170720280 "</f>
        <v xml:space="preserve">2170720280 </v>
      </c>
      <c r="G1591" s="18" t="str">
        <f t="shared" si="41"/>
        <v>ON1</v>
      </c>
      <c r="H1591" s="18" t="s">
        <v>21</v>
      </c>
      <c r="I1591" s="18" t="s">
        <v>161</v>
      </c>
      <c r="J1591" s="18" t="str">
        <f>""</f>
        <v/>
      </c>
      <c r="K1591" s="18" t="str">
        <f>"PFES1162728380_0001"</f>
        <v>PFES1162728380_0001</v>
      </c>
      <c r="L1591" s="18">
        <v>1</v>
      </c>
      <c r="M1591" s="18">
        <v>1</v>
      </c>
    </row>
    <row r="1592" spans="1:13">
      <c r="A1592" s="7">
        <v>43812</v>
      </c>
      <c r="B1592" s="8">
        <v>0.55069444444444449</v>
      </c>
      <c r="C1592" s="18" t="str">
        <f>"FES1162728436"</f>
        <v>FES1162728436</v>
      </c>
      <c r="D1592" s="18" t="s">
        <v>19</v>
      </c>
      <c r="E1592" s="18" t="s">
        <v>203</v>
      </c>
      <c r="F1592" s="18" t="str">
        <f>"2170720578 "</f>
        <v xml:space="preserve">2170720578 </v>
      </c>
      <c r="G1592" s="18" t="str">
        <f t="shared" si="41"/>
        <v>ON1</v>
      </c>
      <c r="H1592" s="18" t="s">
        <v>21</v>
      </c>
      <c r="I1592" s="18" t="s">
        <v>158</v>
      </c>
      <c r="J1592" s="18" t="str">
        <f>""</f>
        <v/>
      </c>
      <c r="K1592" s="18" t="str">
        <f>"PFES1162728436_0001"</f>
        <v>PFES1162728436_0001</v>
      </c>
      <c r="L1592" s="18">
        <v>1</v>
      </c>
      <c r="M1592" s="18">
        <v>1</v>
      </c>
    </row>
    <row r="1593" spans="1:13">
      <c r="A1593" s="7">
        <v>43812</v>
      </c>
      <c r="B1593" s="8">
        <v>0.55069444444444449</v>
      </c>
      <c r="C1593" s="18" t="str">
        <f>"FES1162728343"</f>
        <v>FES1162728343</v>
      </c>
      <c r="D1593" s="18" t="s">
        <v>19</v>
      </c>
      <c r="E1593" s="18" t="s">
        <v>82</v>
      </c>
      <c r="F1593" s="18" t="str">
        <f>"2170720944 "</f>
        <v xml:space="preserve">2170720944 </v>
      </c>
      <c r="G1593" s="18" t="str">
        <f t="shared" si="41"/>
        <v>ON1</v>
      </c>
      <c r="H1593" s="18" t="s">
        <v>21</v>
      </c>
      <c r="I1593" s="18" t="s">
        <v>72</v>
      </c>
      <c r="J1593" s="18" t="str">
        <f>""</f>
        <v/>
      </c>
      <c r="K1593" s="18" t="str">
        <f>"PFES1162728343_0001"</f>
        <v>PFES1162728343_0001</v>
      </c>
      <c r="L1593" s="18">
        <v>1</v>
      </c>
      <c r="M1593" s="18">
        <v>1</v>
      </c>
    </row>
    <row r="1594" spans="1:13">
      <c r="A1594" s="7">
        <v>43812</v>
      </c>
      <c r="B1594" s="8">
        <v>0.54999999999999993</v>
      </c>
      <c r="C1594" s="18" t="str">
        <f>"FES1162728438"</f>
        <v>FES1162728438</v>
      </c>
      <c r="D1594" s="18" t="s">
        <v>19</v>
      </c>
      <c r="E1594" s="18" t="s">
        <v>118</v>
      </c>
      <c r="F1594" s="18" t="str">
        <f>"21707120870 "</f>
        <v xml:space="preserve">21707120870 </v>
      </c>
      <c r="G1594" s="18" t="str">
        <f t="shared" si="41"/>
        <v>ON1</v>
      </c>
      <c r="H1594" s="18" t="s">
        <v>21</v>
      </c>
      <c r="I1594" s="18" t="s">
        <v>119</v>
      </c>
      <c r="J1594" s="18" t="str">
        <f>""</f>
        <v/>
      </c>
      <c r="K1594" s="18" t="str">
        <f>"PFES1162728438_0001"</f>
        <v>PFES1162728438_0001</v>
      </c>
      <c r="L1594" s="18">
        <v>1</v>
      </c>
      <c r="M1594" s="18">
        <v>1</v>
      </c>
    </row>
    <row r="1595" spans="1:13">
      <c r="A1595" s="7">
        <v>43812</v>
      </c>
      <c r="B1595" s="8">
        <v>0.54999999999999993</v>
      </c>
      <c r="C1595" s="18" t="str">
        <f>"FES1162728339"</f>
        <v>FES1162728339</v>
      </c>
      <c r="D1595" s="18" t="s">
        <v>19</v>
      </c>
      <c r="E1595" s="18" t="s">
        <v>24</v>
      </c>
      <c r="F1595" s="18" t="str">
        <f>"21707172042 "</f>
        <v xml:space="preserve">21707172042 </v>
      </c>
      <c r="G1595" s="18" t="str">
        <f t="shared" si="41"/>
        <v>ON1</v>
      </c>
      <c r="H1595" s="18" t="s">
        <v>21</v>
      </c>
      <c r="I1595" s="18" t="s">
        <v>25</v>
      </c>
      <c r="J1595" s="18" t="str">
        <f>""</f>
        <v/>
      </c>
      <c r="K1595" s="18" t="str">
        <f>"PFES1162728339_0001"</f>
        <v>PFES1162728339_0001</v>
      </c>
      <c r="L1595" s="18">
        <v>1</v>
      </c>
      <c r="M1595" s="18">
        <v>1</v>
      </c>
    </row>
    <row r="1596" spans="1:13">
      <c r="A1596" s="7">
        <v>43812</v>
      </c>
      <c r="B1596" s="8">
        <v>0.54861111111111105</v>
      </c>
      <c r="C1596" s="18" t="str">
        <f>"FES1162728426"</f>
        <v>FES1162728426</v>
      </c>
      <c r="D1596" s="18" t="s">
        <v>19</v>
      </c>
      <c r="E1596" s="18" t="s">
        <v>791</v>
      </c>
      <c r="F1596" s="18" t="str">
        <f>"21707191403 "</f>
        <v xml:space="preserve">21707191403 </v>
      </c>
      <c r="G1596" s="18" t="str">
        <f t="shared" si="41"/>
        <v>ON1</v>
      </c>
      <c r="H1596" s="18" t="s">
        <v>21</v>
      </c>
      <c r="I1596" s="18" t="s">
        <v>31</v>
      </c>
      <c r="J1596" s="18" t="str">
        <f>""</f>
        <v/>
      </c>
      <c r="K1596" s="18" t="str">
        <f>"PFES1162728426_0001"</f>
        <v>PFES1162728426_0001</v>
      </c>
      <c r="L1596" s="18">
        <v>1</v>
      </c>
      <c r="M1596" s="18">
        <v>1</v>
      </c>
    </row>
    <row r="1597" spans="1:13">
      <c r="A1597" s="7">
        <v>43812</v>
      </c>
      <c r="B1597" s="8">
        <v>0.54861111111111105</v>
      </c>
      <c r="C1597" s="18" t="str">
        <f>"FES1162728293"</f>
        <v>FES1162728293</v>
      </c>
      <c r="D1597" s="18" t="s">
        <v>19</v>
      </c>
      <c r="E1597" s="18" t="s">
        <v>260</v>
      </c>
      <c r="F1597" s="18" t="str">
        <f>"2170713932 "</f>
        <v xml:space="preserve">2170713932 </v>
      </c>
      <c r="G1597" s="18" t="str">
        <f t="shared" si="41"/>
        <v>ON1</v>
      </c>
      <c r="H1597" s="18" t="s">
        <v>21</v>
      </c>
      <c r="I1597" s="18" t="s">
        <v>216</v>
      </c>
      <c r="J1597" s="18" t="str">
        <f>""</f>
        <v/>
      </c>
      <c r="K1597" s="18" t="str">
        <f>"PFES1162728293_0001"</f>
        <v>PFES1162728293_0001</v>
      </c>
      <c r="L1597" s="18">
        <v>1</v>
      </c>
      <c r="M1597" s="18">
        <v>1</v>
      </c>
    </row>
    <row r="1598" spans="1:13">
      <c r="A1598" s="7">
        <v>43812</v>
      </c>
      <c r="B1598" s="8">
        <v>0.52222222222222225</v>
      </c>
      <c r="C1598" s="18" t="str">
        <f>"FES1162728388"</f>
        <v>FES1162728388</v>
      </c>
      <c r="D1598" s="18" t="s">
        <v>19</v>
      </c>
      <c r="E1598" s="18" t="s">
        <v>42</v>
      </c>
      <c r="F1598" s="18" t="str">
        <f>"217071213 "</f>
        <v xml:space="preserve">217071213 </v>
      </c>
      <c r="G1598" s="18" t="str">
        <f t="shared" si="41"/>
        <v>ON1</v>
      </c>
      <c r="H1598" s="18" t="s">
        <v>21</v>
      </c>
      <c r="I1598" s="18" t="s">
        <v>43</v>
      </c>
      <c r="J1598" s="18" t="str">
        <f>""</f>
        <v/>
      </c>
      <c r="K1598" s="18" t="str">
        <f>"PFES1162728388_0001"</f>
        <v>PFES1162728388_0001</v>
      </c>
      <c r="L1598" s="18">
        <v>1</v>
      </c>
      <c r="M1598" s="18">
        <v>2</v>
      </c>
    </row>
    <row r="1599" spans="1:13">
      <c r="A1599" s="7">
        <v>43812</v>
      </c>
      <c r="B1599" s="8">
        <v>0.52152777777777781</v>
      </c>
      <c r="C1599" s="18" t="str">
        <f>"FES1162728375"</f>
        <v>FES1162728375</v>
      </c>
      <c r="D1599" s="18" t="s">
        <v>19</v>
      </c>
      <c r="E1599" s="18" t="s">
        <v>24</v>
      </c>
      <c r="F1599" s="18" t="str">
        <f>"2170719339 "</f>
        <v xml:space="preserve">2170719339 </v>
      </c>
      <c r="G1599" s="18" t="str">
        <f t="shared" si="41"/>
        <v>ON1</v>
      </c>
      <c r="H1599" s="18" t="s">
        <v>21</v>
      </c>
      <c r="I1599" s="18" t="s">
        <v>25</v>
      </c>
      <c r="J1599" s="18" t="str">
        <f>""</f>
        <v/>
      </c>
      <c r="K1599" s="18" t="str">
        <f>"PFES1162728375_0001"</f>
        <v>PFES1162728375_0001</v>
      </c>
      <c r="L1599" s="18">
        <v>1</v>
      </c>
      <c r="M1599" s="18">
        <v>8</v>
      </c>
    </row>
    <row r="1600" spans="1:13">
      <c r="A1600" s="7">
        <v>43812</v>
      </c>
      <c r="B1600" s="8">
        <v>0.52152777777777781</v>
      </c>
      <c r="C1600" s="18" t="str">
        <f>"FES1162728271"</f>
        <v>FES1162728271</v>
      </c>
      <c r="D1600" s="18" t="s">
        <v>19</v>
      </c>
      <c r="E1600" s="18" t="s">
        <v>107</v>
      </c>
      <c r="F1600" s="18" t="str">
        <f>"2170712195 "</f>
        <v xml:space="preserve">2170712195 </v>
      </c>
      <c r="G1600" s="18" t="str">
        <f t="shared" si="41"/>
        <v>ON1</v>
      </c>
      <c r="H1600" s="18" t="s">
        <v>21</v>
      </c>
      <c r="I1600" s="18" t="s">
        <v>56</v>
      </c>
      <c r="J1600" s="18" t="str">
        <f>""</f>
        <v/>
      </c>
      <c r="K1600" s="18" t="str">
        <f>"PFES1162728271_0001"</f>
        <v>PFES1162728271_0001</v>
      </c>
      <c r="L1600" s="18">
        <v>1</v>
      </c>
      <c r="M1600" s="18">
        <v>6</v>
      </c>
    </row>
    <row r="1601" spans="1:13">
      <c r="A1601" s="7">
        <v>43812</v>
      </c>
      <c r="B1601" s="8">
        <v>0.52152777777777781</v>
      </c>
      <c r="C1601" s="18" t="str">
        <f>"FES1162728242"</f>
        <v>FES1162728242</v>
      </c>
      <c r="D1601" s="18" t="s">
        <v>19</v>
      </c>
      <c r="E1601" s="18" t="s">
        <v>528</v>
      </c>
      <c r="F1601" s="18" t="str">
        <f>"217071540 "</f>
        <v xml:space="preserve">217071540 </v>
      </c>
      <c r="G1601" s="18" t="str">
        <f t="shared" si="41"/>
        <v>ON1</v>
      </c>
      <c r="H1601" s="18" t="s">
        <v>21</v>
      </c>
      <c r="I1601" s="18" t="s">
        <v>33</v>
      </c>
      <c r="J1601" s="18" t="str">
        <f>""</f>
        <v/>
      </c>
      <c r="K1601" s="18" t="str">
        <f>"PFES1162728242_0001"</f>
        <v>PFES1162728242_0001</v>
      </c>
      <c r="L1601" s="18">
        <v>1</v>
      </c>
      <c r="M1601" s="18">
        <v>1</v>
      </c>
    </row>
    <row r="1602" spans="1:13">
      <c r="A1602" s="7">
        <v>43812</v>
      </c>
      <c r="B1602" s="8">
        <v>0.52083333333333337</v>
      </c>
      <c r="C1602" s="18" t="str">
        <f>"FES1162728199"</f>
        <v>FES1162728199</v>
      </c>
      <c r="D1602" s="18" t="s">
        <v>19</v>
      </c>
      <c r="E1602" s="18" t="s">
        <v>331</v>
      </c>
      <c r="F1602" s="18" t="str">
        <f>"217071286 "</f>
        <v xml:space="preserve">217071286 </v>
      </c>
      <c r="G1602" s="18" t="str">
        <f t="shared" si="41"/>
        <v>ON1</v>
      </c>
      <c r="H1602" s="18" t="s">
        <v>21</v>
      </c>
      <c r="I1602" s="18" t="s">
        <v>332</v>
      </c>
      <c r="J1602" s="18" t="str">
        <f>""</f>
        <v/>
      </c>
      <c r="K1602" s="18" t="str">
        <f>"PFES1162728199_0001"</f>
        <v>PFES1162728199_0001</v>
      </c>
      <c r="L1602" s="18">
        <v>1</v>
      </c>
      <c r="M1602" s="18">
        <v>5</v>
      </c>
    </row>
    <row r="1603" spans="1:13">
      <c r="A1603" s="7">
        <v>43812</v>
      </c>
      <c r="B1603" s="8">
        <v>0.52013888888888882</v>
      </c>
      <c r="C1603" s="18" t="str">
        <f>"FES1162728308"</f>
        <v>FES1162728308</v>
      </c>
      <c r="D1603" s="18" t="s">
        <v>19</v>
      </c>
      <c r="E1603" s="18" t="s">
        <v>792</v>
      </c>
      <c r="F1603" s="18" t="str">
        <f>"2170719144 "</f>
        <v xml:space="preserve">2170719144 </v>
      </c>
      <c r="G1603" s="18" t="str">
        <f t="shared" si="41"/>
        <v>ON1</v>
      </c>
      <c r="H1603" s="18" t="s">
        <v>21</v>
      </c>
      <c r="I1603" s="18" t="s">
        <v>793</v>
      </c>
      <c r="J1603" s="18" t="str">
        <f>""</f>
        <v/>
      </c>
      <c r="K1603" s="18" t="str">
        <f>"PFES1162728308_0001"</f>
        <v>PFES1162728308_0001</v>
      </c>
      <c r="L1603" s="18">
        <v>1</v>
      </c>
      <c r="M1603" s="18">
        <v>1</v>
      </c>
    </row>
    <row r="1604" spans="1:13">
      <c r="A1604" s="7">
        <v>43812</v>
      </c>
      <c r="B1604" s="8">
        <v>0.51944444444444449</v>
      </c>
      <c r="C1604" s="18" t="str">
        <f>"FES1162728190"</f>
        <v>FES1162728190</v>
      </c>
      <c r="D1604" s="18" t="s">
        <v>19</v>
      </c>
      <c r="E1604" s="18" t="s">
        <v>428</v>
      </c>
      <c r="F1604" s="18" t="str">
        <f>"217071522 "</f>
        <v xml:space="preserve">217071522 </v>
      </c>
      <c r="G1604" s="18" t="str">
        <f>"DBC"</f>
        <v>DBC</v>
      </c>
      <c r="H1604" s="18" t="s">
        <v>21</v>
      </c>
      <c r="I1604" s="18" t="s">
        <v>130</v>
      </c>
      <c r="J1604" s="18" t="str">
        <f>""</f>
        <v/>
      </c>
      <c r="K1604" s="18" t="str">
        <f>"PFES1162728190_0001"</f>
        <v>PFES1162728190_0001</v>
      </c>
      <c r="L1604" s="18">
        <v>2</v>
      </c>
      <c r="M1604" s="18">
        <v>20</v>
      </c>
    </row>
    <row r="1605" spans="1:13">
      <c r="A1605" s="7">
        <v>43812</v>
      </c>
      <c r="B1605" s="8">
        <v>0.51944444444444449</v>
      </c>
      <c r="C1605" s="18" t="str">
        <f>"FES1162728190"</f>
        <v>FES1162728190</v>
      </c>
      <c r="D1605" s="18" t="s">
        <v>19</v>
      </c>
      <c r="E1605" s="18" t="s">
        <v>428</v>
      </c>
      <c r="F1605" s="18" t="str">
        <f>"217071522 "</f>
        <v xml:space="preserve">217071522 </v>
      </c>
      <c r="G1605" s="18" t="str">
        <f>"DBC"</f>
        <v>DBC</v>
      </c>
      <c r="H1605" s="18" t="s">
        <v>21</v>
      </c>
      <c r="I1605" s="18" t="s">
        <v>130</v>
      </c>
      <c r="J1605" s="18"/>
      <c r="K1605" s="18" t="str">
        <f>"PFES1162728190_0002"</f>
        <v>PFES1162728190_0002</v>
      </c>
      <c r="L1605" s="18">
        <v>2</v>
      </c>
      <c r="M1605" s="18">
        <v>20</v>
      </c>
    </row>
    <row r="1606" spans="1:13">
      <c r="A1606" s="7">
        <v>43812</v>
      </c>
      <c r="B1606" s="8">
        <v>0.51874999999999993</v>
      </c>
      <c r="C1606" s="18" t="str">
        <f>"FES1162728244"</f>
        <v>FES1162728244</v>
      </c>
      <c r="D1606" s="18" t="s">
        <v>19</v>
      </c>
      <c r="E1606" s="18" t="s">
        <v>287</v>
      </c>
      <c r="F1606" s="18" t="str">
        <f>"217072154 "</f>
        <v xml:space="preserve">217072154 </v>
      </c>
      <c r="G1606" s="18" t="str">
        <f t="shared" ref="G1606:G1647" si="42">"ON1"</f>
        <v>ON1</v>
      </c>
      <c r="H1606" s="18" t="s">
        <v>21</v>
      </c>
      <c r="I1606" s="18" t="s">
        <v>288</v>
      </c>
      <c r="J1606" s="18" t="str">
        <f>""</f>
        <v/>
      </c>
      <c r="K1606" s="18" t="str">
        <f>"PFES1162728244_0001"</f>
        <v>PFES1162728244_0001</v>
      </c>
      <c r="L1606" s="18">
        <v>1</v>
      </c>
      <c r="M1606" s="18">
        <v>1</v>
      </c>
    </row>
    <row r="1607" spans="1:13">
      <c r="A1607" s="7">
        <v>43812</v>
      </c>
      <c r="B1607" s="8">
        <v>0.51874999999999993</v>
      </c>
      <c r="C1607" s="18" t="str">
        <f>"FES1162728176"</f>
        <v>FES1162728176</v>
      </c>
      <c r="D1607" s="18" t="s">
        <v>19</v>
      </c>
      <c r="E1607" s="18" t="s">
        <v>794</v>
      </c>
      <c r="F1607" s="18" t="str">
        <f>"2170721502 "</f>
        <v xml:space="preserve">2170721502 </v>
      </c>
      <c r="G1607" s="18" t="str">
        <f t="shared" si="42"/>
        <v>ON1</v>
      </c>
      <c r="H1607" s="18" t="s">
        <v>21</v>
      </c>
      <c r="I1607" s="18" t="s">
        <v>795</v>
      </c>
      <c r="J1607" s="18" t="str">
        <f>""</f>
        <v/>
      </c>
      <c r="K1607" s="18" t="str">
        <f>"PFES1162728176_0001"</f>
        <v>PFES1162728176_0001</v>
      </c>
      <c r="L1607" s="18">
        <v>1</v>
      </c>
      <c r="M1607" s="18">
        <v>1</v>
      </c>
    </row>
    <row r="1608" spans="1:13">
      <c r="A1608" s="7">
        <v>43812</v>
      </c>
      <c r="B1608" s="8">
        <v>0.5180555555555556</v>
      </c>
      <c r="C1608" s="18" t="str">
        <f>"FES1162728188"</f>
        <v>FES1162728188</v>
      </c>
      <c r="D1608" s="18" t="s">
        <v>19</v>
      </c>
      <c r="E1608" s="18" t="s">
        <v>796</v>
      </c>
      <c r="F1608" s="18" t="str">
        <f>"2170718931 "</f>
        <v xml:space="preserve">2170718931 </v>
      </c>
      <c r="G1608" s="18" t="str">
        <f t="shared" si="42"/>
        <v>ON1</v>
      </c>
      <c r="H1608" s="18" t="s">
        <v>21</v>
      </c>
      <c r="I1608" s="18" t="s">
        <v>797</v>
      </c>
      <c r="J1608" s="18" t="str">
        <f>""</f>
        <v/>
      </c>
      <c r="K1608" s="18" t="str">
        <f>"PFES1162728188_0001"</f>
        <v>PFES1162728188_0001</v>
      </c>
      <c r="L1608" s="18">
        <v>1</v>
      </c>
      <c r="M1608" s="18">
        <v>1</v>
      </c>
    </row>
    <row r="1609" spans="1:13">
      <c r="A1609" s="7">
        <v>43812</v>
      </c>
      <c r="B1609" s="8">
        <v>0.5180555555555556</v>
      </c>
      <c r="C1609" s="18" t="str">
        <f>"FES1162728267"</f>
        <v>FES1162728267</v>
      </c>
      <c r="D1609" s="18" t="s">
        <v>19</v>
      </c>
      <c r="E1609" s="18" t="s">
        <v>84</v>
      </c>
      <c r="F1609" s="18" t="str">
        <f>"2170712586 "</f>
        <v xml:space="preserve">2170712586 </v>
      </c>
      <c r="G1609" s="18" t="str">
        <f t="shared" si="42"/>
        <v>ON1</v>
      </c>
      <c r="H1609" s="18" t="s">
        <v>21</v>
      </c>
      <c r="I1609" s="18" t="s">
        <v>85</v>
      </c>
      <c r="J1609" s="18" t="str">
        <f>""</f>
        <v/>
      </c>
      <c r="K1609" s="18" t="str">
        <f>"PFES1162728267_0001"</f>
        <v>PFES1162728267_0001</v>
      </c>
      <c r="L1609" s="18">
        <v>1</v>
      </c>
      <c r="M1609" s="18">
        <v>1</v>
      </c>
    </row>
    <row r="1610" spans="1:13">
      <c r="A1610" s="7">
        <v>43812</v>
      </c>
      <c r="B1610" s="8">
        <v>0.51736111111111105</v>
      </c>
      <c r="C1610" s="18" t="str">
        <f>"FES1162728156"</f>
        <v>FES1162728156</v>
      </c>
      <c r="D1610" s="18" t="s">
        <v>19</v>
      </c>
      <c r="E1610" s="18" t="s">
        <v>798</v>
      </c>
      <c r="F1610" s="18" t="str">
        <f>"2170719036 "</f>
        <v xml:space="preserve">2170719036 </v>
      </c>
      <c r="G1610" s="18" t="str">
        <f t="shared" si="42"/>
        <v>ON1</v>
      </c>
      <c r="H1610" s="18" t="s">
        <v>21</v>
      </c>
      <c r="I1610" s="18" t="s">
        <v>136</v>
      </c>
      <c r="J1610" s="18" t="str">
        <f>""</f>
        <v/>
      </c>
      <c r="K1610" s="18" t="str">
        <f>"PFES1162728156_0001"</f>
        <v>PFES1162728156_0001</v>
      </c>
      <c r="L1610" s="18">
        <v>1</v>
      </c>
      <c r="M1610" s="18">
        <v>1</v>
      </c>
    </row>
    <row r="1611" spans="1:13">
      <c r="A1611" s="7">
        <v>43812</v>
      </c>
      <c r="B1611" s="8">
        <v>0.51736111111111105</v>
      </c>
      <c r="C1611" s="18" t="str">
        <f>"FES1162728247"</f>
        <v>FES1162728247</v>
      </c>
      <c r="D1611" s="18" t="s">
        <v>19</v>
      </c>
      <c r="E1611" s="18" t="s">
        <v>799</v>
      </c>
      <c r="F1611" s="18" t="str">
        <f>"2170721588 "</f>
        <v xml:space="preserve">2170721588 </v>
      </c>
      <c r="G1611" s="18" t="str">
        <f t="shared" si="42"/>
        <v>ON1</v>
      </c>
      <c r="H1611" s="18" t="s">
        <v>21</v>
      </c>
      <c r="I1611" s="18" t="s">
        <v>52</v>
      </c>
      <c r="J1611" s="18" t="str">
        <f>""</f>
        <v/>
      </c>
      <c r="K1611" s="18" t="str">
        <f>"PFES1162728247_0001"</f>
        <v>PFES1162728247_0001</v>
      </c>
      <c r="L1611" s="18">
        <v>1</v>
      </c>
      <c r="M1611" s="18">
        <v>1</v>
      </c>
    </row>
    <row r="1612" spans="1:13">
      <c r="A1612" s="7">
        <v>43812</v>
      </c>
      <c r="B1612" s="8">
        <v>0.51666666666666672</v>
      </c>
      <c r="C1612" s="18" t="str">
        <f>"FES1162728312"</f>
        <v>FES1162728312</v>
      </c>
      <c r="D1612" s="18" t="s">
        <v>19</v>
      </c>
      <c r="E1612" s="18" t="s">
        <v>194</v>
      </c>
      <c r="F1612" s="18" t="str">
        <f>"2170719299 "</f>
        <v xml:space="preserve">2170719299 </v>
      </c>
      <c r="G1612" s="18" t="str">
        <f t="shared" si="42"/>
        <v>ON1</v>
      </c>
      <c r="H1612" s="18" t="s">
        <v>21</v>
      </c>
      <c r="I1612" s="18" t="s">
        <v>37</v>
      </c>
      <c r="J1612" s="18" t="str">
        <f>""</f>
        <v/>
      </c>
      <c r="K1612" s="18" t="str">
        <f>"PFES1162728312_0001"</f>
        <v>PFES1162728312_0001</v>
      </c>
      <c r="L1612" s="18">
        <v>1</v>
      </c>
      <c r="M1612" s="18">
        <v>1</v>
      </c>
    </row>
    <row r="1613" spans="1:13">
      <c r="A1613" s="7">
        <v>43812</v>
      </c>
      <c r="B1613" s="8">
        <v>0.51597222222222217</v>
      </c>
      <c r="C1613" s="18" t="str">
        <f>"FES1162728332"</f>
        <v>FES1162728332</v>
      </c>
      <c r="D1613" s="18" t="s">
        <v>19</v>
      </c>
      <c r="E1613" s="18" t="s">
        <v>196</v>
      </c>
      <c r="F1613" s="18" t="str">
        <f>"2170719959 "</f>
        <v xml:space="preserve">2170719959 </v>
      </c>
      <c r="G1613" s="18" t="str">
        <f t="shared" si="42"/>
        <v>ON1</v>
      </c>
      <c r="H1613" s="18" t="s">
        <v>21</v>
      </c>
      <c r="I1613" s="18" t="s">
        <v>197</v>
      </c>
      <c r="J1613" s="18" t="str">
        <f>""</f>
        <v/>
      </c>
      <c r="K1613" s="18" t="str">
        <f>"PFES1162728332_0001"</f>
        <v>PFES1162728332_0001</v>
      </c>
      <c r="L1613" s="18">
        <v>1</v>
      </c>
      <c r="M1613" s="18">
        <v>1</v>
      </c>
    </row>
    <row r="1614" spans="1:13">
      <c r="A1614" s="7">
        <v>43812</v>
      </c>
      <c r="B1614" s="8">
        <v>0.51597222222222217</v>
      </c>
      <c r="C1614" s="18" t="str">
        <f>"FES1162728382"</f>
        <v>FES1162728382</v>
      </c>
      <c r="D1614" s="18" t="s">
        <v>19</v>
      </c>
      <c r="E1614" s="18" t="s">
        <v>142</v>
      </c>
      <c r="F1614" s="18" t="str">
        <f>"2170721672 "</f>
        <v xml:space="preserve">2170721672 </v>
      </c>
      <c r="G1614" s="18" t="str">
        <f t="shared" si="42"/>
        <v>ON1</v>
      </c>
      <c r="H1614" s="18" t="s">
        <v>21</v>
      </c>
      <c r="I1614" s="18" t="s">
        <v>37</v>
      </c>
      <c r="J1614" s="18" t="str">
        <f>""</f>
        <v/>
      </c>
      <c r="K1614" s="18" t="str">
        <f>"PFES1162728382_0001"</f>
        <v>PFES1162728382_0001</v>
      </c>
      <c r="L1614" s="18">
        <v>1</v>
      </c>
      <c r="M1614" s="18">
        <v>1</v>
      </c>
    </row>
    <row r="1615" spans="1:13">
      <c r="A1615" s="7">
        <v>43812</v>
      </c>
      <c r="B1615" s="8">
        <v>0.51527777777777783</v>
      </c>
      <c r="C1615" s="18" t="str">
        <f>"FES1162728298"</f>
        <v>FES1162728298</v>
      </c>
      <c r="D1615" s="18" t="s">
        <v>19</v>
      </c>
      <c r="E1615" s="18" t="s">
        <v>59</v>
      </c>
      <c r="F1615" s="18" t="str">
        <f>"2170717662 "</f>
        <v xml:space="preserve">2170717662 </v>
      </c>
      <c r="G1615" s="18" t="str">
        <f t="shared" si="42"/>
        <v>ON1</v>
      </c>
      <c r="H1615" s="18" t="s">
        <v>21</v>
      </c>
      <c r="I1615" s="18" t="s">
        <v>60</v>
      </c>
      <c r="J1615" s="18" t="str">
        <f>""</f>
        <v/>
      </c>
      <c r="K1615" s="18" t="str">
        <f>"PFES1162728298_0001"</f>
        <v>PFES1162728298_0001</v>
      </c>
      <c r="L1615" s="18">
        <v>1</v>
      </c>
      <c r="M1615" s="18">
        <v>1</v>
      </c>
    </row>
    <row r="1616" spans="1:13">
      <c r="A1616" s="7">
        <v>43812</v>
      </c>
      <c r="B1616" s="8">
        <v>0.51458333333333328</v>
      </c>
      <c r="C1616" s="18" t="str">
        <f>"FES1162728128"</f>
        <v>FES1162728128</v>
      </c>
      <c r="D1616" s="18" t="s">
        <v>19</v>
      </c>
      <c r="E1616" s="18" t="s">
        <v>732</v>
      </c>
      <c r="F1616" s="18" t="str">
        <f>"2170718814 "</f>
        <v xml:space="preserve">2170718814 </v>
      </c>
      <c r="G1616" s="18" t="str">
        <f t="shared" si="42"/>
        <v>ON1</v>
      </c>
      <c r="H1616" s="18" t="s">
        <v>21</v>
      </c>
      <c r="I1616" s="18" t="s">
        <v>733</v>
      </c>
      <c r="J1616" s="18" t="str">
        <f>""</f>
        <v/>
      </c>
      <c r="K1616" s="18" t="str">
        <f>"PFES1162728128_0001"</f>
        <v>PFES1162728128_0001</v>
      </c>
      <c r="L1616" s="18">
        <v>1</v>
      </c>
      <c r="M1616" s="18">
        <v>3</v>
      </c>
    </row>
    <row r="1617" spans="1:13">
      <c r="A1617" s="7">
        <v>43812</v>
      </c>
      <c r="B1617" s="8">
        <v>0.51388888888888895</v>
      </c>
      <c r="C1617" s="18" t="str">
        <f>"FES1162728180"</f>
        <v>FES1162728180</v>
      </c>
      <c r="D1617" s="18" t="s">
        <v>19</v>
      </c>
      <c r="E1617" s="18" t="s">
        <v>84</v>
      </c>
      <c r="F1617" s="18" t="str">
        <f>"2170721508 "</f>
        <v xml:space="preserve">2170721508 </v>
      </c>
      <c r="G1617" s="18" t="str">
        <f t="shared" si="42"/>
        <v>ON1</v>
      </c>
      <c r="H1617" s="18" t="s">
        <v>21</v>
      </c>
      <c r="I1617" s="18" t="s">
        <v>85</v>
      </c>
      <c r="J1617" s="18" t="str">
        <f>""</f>
        <v/>
      </c>
      <c r="K1617" s="18" t="str">
        <f>"PFES1162728180_0001"</f>
        <v>PFES1162728180_0001</v>
      </c>
      <c r="L1617" s="18">
        <v>1</v>
      </c>
      <c r="M1617" s="18">
        <v>4</v>
      </c>
    </row>
    <row r="1618" spans="1:13">
      <c r="A1618" s="7">
        <v>43812</v>
      </c>
      <c r="B1618" s="8">
        <v>0.51388888888888895</v>
      </c>
      <c r="C1618" s="18" t="str">
        <f>"FES1162728237"</f>
        <v>FES1162728237</v>
      </c>
      <c r="D1618" s="18" t="s">
        <v>19</v>
      </c>
      <c r="E1618" s="18" t="s">
        <v>480</v>
      </c>
      <c r="F1618" s="18" t="str">
        <f>"2170719600 "</f>
        <v xml:space="preserve">2170719600 </v>
      </c>
      <c r="G1618" s="18" t="str">
        <f t="shared" si="42"/>
        <v>ON1</v>
      </c>
      <c r="H1618" s="18" t="s">
        <v>21</v>
      </c>
      <c r="I1618" s="18" t="s">
        <v>481</v>
      </c>
      <c r="J1618" s="18" t="str">
        <f>""</f>
        <v/>
      </c>
      <c r="K1618" s="18" t="str">
        <f>"PFES1162728237_0001"</f>
        <v>PFES1162728237_0001</v>
      </c>
      <c r="L1618" s="18">
        <v>1</v>
      </c>
      <c r="M1618" s="18">
        <v>1</v>
      </c>
    </row>
    <row r="1619" spans="1:13">
      <c r="A1619" s="7">
        <v>43812</v>
      </c>
      <c r="B1619" s="8">
        <v>0.5131944444444444</v>
      </c>
      <c r="C1619" s="18" t="str">
        <f>"FES1162727940"</f>
        <v>FES1162727940</v>
      </c>
      <c r="D1619" s="18" t="s">
        <v>19</v>
      </c>
      <c r="E1619" s="18" t="s">
        <v>682</v>
      </c>
      <c r="F1619" s="18" t="str">
        <f>"2170721422 "</f>
        <v xml:space="preserve">2170721422 </v>
      </c>
      <c r="G1619" s="18" t="str">
        <f t="shared" si="42"/>
        <v>ON1</v>
      </c>
      <c r="H1619" s="18" t="s">
        <v>21</v>
      </c>
      <c r="I1619" s="18" t="s">
        <v>175</v>
      </c>
      <c r="J1619" s="18" t="str">
        <f>""</f>
        <v/>
      </c>
      <c r="K1619" s="18" t="str">
        <f>"PFES1162727940_0001"</f>
        <v>PFES1162727940_0001</v>
      </c>
      <c r="L1619" s="18">
        <v>1</v>
      </c>
      <c r="M1619" s="18">
        <v>14</v>
      </c>
    </row>
    <row r="1620" spans="1:13">
      <c r="A1620" s="7">
        <v>43812</v>
      </c>
      <c r="B1620" s="8">
        <v>0.51250000000000007</v>
      </c>
      <c r="C1620" s="18" t="str">
        <f>"FES1162728192"</f>
        <v>FES1162728192</v>
      </c>
      <c r="D1620" s="18" t="s">
        <v>19</v>
      </c>
      <c r="E1620" s="18" t="s">
        <v>99</v>
      </c>
      <c r="F1620" s="18" t="str">
        <f>"217071526 "</f>
        <v xml:space="preserve">217071526 </v>
      </c>
      <c r="G1620" s="18" t="str">
        <f t="shared" si="42"/>
        <v>ON1</v>
      </c>
      <c r="H1620" s="18" t="s">
        <v>21</v>
      </c>
      <c r="I1620" s="18" t="s">
        <v>100</v>
      </c>
      <c r="J1620" s="18" t="str">
        <f>""</f>
        <v/>
      </c>
      <c r="K1620" s="18" t="str">
        <f>"PFES1162728192_0001"</f>
        <v>PFES1162728192_0001</v>
      </c>
      <c r="L1620" s="18">
        <v>1</v>
      </c>
      <c r="M1620" s="18">
        <v>4</v>
      </c>
    </row>
    <row r="1621" spans="1:13">
      <c r="A1621" s="7">
        <v>43812</v>
      </c>
      <c r="B1621" s="8">
        <v>0.50416666666666665</v>
      </c>
      <c r="C1621" s="18" t="str">
        <f>"FES1162728440"</f>
        <v>FES1162728440</v>
      </c>
      <c r="D1621" s="18" t="s">
        <v>19</v>
      </c>
      <c r="E1621" s="18" t="s">
        <v>507</v>
      </c>
      <c r="F1621" s="18" t="str">
        <f>"21707217407 "</f>
        <v xml:space="preserve">21707217407 </v>
      </c>
      <c r="G1621" s="18" t="str">
        <f t="shared" si="42"/>
        <v>ON1</v>
      </c>
      <c r="H1621" s="18" t="s">
        <v>21</v>
      </c>
      <c r="I1621" s="18" t="s">
        <v>508</v>
      </c>
      <c r="J1621" s="18" t="str">
        <f>""</f>
        <v/>
      </c>
      <c r="K1621" s="18" t="str">
        <f>"PFES1162728440_0001"</f>
        <v>PFES1162728440_0001</v>
      </c>
      <c r="L1621" s="18">
        <v>1</v>
      </c>
      <c r="M1621" s="18">
        <v>2</v>
      </c>
    </row>
    <row r="1622" spans="1:13">
      <c r="A1622" s="7">
        <v>43812</v>
      </c>
      <c r="B1622" s="8">
        <v>0.50347222222222221</v>
      </c>
      <c r="C1622" s="18" t="str">
        <f>"FES1162728297"</f>
        <v>FES1162728297</v>
      </c>
      <c r="D1622" s="18" t="s">
        <v>19</v>
      </c>
      <c r="E1622" s="18" t="s">
        <v>59</v>
      </c>
      <c r="F1622" s="18" t="str">
        <f>"2170717658 "</f>
        <v xml:space="preserve">2170717658 </v>
      </c>
      <c r="G1622" s="18" t="str">
        <f t="shared" si="42"/>
        <v>ON1</v>
      </c>
      <c r="H1622" s="18" t="s">
        <v>21</v>
      </c>
      <c r="I1622" s="18" t="s">
        <v>60</v>
      </c>
      <c r="J1622" s="18" t="str">
        <f>""</f>
        <v/>
      </c>
      <c r="K1622" s="18" t="str">
        <f>"PFES1162728297_0001"</f>
        <v>PFES1162728297_0001</v>
      </c>
      <c r="L1622" s="18">
        <v>1</v>
      </c>
      <c r="M1622" s="18">
        <v>1</v>
      </c>
    </row>
    <row r="1623" spans="1:13">
      <c r="A1623" s="7">
        <v>43812</v>
      </c>
      <c r="B1623" s="8">
        <v>0.50347222222222221</v>
      </c>
      <c r="C1623" s="18" t="str">
        <f>"FES1162728319"</f>
        <v>FES1162728319</v>
      </c>
      <c r="D1623" s="18" t="s">
        <v>19</v>
      </c>
      <c r="E1623" s="18" t="s">
        <v>534</v>
      </c>
      <c r="F1623" s="18" t="str">
        <f>"21707198492 "</f>
        <v xml:space="preserve">21707198492 </v>
      </c>
      <c r="G1623" s="18" t="str">
        <f t="shared" si="42"/>
        <v>ON1</v>
      </c>
      <c r="H1623" s="18" t="s">
        <v>21</v>
      </c>
      <c r="I1623" s="18" t="s">
        <v>535</v>
      </c>
      <c r="J1623" s="18" t="str">
        <f>""</f>
        <v/>
      </c>
      <c r="K1623" s="18" t="str">
        <f>"PFES1162728319_0001"</f>
        <v>PFES1162728319_0001</v>
      </c>
      <c r="L1623" s="18">
        <v>1</v>
      </c>
      <c r="M1623" s="18">
        <v>3</v>
      </c>
    </row>
    <row r="1624" spans="1:13">
      <c r="A1624" s="7">
        <v>43812</v>
      </c>
      <c r="B1624" s="8">
        <v>0.50277777777777777</v>
      </c>
      <c r="C1624" s="18" t="str">
        <f>"FES1162728313"</f>
        <v>FES1162728313</v>
      </c>
      <c r="D1624" s="18" t="s">
        <v>19</v>
      </c>
      <c r="E1624" s="18" t="s">
        <v>153</v>
      </c>
      <c r="F1624" s="18" t="str">
        <f>"2170719037 "</f>
        <v xml:space="preserve">2170719037 </v>
      </c>
      <c r="G1624" s="18" t="str">
        <f t="shared" si="42"/>
        <v>ON1</v>
      </c>
      <c r="H1624" s="18" t="s">
        <v>21</v>
      </c>
      <c r="I1624" s="18" t="s">
        <v>145</v>
      </c>
      <c r="J1624" s="18" t="str">
        <f>""</f>
        <v/>
      </c>
      <c r="K1624" s="18" t="str">
        <f>"PFES1162728313_0001"</f>
        <v>PFES1162728313_0001</v>
      </c>
      <c r="L1624" s="18">
        <v>1</v>
      </c>
      <c r="M1624" s="18">
        <v>2</v>
      </c>
    </row>
    <row r="1625" spans="1:13">
      <c r="A1625" s="7">
        <v>43812</v>
      </c>
      <c r="B1625" s="8">
        <v>0.50277777777777777</v>
      </c>
      <c r="C1625" s="18" t="str">
        <f>"FES1162728294"</f>
        <v>FES1162728294</v>
      </c>
      <c r="D1625" s="18" t="s">
        <v>19</v>
      </c>
      <c r="E1625" s="18" t="s">
        <v>800</v>
      </c>
      <c r="F1625" s="18" t="str">
        <f>"2170716034 "</f>
        <v xml:space="preserve">2170716034 </v>
      </c>
      <c r="G1625" s="18" t="str">
        <f t="shared" si="42"/>
        <v>ON1</v>
      </c>
      <c r="H1625" s="18" t="s">
        <v>21</v>
      </c>
      <c r="I1625" s="18" t="s">
        <v>801</v>
      </c>
      <c r="J1625" s="18" t="str">
        <f>""</f>
        <v/>
      </c>
      <c r="K1625" s="18" t="str">
        <f>"PFES1162728294_0001"</f>
        <v>PFES1162728294_0001</v>
      </c>
      <c r="L1625" s="18">
        <v>1</v>
      </c>
      <c r="M1625" s="18">
        <v>11</v>
      </c>
    </row>
    <row r="1626" spans="1:13">
      <c r="A1626" s="7">
        <v>43812</v>
      </c>
      <c r="B1626" s="8">
        <v>0.50277777777777777</v>
      </c>
      <c r="C1626" s="18" t="str">
        <f>"FES1162728300"</f>
        <v>FES1162728300</v>
      </c>
      <c r="D1626" s="18" t="s">
        <v>19</v>
      </c>
      <c r="E1626" s="18" t="s">
        <v>534</v>
      </c>
      <c r="F1626" s="18" t="str">
        <f>"2170718770 "</f>
        <v xml:space="preserve">2170718770 </v>
      </c>
      <c r="G1626" s="18" t="str">
        <f t="shared" si="42"/>
        <v>ON1</v>
      </c>
      <c r="H1626" s="18" t="s">
        <v>21</v>
      </c>
      <c r="I1626" s="18" t="s">
        <v>535</v>
      </c>
      <c r="J1626" s="18" t="str">
        <f>""</f>
        <v/>
      </c>
      <c r="K1626" s="18" t="str">
        <f>"PFES1162728300_0001"</f>
        <v>PFES1162728300_0001</v>
      </c>
      <c r="L1626" s="18">
        <v>1</v>
      </c>
      <c r="M1626" s="18">
        <v>12</v>
      </c>
    </row>
    <row r="1627" spans="1:13">
      <c r="A1627" s="7">
        <v>43812</v>
      </c>
      <c r="B1627" s="8">
        <v>0.50208333333333333</v>
      </c>
      <c r="C1627" s="18" t="str">
        <f>"FES1162728377"</f>
        <v>FES1162728377</v>
      </c>
      <c r="D1627" s="18" t="s">
        <v>19</v>
      </c>
      <c r="E1627" s="18" t="s">
        <v>335</v>
      </c>
      <c r="F1627" s="18" t="str">
        <f>"21707127860 "</f>
        <v xml:space="preserve">21707127860 </v>
      </c>
      <c r="G1627" s="18" t="str">
        <f t="shared" si="42"/>
        <v>ON1</v>
      </c>
      <c r="H1627" s="18" t="s">
        <v>21</v>
      </c>
      <c r="I1627" s="18" t="s">
        <v>336</v>
      </c>
      <c r="J1627" s="18" t="str">
        <f>""</f>
        <v/>
      </c>
      <c r="K1627" s="18" t="str">
        <f>"PFES1162728377_0001"</f>
        <v>PFES1162728377_0001</v>
      </c>
      <c r="L1627" s="18">
        <v>1</v>
      </c>
      <c r="M1627" s="18">
        <v>1</v>
      </c>
    </row>
    <row r="1628" spans="1:13">
      <c r="A1628" s="7">
        <v>43812</v>
      </c>
      <c r="B1628" s="8">
        <v>0.50208333333333333</v>
      </c>
      <c r="C1628" s="18" t="str">
        <f>"FES1162728397"</f>
        <v>FES1162728397</v>
      </c>
      <c r="D1628" s="18" t="s">
        <v>19</v>
      </c>
      <c r="E1628" s="18" t="s">
        <v>36</v>
      </c>
      <c r="F1628" s="18" t="str">
        <f>"2170718320 "</f>
        <v xml:space="preserve">2170718320 </v>
      </c>
      <c r="G1628" s="18" t="str">
        <f t="shared" si="42"/>
        <v>ON1</v>
      </c>
      <c r="H1628" s="18" t="s">
        <v>21</v>
      </c>
      <c r="I1628" s="18" t="s">
        <v>37</v>
      </c>
      <c r="J1628" s="18" t="str">
        <f>""</f>
        <v/>
      </c>
      <c r="K1628" s="18" t="str">
        <f>"PFES1162728397_0001"</f>
        <v>PFES1162728397_0001</v>
      </c>
      <c r="L1628" s="18">
        <v>1</v>
      </c>
      <c r="M1628" s="18">
        <v>1</v>
      </c>
    </row>
    <row r="1629" spans="1:13">
      <c r="A1629" s="7">
        <v>43812</v>
      </c>
      <c r="B1629" s="8">
        <v>0.50138888888888888</v>
      </c>
      <c r="C1629" s="18" t="str">
        <f>"FES1162728296"</f>
        <v>FES1162728296</v>
      </c>
      <c r="D1629" s="18" t="s">
        <v>19</v>
      </c>
      <c r="E1629" s="18" t="s">
        <v>142</v>
      </c>
      <c r="F1629" s="18" t="str">
        <f>"21707169798 "</f>
        <v xml:space="preserve">21707169798 </v>
      </c>
      <c r="G1629" s="18" t="str">
        <f t="shared" si="42"/>
        <v>ON1</v>
      </c>
      <c r="H1629" s="18" t="s">
        <v>21</v>
      </c>
      <c r="I1629" s="18" t="s">
        <v>37</v>
      </c>
      <c r="J1629" s="18" t="str">
        <f>""</f>
        <v/>
      </c>
      <c r="K1629" s="18" t="str">
        <f>"PFES1162728296_0001"</f>
        <v>PFES1162728296_0001</v>
      </c>
      <c r="L1629" s="18">
        <v>1</v>
      </c>
      <c r="M1629" s="18">
        <v>1</v>
      </c>
    </row>
    <row r="1630" spans="1:13">
      <c r="A1630" s="7">
        <v>43812</v>
      </c>
      <c r="B1630" s="8">
        <v>0.50138888888888888</v>
      </c>
      <c r="C1630" s="18" t="str">
        <f>"FES1162728301"</f>
        <v>FES1162728301</v>
      </c>
      <c r="D1630" s="18" t="s">
        <v>19</v>
      </c>
      <c r="E1630" s="18" t="s">
        <v>802</v>
      </c>
      <c r="F1630" s="18" t="str">
        <f>"2170718902 "</f>
        <v xml:space="preserve">2170718902 </v>
      </c>
      <c r="G1630" s="18" t="str">
        <f t="shared" si="42"/>
        <v>ON1</v>
      </c>
      <c r="H1630" s="18" t="s">
        <v>21</v>
      </c>
      <c r="I1630" s="18" t="s">
        <v>466</v>
      </c>
      <c r="J1630" s="18" t="str">
        <f>""</f>
        <v/>
      </c>
      <c r="K1630" s="18" t="str">
        <f>"PFES1162728301_0001"</f>
        <v>PFES1162728301_0001</v>
      </c>
      <c r="L1630" s="18">
        <v>1</v>
      </c>
      <c r="M1630" s="18">
        <v>1</v>
      </c>
    </row>
    <row r="1631" spans="1:13">
      <c r="A1631" s="7">
        <v>43812</v>
      </c>
      <c r="B1631" s="8">
        <v>0.50138888888888888</v>
      </c>
      <c r="C1631" s="18" t="str">
        <f>"FES1162728341"</f>
        <v>FES1162728341</v>
      </c>
      <c r="D1631" s="18" t="s">
        <v>19</v>
      </c>
      <c r="E1631" s="18" t="s">
        <v>59</v>
      </c>
      <c r="F1631" s="18" t="str">
        <f>"2170718020 "</f>
        <v xml:space="preserve">2170718020 </v>
      </c>
      <c r="G1631" s="18" t="str">
        <f t="shared" si="42"/>
        <v>ON1</v>
      </c>
      <c r="H1631" s="18" t="s">
        <v>21</v>
      </c>
      <c r="I1631" s="18" t="s">
        <v>60</v>
      </c>
      <c r="J1631" s="18" t="str">
        <f>""</f>
        <v/>
      </c>
      <c r="K1631" s="18" t="str">
        <f>"PFES1162728341_0001"</f>
        <v>PFES1162728341_0001</v>
      </c>
      <c r="L1631" s="18">
        <v>1</v>
      </c>
      <c r="M1631" s="18">
        <v>1</v>
      </c>
    </row>
    <row r="1632" spans="1:13">
      <c r="A1632" s="7">
        <v>43812</v>
      </c>
      <c r="B1632" s="8">
        <v>0.50069444444444444</v>
      </c>
      <c r="C1632" s="18" t="str">
        <f>"FES1162728325"</f>
        <v>FES1162728325</v>
      </c>
      <c r="D1632" s="18" t="s">
        <v>19</v>
      </c>
      <c r="E1632" s="18" t="s">
        <v>151</v>
      </c>
      <c r="F1632" s="18" t="str">
        <f>"2170719565 "</f>
        <v xml:space="preserve">2170719565 </v>
      </c>
      <c r="G1632" s="18" t="str">
        <f t="shared" si="42"/>
        <v>ON1</v>
      </c>
      <c r="H1632" s="18" t="s">
        <v>21</v>
      </c>
      <c r="I1632" s="18" t="s">
        <v>152</v>
      </c>
      <c r="J1632" s="18" t="str">
        <f>""</f>
        <v/>
      </c>
      <c r="K1632" s="18" t="str">
        <f>"PFES1162728325_0001"</f>
        <v>PFES1162728325_0001</v>
      </c>
      <c r="L1632" s="18">
        <v>1</v>
      </c>
      <c r="M1632" s="18">
        <v>1</v>
      </c>
    </row>
    <row r="1633" spans="1:13">
      <c r="A1633" s="7">
        <v>43812</v>
      </c>
      <c r="B1633" s="8">
        <v>0.50069444444444444</v>
      </c>
      <c r="C1633" s="18" t="str">
        <f>"FES1162728307"</f>
        <v>FES1162728307</v>
      </c>
      <c r="D1633" s="18" t="s">
        <v>19</v>
      </c>
      <c r="E1633" s="18" t="s">
        <v>38</v>
      </c>
      <c r="F1633" s="18" t="str">
        <f>"21707198085 "</f>
        <v xml:space="preserve">21707198085 </v>
      </c>
      <c r="G1633" s="18" t="str">
        <f t="shared" si="42"/>
        <v>ON1</v>
      </c>
      <c r="H1633" s="18" t="s">
        <v>21</v>
      </c>
      <c r="I1633" s="18" t="s">
        <v>39</v>
      </c>
      <c r="J1633" s="18" t="str">
        <f>""</f>
        <v/>
      </c>
      <c r="K1633" s="18" t="str">
        <f>"PFES1162728307_0001"</f>
        <v>PFES1162728307_0001</v>
      </c>
      <c r="L1633" s="18">
        <v>1</v>
      </c>
      <c r="M1633" s="18">
        <v>1</v>
      </c>
    </row>
    <row r="1634" spans="1:13">
      <c r="A1634" s="7">
        <v>43812</v>
      </c>
      <c r="B1634" s="8">
        <v>0.50069444444444444</v>
      </c>
      <c r="C1634" s="18" t="str">
        <f>"FES1162728409"</f>
        <v>FES1162728409</v>
      </c>
      <c r="D1634" s="18" t="s">
        <v>19</v>
      </c>
      <c r="E1634" s="18" t="s">
        <v>59</v>
      </c>
      <c r="F1634" s="18" t="str">
        <f>"2170718541 "</f>
        <v xml:space="preserve">2170718541 </v>
      </c>
      <c r="G1634" s="18" t="str">
        <f t="shared" si="42"/>
        <v>ON1</v>
      </c>
      <c r="H1634" s="18" t="s">
        <v>21</v>
      </c>
      <c r="I1634" s="18" t="s">
        <v>60</v>
      </c>
      <c r="J1634" s="18" t="str">
        <f>""</f>
        <v/>
      </c>
      <c r="K1634" s="18" t="str">
        <f>"PFES1162728409_0001"</f>
        <v>PFES1162728409_0001</v>
      </c>
      <c r="L1634" s="18">
        <v>1</v>
      </c>
      <c r="M1634" s="18">
        <v>1</v>
      </c>
    </row>
    <row r="1635" spans="1:13">
      <c r="A1635" s="7">
        <v>43812</v>
      </c>
      <c r="B1635" s="8">
        <v>0.49722222222222223</v>
      </c>
      <c r="C1635" s="18" t="str">
        <f>"FES1162728222"</f>
        <v>FES1162728222</v>
      </c>
      <c r="D1635" s="18" t="s">
        <v>19</v>
      </c>
      <c r="E1635" s="18" t="s">
        <v>116</v>
      </c>
      <c r="F1635" s="18" t="str">
        <f>"217071574 "</f>
        <v xml:space="preserve">217071574 </v>
      </c>
      <c r="G1635" s="18" t="str">
        <f t="shared" si="42"/>
        <v>ON1</v>
      </c>
      <c r="H1635" s="18" t="s">
        <v>21</v>
      </c>
      <c r="I1635" s="18" t="s">
        <v>117</v>
      </c>
      <c r="J1635" s="18" t="str">
        <f>""</f>
        <v/>
      </c>
      <c r="K1635" s="18" t="str">
        <f>"PFES1162728222_0001"</f>
        <v>PFES1162728222_0001</v>
      </c>
      <c r="L1635" s="18">
        <v>1</v>
      </c>
      <c r="M1635" s="18">
        <v>10</v>
      </c>
    </row>
    <row r="1636" spans="1:13">
      <c r="A1636" s="7">
        <v>43812</v>
      </c>
      <c r="B1636" s="8">
        <v>0.49722222222222223</v>
      </c>
      <c r="C1636" s="18" t="str">
        <f>"FES1162728256"</f>
        <v>FES1162728256</v>
      </c>
      <c r="D1636" s="18" t="s">
        <v>19</v>
      </c>
      <c r="E1636" s="18" t="s">
        <v>566</v>
      </c>
      <c r="F1636" s="18" t="str">
        <f>"21707121081 "</f>
        <v xml:space="preserve">21707121081 </v>
      </c>
      <c r="G1636" s="18" t="str">
        <f t="shared" si="42"/>
        <v>ON1</v>
      </c>
      <c r="H1636" s="18" t="s">
        <v>21</v>
      </c>
      <c r="I1636" s="18" t="s">
        <v>489</v>
      </c>
      <c r="J1636" s="18" t="str">
        <f>""</f>
        <v/>
      </c>
      <c r="K1636" s="18" t="str">
        <f>"PFES1162728256_0001"</f>
        <v>PFES1162728256_0001</v>
      </c>
      <c r="L1636" s="18">
        <v>1</v>
      </c>
      <c r="M1636" s="18">
        <v>3</v>
      </c>
    </row>
    <row r="1637" spans="1:13">
      <c r="A1637" s="7">
        <v>43812</v>
      </c>
      <c r="B1637" s="8">
        <v>0.49652777777777773</v>
      </c>
      <c r="C1637" s="18" t="str">
        <f>"FES1162728053"</f>
        <v>FES1162728053</v>
      </c>
      <c r="D1637" s="18" t="s">
        <v>19</v>
      </c>
      <c r="E1637" s="18" t="s">
        <v>101</v>
      </c>
      <c r="F1637" s="18" t="str">
        <f>"2170717096 "</f>
        <v xml:space="preserve">2170717096 </v>
      </c>
      <c r="G1637" s="18" t="str">
        <f t="shared" si="42"/>
        <v>ON1</v>
      </c>
      <c r="H1637" s="18" t="s">
        <v>21</v>
      </c>
      <c r="I1637" s="18" t="s">
        <v>102</v>
      </c>
      <c r="J1637" s="18" t="str">
        <f>""</f>
        <v/>
      </c>
      <c r="K1637" s="18" t="str">
        <f>"PFES1162728053_0001"</f>
        <v>PFES1162728053_0001</v>
      </c>
      <c r="L1637" s="18">
        <v>1</v>
      </c>
      <c r="M1637" s="18">
        <v>2</v>
      </c>
    </row>
    <row r="1638" spans="1:13">
      <c r="A1638" s="7">
        <v>43812</v>
      </c>
      <c r="B1638" s="8">
        <v>0.49652777777777773</v>
      </c>
      <c r="C1638" s="18" t="str">
        <f>"FES1162728370"</f>
        <v>FES1162728370</v>
      </c>
      <c r="D1638" s="18" t="s">
        <v>19</v>
      </c>
      <c r="E1638" s="18" t="s">
        <v>97</v>
      </c>
      <c r="F1638" s="18" t="str">
        <f>"2170714476 "</f>
        <v xml:space="preserve">2170714476 </v>
      </c>
      <c r="G1638" s="18" t="str">
        <f t="shared" si="42"/>
        <v>ON1</v>
      </c>
      <c r="H1638" s="18" t="s">
        <v>21</v>
      </c>
      <c r="I1638" s="18" t="s">
        <v>98</v>
      </c>
      <c r="J1638" s="18" t="str">
        <f>""</f>
        <v/>
      </c>
      <c r="K1638" s="18" t="str">
        <f>"PFES1162728370_0001"</f>
        <v>PFES1162728370_0001</v>
      </c>
      <c r="L1638" s="18">
        <v>1</v>
      </c>
      <c r="M1638" s="18">
        <v>2</v>
      </c>
    </row>
    <row r="1639" spans="1:13">
      <c r="A1639" s="7">
        <v>43812</v>
      </c>
      <c r="B1639" s="8">
        <v>0.49583333333333335</v>
      </c>
      <c r="C1639" s="18" t="str">
        <f>"FES1162727941"</f>
        <v>FES1162727941</v>
      </c>
      <c r="D1639" s="18" t="s">
        <v>19</v>
      </c>
      <c r="E1639" s="18" t="s">
        <v>803</v>
      </c>
      <c r="F1639" s="18" t="str">
        <f>"2170721423 "</f>
        <v xml:space="preserve">2170721423 </v>
      </c>
      <c r="G1639" s="18" t="str">
        <f t="shared" si="42"/>
        <v>ON1</v>
      </c>
      <c r="H1639" s="18" t="s">
        <v>21</v>
      </c>
      <c r="I1639" s="18" t="s">
        <v>653</v>
      </c>
      <c r="J1639" s="18" t="str">
        <f>""</f>
        <v/>
      </c>
      <c r="K1639" s="18" t="str">
        <f>"PFES1162727941_0001"</f>
        <v>PFES1162727941_0001</v>
      </c>
      <c r="L1639" s="18">
        <v>1</v>
      </c>
      <c r="M1639" s="18">
        <v>1</v>
      </c>
    </row>
    <row r="1640" spans="1:13">
      <c r="A1640" s="7">
        <v>43812</v>
      </c>
      <c r="B1640" s="8">
        <v>0.47152777777777777</v>
      </c>
      <c r="C1640" s="18" t="str">
        <f>"FES1162728371"</f>
        <v>FES1162728371</v>
      </c>
      <c r="D1640" s="18" t="s">
        <v>19</v>
      </c>
      <c r="E1640" s="18" t="s">
        <v>101</v>
      </c>
      <c r="F1640" s="18" t="str">
        <f>"2170721280 "</f>
        <v xml:space="preserve">2170721280 </v>
      </c>
      <c r="G1640" s="18" t="str">
        <f t="shared" si="42"/>
        <v>ON1</v>
      </c>
      <c r="H1640" s="18" t="s">
        <v>21</v>
      </c>
      <c r="I1640" s="18" t="s">
        <v>102</v>
      </c>
      <c r="J1640" s="18" t="str">
        <f>""</f>
        <v/>
      </c>
      <c r="K1640" s="18" t="str">
        <f>"PFES1162728371_0001"</f>
        <v>PFES1162728371_0001</v>
      </c>
      <c r="L1640" s="18">
        <v>1</v>
      </c>
      <c r="M1640" s="18">
        <v>1</v>
      </c>
    </row>
    <row r="1641" spans="1:13">
      <c r="A1641" s="7">
        <v>43817</v>
      </c>
      <c r="B1641" s="8">
        <v>0.69027777777777777</v>
      </c>
      <c r="C1641" s="19" t="str">
        <f>"FES1162729023"</f>
        <v>FES1162729023</v>
      </c>
      <c r="D1641" s="19" t="s">
        <v>19</v>
      </c>
      <c r="E1641" s="19" t="s">
        <v>684</v>
      </c>
      <c r="F1641" s="19" t="str">
        <f>"2170722132 "</f>
        <v xml:space="preserve">2170722132 </v>
      </c>
      <c r="G1641" s="19" t="str">
        <f t="shared" si="42"/>
        <v>ON1</v>
      </c>
      <c r="H1641" s="19" t="s">
        <v>21</v>
      </c>
      <c r="I1641" s="19" t="s">
        <v>685</v>
      </c>
      <c r="J1641" s="19" t="str">
        <f>""</f>
        <v/>
      </c>
      <c r="K1641" s="19" t="str">
        <f>"PFES1162729023_0001"</f>
        <v>PFES1162729023_0001</v>
      </c>
      <c r="L1641" s="19">
        <v>1</v>
      </c>
      <c r="M1641" s="19">
        <v>2</v>
      </c>
    </row>
    <row r="1642" spans="1:13">
      <c r="A1642" s="7">
        <v>43817</v>
      </c>
      <c r="B1642" s="8">
        <v>0.68958333333333333</v>
      </c>
      <c r="C1642" s="19" t="str">
        <f>"FES1162728926"</f>
        <v>FES1162728926</v>
      </c>
      <c r="D1642" s="19" t="s">
        <v>19</v>
      </c>
      <c r="E1642" s="19" t="s">
        <v>292</v>
      </c>
      <c r="F1642" s="19" t="str">
        <f>"2170798188 "</f>
        <v xml:space="preserve">2170798188 </v>
      </c>
      <c r="G1642" s="19" t="str">
        <f t="shared" si="42"/>
        <v>ON1</v>
      </c>
      <c r="H1642" s="19" t="s">
        <v>21</v>
      </c>
      <c r="I1642" s="19" t="s">
        <v>78</v>
      </c>
      <c r="J1642" s="19" t="str">
        <f>""</f>
        <v/>
      </c>
      <c r="K1642" s="19" t="str">
        <f>"PFES1162728926_0001"</f>
        <v>PFES1162728926_0001</v>
      </c>
      <c r="L1642" s="19">
        <v>1</v>
      </c>
      <c r="M1642" s="19">
        <v>2</v>
      </c>
    </row>
    <row r="1643" spans="1:13">
      <c r="A1643" s="7">
        <v>43817</v>
      </c>
      <c r="B1643" s="8">
        <v>0.68958333333333333</v>
      </c>
      <c r="C1643" s="19" t="str">
        <f>"FES1162728929"</f>
        <v>FES1162728929</v>
      </c>
      <c r="D1643" s="19" t="s">
        <v>19</v>
      </c>
      <c r="E1643" s="19" t="s">
        <v>804</v>
      </c>
      <c r="F1643" s="19" t="str">
        <f>"2170722036 "</f>
        <v xml:space="preserve">2170722036 </v>
      </c>
      <c r="G1643" s="19" t="str">
        <f t="shared" si="42"/>
        <v>ON1</v>
      </c>
      <c r="H1643" s="19" t="s">
        <v>21</v>
      </c>
      <c r="I1643" s="19" t="s">
        <v>805</v>
      </c>
      <c r="J1643" s="19" t="str">
        <f>""</f>
        <v/>
      </c>
      <c r="K1643" s="19" t="str">
        <f>"PFES1162728929_0001"</f>
        <v>PFES1162728929_0001</v>
      </c>
      <c r="L1643" s="19">
        <v>1</v>
      </c>
      <c r="M1643" s="19">
        <v>5</v>
      </c>
    </row>
    <row r="1644" spans="1:13">
      <c r="A1644" s="7">
        <v>43817</v>
      </c>
      <c r="B1644" s="8">
        <v>0.68958333333333333</v>
      </c>
      <c r="C1644" s="19" t="str">
        <f>"FES1162728807"</f>
        <v>FES1162728807</v>
      </c>
      <c r="D1644" s="19" t="s">
        <v>19</v>
      </c>
      <c r="E1644" s="19" t="s">
        <v>511</v>
      </c>
      <c r="F1644" s="19" t="str">
        <f>"217076892 "</f>
        <v xml:space="preserve">217076892 </v>
      </c>
      <c r="G1644" s="19" t="str">
        <f t="shared" si="42"/>
        <v>ON1</v>
      </c>
      <c r="H1644" s="19" t="s">
        <v>21</v>
      </c>
      <c r="I1644" s="19" t="s">
        <v>123</v>
      </c>
      <c r="J1644" s="19" t="str">
        <f>""</f>
        <v/>
      </c>
      <c r="K1644" s="19" t="str">
        <f>"PFES1162728807_0001"</f>
        <v>PFES1162728807_0001</v>
      </c>
      <c r="L1644" s="19">
        <v>1</v>
      </c>
      <c r="M1644" s="19">
        <v>1</v>
      </c>
    </row>
    <row r="1645" spans="1:13">
      <c r="A1645" s="7">
        <v>43817</v>
      </c>
      <c r="B1645" s="8">
        <v>0.68888888888888899</v>
      </c>
      <c r="C1645" s="19" t="str">
        <f>"FES1162729022"</f>
        <v>FES1162729022</v>
      </c>
      <c r="D1645" s="19" t="s">
        <v>19</v>
      </c>
      <c r="E1645" s="19" t="s">
        <v>614</v>
      </c>
      <c r="F1645" s="19" t="str">
        <f>"2170722130 "</f>
        <v xml:space="preserve">2170722130 </v>
      </c>
      <c r="G1645" s="19" t="str">
        <f t="shared" si="42"/>
        <v>ON1</v>
      </c>
      <c r="H1645" s="19" t="s">
        <v>21</v>
      </c>
      <c r="I1645" s="19" t="s">
        <v>147</v>
      </c>
      <c r="J1645" s="19" t="str">
        <f>""</f>
        <v/>
      </c>
      <c r="K1645" s="19" t="str">
        <f>"PFES1162729022_0001"</f>
        <v>PFES1162729022_0001</v>
      </c>
      <c r="L1645" s="19">
        <v>1</v>
      </c>
      <c r="M1645" s="19">
        <v>1</v>
      </c>
    </row>
    <row r="1646" spans="1:13">
      <c r="A1646" s="7">
        <v>43817</v>
      </c>
      <c r="B1646" s="8">
        <v>0.68333333333333324</v>
      </c>
      <c r="C1646" s="19" t="str">
        <f>"FES1162728912"</f>
        <v>FES1162728912</v>
      </c>
      <c r="D1646" s="19" t="s">
        <v>19</v>
      </c>
      <c r="E1646" s="19" t="s">
        <v>97</v>
      </c>
      <c r="F1646" s="19" t="str">
        <f>"2170722013 "</f>
        <v xml:space="preserve">2170722013 </v>
      </c>
      <c r="G1646" s="19" t="str">
        <f t="shared" si="42"/>
        <v>ON1</v>
      </c>
      <c r="H1646" s="19" t="s">
        <v>21</v>
      </c>
      <c r="I1646" s="19" t="s">
        <v>98</v>
      </c>
      <c r="J1646" s="19" t="str">
        <f>""</f>
        <v/>
      </c>
      <c r="K1646" s="19" t="str">
        <f>"PFES1162728912_0001"</f>
        <v>PFES1162728912_0001</v>
      </c>
      <c r="L1646" s="19">
        <v>1</v>
      </c>
      <c r="M1646" s="19">
        <v>1</v>
      </c>
    </row>
    <row r="1647" spans="1:13">
      <c r="A1647" s="7">
        <v>43817</v>
      </c>
      <c r="B1647" s="8">
        <v>0.68333333333333324</v>
      </c>
      <c r="C1647" s="19" t="str">
        <f>"FES1162728757"</f>
        <v>FES1162728757</v>
      </c>
      <c r="D1647" s="19" t="s">
        <v>19</v>
      </c>
      <c r="E1647" s="19" t="s">
        <v>344</v>
      </c>
      <c r="F1647" s="19" t="str">
        <f>"2170721951 "</f>
        <v xml:space="preserve">2170721951 </v>
      </c>
      <c r="G1647" s="19" t="str">
        <f t="shared" si="42"/>
        <v>ON1</v>
      </c>
      <c r="H1647" s="19" t="s">
        <v>21</v>
      </c>
      <c r="I1647" s="19" t="s">
        <v>183</v>
      </c>
      <c r="J1647" s="19" t="str">
        <f>""</f>
        <v/>
      </c>
      <c r="K1647" s="19" t="str">
        <f>"PFES1162728757_0001"</f>
        <v>PFES1162728757_0001</v>
      </c>
      <c r="L1647" s="19">
        <v>1</v>
      </c>
      <c r="M1647" s="19">
        <v>1</v>
      </c>
    </row>
    <row r="1648" spans="1:13">
      <c r="A1648" s="7">
        <v>43817</v>
      </c>
      <c r="B1648" s="8">
        <v>0.68263888888888891</v>
      </c>
      <c r="C1648" s="19" t="str">
        <f>"FES1162729010"</f>
        <v>FES1162729010</v>
      </c>
      <c r="D1648" s="19" t="s">
        <v>19</v>
      </c>
      <c r="E1648" s="19" t="s">
        <v>44</v>
      </c>
      <c r="F1648" s="19" t="str">
        <f>"21707252048 "</f>
        <v xml:space="preserve">21707252048 </v>
      </c>
      <c r="G1648" s="19" t="str">
        <f>"DBC"</f>
        <v>DBC</v>
      </c>
      <c r="H1648" s="19" t="s">
        <v>21</v>
      </c>
      <c r="I1648" s="19" t="s">
        <v>45</v>
      </c>
      <c r="J1648" s="19" t="str">
        <f>""</f>
        <v/>
      </c>
      <c r="K1648" s="19" t="str">
        <f>"PFES1162729010_0001"</f>
        <v>PFES1162729010_0001</v>
      </c>
      <c r="L1648" s="19">
        <v>2</v>
      </c>
      <c r="M1648" s="19">
        <v>24</v>
      </c>
    </row>
    <row r="1649" spans="1:13">
      <c r="A1649" s="7">
        <v>43817</v>
      </c>
      <c r="B1649" s="8">
        <v>0.68263888888888891</v>
      </c>
      <c r="C1649" s="19" t="str">
        <f>"FES1162728759"</f>
        <v>FES1162728759</v>
      </c>
      <c r="D1649" s="19" t="s">
        <v>19</v>
      </c>
      <c r="E1649" s="19" t="s">
        <v>93</v>
      </c>
      <c r="F1649" s="19" t="str">
        <f>"217071925 "</f>
        <v xml:space="preserve">217071925 </v>
      </c>
      <c r="G1649" s="19" t="str">
        <f t="shared" ref="G1649:G1668" si="43">"ON1"</f>
        <v>ON1</v>
      </c>
      <c r="H1649" s="19" t="s">
        <v>21</v>
      </c>
      <c r="I1649" s="19" t="s">
        <v>31</v>
      </c>
      <c r="J1649" s="19" t="str">
        <f>""</f>
        <v/>
      </c>
      <c r="K1649" s="19" t="str">
        <f>"PFES1162728759_0001"</f>
        <v>PFES1162728759_0001</v>
      </c>
      <c r="L1649" s="19">
        <v>1</v>
      </c>
      <c r="M1649" s="19">
        <v>1</v>
      </c>
    </row>
    <row r="1650" spans="1:13">
      <c r="A1650" s="7">
        <v>43817</v>
      </c>
      <c r="B1650" s="8">
        <v>0.68194444444444446</v>
      </c>
      <c r="C1650" s="19" t="str">
        <f>"FES1162728834"</f>
        <v>FES1162728834</v>
      </c>
      <c r="D1650" s="19" t="s">
        <v>19</v>
      </c>
      <c r="E1650" s="19" t="s">
        <v>271</v>
      </c>
      <c r="F1650" s="19" t="str">
        <f>"21707200092 "</f>
        <v xml:space="preserve">21707200092 </v>
      </c>
      <c r="G1650" s="19" t="str">
        <f t="shared" si="43"/>
        <v>ON1</v>
      </c>
      <c r="H1650" s="19" t="s">
        <v>21</v>
      </c>
      <c r="I1650" s="19" t="s">
        <v>272</v>
      </c>
      <c r="J1650" s="19" t="str">
        <f>""</f>
        <v/>
      </c>
      <c r="K1650" s="19" t="str">
        <f>"PFES1162728834_0001"</f>
        <v>PFES1162728834_0001</v>
      </c>
      <c r="L1650" s="19">
        <v>1</v>
      </c>
      <c r="M1650" s="19">
        <v>1</v>
      </c>
    </row>
    <row r="1651" spans="1:13">
      <c r="A1651" s="7">
        <v>43817</v>
      </c>
      <c r="B1651" s="8">
        <v>0.68194444444444446</v>
      </c>
      <c r="C1651" s="19" t="str">
        <f>"FES1162728758"</f>
        <v>FES1162728758</v>
      </c>
      <c r="D1651" s="19" t="s">
        <v>19</v>
      </c>
      <c r="E1651" s="19" t="s">
        <v>221</v>
      </c>
      <c r="F1651" s="19" t="str">
        <f>"2170721952 "</f>
        <v xml:space="preserve">2170721952 </v>
      </c>
      <c r="G1651" s="19" t="str">
        <f t="shared" si="43"/>
        <v>ON1</v>
      </c>
      <c r="H1651" s="19" t="s">
        <v>21</v>
      </c>
      <c r="I1651" s="19" t="s">
        <v>56</v>
      </c>
      <c r="J1651" s="19" t="str">
        <f>""</f>
        <v/>
      </c>
      <c r="K1651" s="19" t="str">
        <f>"PFES1162728758_0001"</f>
        <v>PFES1162728758_0001</v>
      </c>
      <c r="L1651" s="19">
        <v>1</v>
      </c>
      <c r="M1651" s="19">
        <v>1</v>
      </c>
    </row>
    <row r="1652" spans="1:13">
      <c r="A1652" s="7">
        <v>43817</v>
      </c>
      <c r="B1652" s="8">
        <v>0.68194444444444446</v>
      </c>
      <c r="C1652" s="19" t="str">
        <f>"FES1162728891"</f>
        <v>FES1162728891</v>
      </c>
      <c r="D1652" s="19" t="s">
        <v>19</v>
      </c>
      <c r="E1652" s="19" t="s">
        <v>148</v>
      </c>
      <c r="F1652" s="19" t="str">
        <f>"217072005 "</f>
        <v xml:space="preserve">217072005 </v>
      </c>
      <c r="G1652" s="19" t="str">
        <f t="shared" si="43"/>
        <v>ON1</v>
      </c>
      <c r="H1652" s="19" t="s">
        <v>21</v>
      </c>
      <c r="I1652" s="19" t="s">
        <v>41</v>
      </c>
      <c r="J1652" s="19" t="str">
        <f>""</f>
        <v/>
      </c>
      <c r="K1652" s="19" t="str">
        <f>"PFES1162728891_0001"</f>
        <v>PFES1162728891_0001</v>
      </c>
      <c r="L1652" s="19">
        <v>1</v>
      </c>
      <c r="M1652" s="19">
        <v>1</v>
      </c>
    </row>
    <row r="1653" spans="1:13">
      <c r="A1653" s="7">
        <v>43817</v>
      </c>
      <c r="B1653" s="8">
        <v>0.68125000000000002</v>
      </c>
      <c r="C1653" s="19" t="str">
        <f>"FES1162728778"</f>
        <v>FES1162728778</v>
      </c>
      <c r="D1653" s="19" t="s">
        <v>19</v>
      </c>
      <c r="E1653" s="19" t="s">
        <v>221</v>
      </c>
      <c r="F1653" s="19" t="str">
        <f>"2170721791 "</f>
        <v xml:space="preserve">2170721791 </v>
      </c>
      <c r="G1653" s="19" t="str">
        <f t="shared" si="43"/>
        <v>ON1</v>
      </c>
      <c r="H1653" s="19" t="s">
        <v>21</v>
      </c>
      <c r="I1653" s="19" t="s">
        <v>56</v>
      </c>
      <c r="J1653" s="19" t="str">
        <f>""</f>
        <v/>
      </c>
      <c r="K1653" s="19" t="str">
        <f>"PFES1162728778_0001"</f>
        <v>PFES1162728778_0001</v>
      </c>
      <c r="L1653" s="19">
        <v>1</v>
      </c>
      <c r="M1653" s="19">
        <v>1</v>
      </c>
    </row>
    <row r="1654" spans="1:13">
      <c r="A1654" s="7">
        <v>43817</v>
      </c>
      <c r="B1654" s="8">
        <v>0.68125000000000002</v>
      </c>
      <c r="C1654" s="19" t="str">
        <f>"FES1162728818"</f>
        <v>FES1162728818</v>
      </c>
      <c r="D1654" s="19" t="s">
        <v>19</v>
      </c>
      <c r="E1654" s="19" t="s">
        <v>139</v>
      </c>
      <c r="F1654" s="19" t="str">
        <f>"2170719917 "</f>
        <v xml:space="preserve">2170719917 </v>
      </c>
      <c r="G1654" s="19" t="str">
        <f t="shared" si="43"/>
        <v>ON1</v>
      </c>
      <c r="H1654" s="19" t="s">
        <v>21</v>
      </c>
      <c r="I1654" s="19" t="s">
        <v>123</v>
      </c>
      <c r="J1654" s="19" t="str">
        <f>""</f>
        <v/>
      </c>
      <c r="K1654" s="19" t="str">
        <f>"PFES1162728818_0001"</f>
        <v>PFES1162728818_0001</v>
      </c>
      <c r="L1654" s="19">
        <v>1</v>
      </c>
      <c r="M1654" s="19">
        <v>1</v>
      </c>
    </row>
    <row r="1655" spans="1:13">
      <c r="A1655" s="7">
        <v>43817</v>
      </c>
      <c r="B1655" s="8">
        <v>0.6791666666666667</v>
      </c>
      <c r="C1655" s="19" t="str">
        <f>"FES1162728674"</f>
        <v>FES1162728674</v>
      </c>
      <c r="D1655" s="19" t="s">
        <v>19</v>
      </c>
      <c r="E1655" s="19" t="s">
        <v>77</v>
      </c>
      <c r="F1655" s="19" t="str">
        <f>"2170721869 "</f>
        <v xml:space="preserve">2170721869 </v>
      </c>
      <c r="G1655" s="19" t="str">
        <f t="shared" si="43"/>
        <v>ON1</v>
      </c>
      <c r="H1655" s="19" t="s">
        <v>21</v>
      </c>
      <c r="I1655" s="19" t="s">
        <v>78</v>
      </c>
      <c r="J1655" s="19" t="str">
        <f>""</f>
        <v/>
      </c>
      <c r="K1655" s="19" t="str">
        <f>"PFES1162728674_0001"</f>
        <v>PFES1162728674_0001</v>
      </c>
      <c r="L1655" s="19">
        <v>1</v>
      </c>
      <c r="M1655" s="19">
        <v>1</v>
      </c>
    </row>
    <row r="1656" spans="1:13">
      <c r="A1656" s="7">
        <v>43817</v>
      </c>
      <c r="B1656" s="8">
        <v>0.67847222222222225</v>
      </c>
      <c r="C1656" s="19" t="str">
        <f>"FES1162728888"</f>
        <v>FES1162728888</v>
      </c>
      <c r="D1656" s="19" t="s">
        <v>19</v>
      </c>
      <c r="E1656" s="19" t="s">
        <v>543</v>
      </c>
      <c r="F1656" s="19" t="str">
        <f>"2170719864 "</f>
        <v xml:space="preserve">2170719864 </v>
      </c>
      <c r="G1656" s="19" t="str">
        <f t="shared" si="43"/>
        <v>ON1</v>
      </c>
      <c r="H1656" s="19" t="s">
        <v>21</v>
      </c>
      <c r="I1656" s="19" t="s">
        <v>544</v>
      </c>
      <c r="J1656" s="19" t="str">
        <f>""</f>
        <v/>
      </c>
      <c r="K1656" s="19" t="str">
        <f>"PFES1162728888_0001"</f>
        <v>PFES1162728888_0001</v>
      </c>
      <c r="L1656" s="19">
        <v>1</v>
      </c>
      <c r="M1656" s="19">
        <v>1</v>
      </c>
    </row>
    <row r="1657" spans="1:13">
      <c r="A1657" s="7">
        <v>43817</v>
      </c>
      <c r="B1657" s="8">
        <v>0.67847222222222225</v>
      </c>
      <c r="C1657" s="19" t="str">
        <f>"FES1162728950"</f>
        <v>FES1162728950</v>
      </c>
      <c r="D1657" s="19" t="s">
        <v>19</v>
      </c>
      <c r="E1657" s="19" t="s">
        <v>65</v>
      </c>
      <c r="F1657" s="19" t="str">
        <f>"217072078 "</f>
        <v xml:space="preserve">217072078 </v>
      </c>
      <c r="G1657" s="19" t="str">
        <f t="shared" si="43"/>
        <v>ON1</v>
      </c>
      <c r="H1657" s="19" t="s">
        <v>21</v>
      </c>
      <c r="I1657" s="19" t="s">
        <v>66</v>
      </c>
      <c r="J1657" s="19" t="str">
        <f>""</f>
        <v/>
      </c>
      <c r="K1657" s="19" t="str">
        <f>"PFES1162728950_0001"</f>
        <v>PFES1162728950_0001</v>
      </c>
      <c r="L1657" s="19">
        <v>1</v>
      </c>
      <c r="M1657" s="19">
        <v>1</v>
      </c>
    </row>
    <row r="1658" spans="1:13">
      <c r="A1658" s="7">
        <v>43817</v>
      </c>
      <c r="B1658" s="8">
        <v>0.67847222222222225</v>
      </c>
      <c r="C1658" s="19" t="str">
        <f>"FES1162729015"</f>
        <v>FES1162729015</v>
      </c>
      <c r="D1658" s="19" t="s">
        <v>19</v>
      </c>
      <c r="E1658" s="19" t="s">
        <v>190</v>
      </c>
      <c r="F1658" s="19" t="str">
        <f>"2170722119 "</f>
        <v xml:space="preserve">2170722119 </v>
      </c>
      <c r="G1658" s="19" t="str">
        <f t="shared" si="43"/>
        <v>ON1</v>
      </c>
      <c r="H1658" s="19" t="s">
        <v>21</v>
      </c>
      <c r="I1658" s="19" t="s">
        <v>191</v>
      </c>
      <c r="J1658" s="19" t="str">
        <f>""</f>
        <v/>
      </c>
      <c r="K1658" s="19" t="str">
        <f>"PFES1162729015_0001"</f>
        <v>PFES1162729015_0001</v>
      </c>
      <c r="L1658" s="19">
        <v>1</v>
      </c>
      <c r="M1658" s="19">
        <v>1</v>
      </c>
    </row>
    <row r="1659" spans="1:13">
      <c r="A1659" s="7">
        <v>43817</v>
      </c>
      <c r="B1659" s="8">
        <v>0.6777777777777777</v>
      </c>
      <c r="C1659" s="19" t="str">
        <f>"FES1162728882"</f>
        <v>FES1162728882</v>
      </c>
      <c r="D1659" s="19" t="s">
        <v>19</v>
      </c>
      <c r="E1659" s="19" t="s">
        <v>295</v>
      </c>
      <c r="F1659" s="19" t="str">
        <f>"2170719730 "</f>
        <v xml:space="preserve">2170719730 </v>
      </c>
      <c r="G1659" s="19" t="str">
        <f t="shared" si="43"/>
        <v>ON1</v>
      </c>
      <c r="H1659" s="19" t="s">
        <v>21</v>
      </c>
      <c r="I1659" s="19" t="s">
        <v>78</v>
      </c>
      <c r="J1659" s="19" t="str">
        <f>""</f>
        <v/>
      </c>
      <c r="K1659" s="19" t="str">
        <f>"PFES1162728882_0001"</f>
        <v>PFES1162728882_0001</v>
      </c>
      <c r="L1659" s="19">
        <v>1</v>
      </c>
      <c r="M1659" s="19">
        <v>1</v>
      </c>
    </row>
    <row r="1660" spans="1:13">
      <c r="A1660" s="7">
        <v>43817</v>
      </c>
      <c r="B1660" s="8">
        <v>0.6777777777777777</v>
      </c>
      <c r="C1660" s="19" t="str">
        <f>"FES1162728805"</f>
        <v>FES1162728805</v>
      </c>
      <c r="D1660" s="19" t="s">
        <v>19</v>
      </c>
      <c r="E1660" s="19" t="s">
        <v>101</v>
      </c>
      <c r="F1660" s="19" t="str">
        <f>"217071954 "</f>
        <v xml:space="preserve">217071954 </v>
      </c>
      <c r="G1660" s="19" t="str">
        <f t="shared" si="43"/>
        <v>ON1</v>
      </c>
      <c r="H1660" s="19" t="s">
        <v>21</v>
      </c>
      <c r="I1660" s="19" t="s">
        <v>102</v>
      </c>
      <c r="J1660" s="19" t="str">
        <f>""</f>
        <v/>
      </c>
      <c r="K1660" s="19" t="str">
        <f>"PFES1162728805_0001"</f>
        <v>PFES1162728805_0001</v>
      </c>
      <c r="L1660" s="19">
        <v>1</v>
      </c>
      <c r="M1660" s="19">
        <v>1</v>
      </c>
    </row>
    <row r="1661" spans="1:13">
      <c r="A1661" s="7">
        <v>43817</v>
      </c>
      <c r="B1661" s="8">
        <v>0.6777777777777777</v>
      </c>
      <c r="C1661" s="19" t="str">
        <f>"FES1162728936"</f>
        <v>FES1162728936</v>
      </c>
      <c r="D1661" s="19" t="s">
        <v>19</v>
      </c>
      <c r="E1661" s="19" t="s">
        <v>667</v>
      </c>
      <c r="F1661" s="19" t="str">
        <f>"2170722046 "</f>
        <v xml:space="preserve">2170722046 </v>
      </c>
      <c r="G1661" s="19" t="str">
        <f t="shared" si="43"/>
        <v>ON1</v>
      </c>
      <c r="H1661" s="19" t="s">
        <v>21</v>
      </c>
      <c r="I1661" s="19" t="s">
        <v>430</v>
      </c>
      <c r="J1661" s="19" t="str">
        <f>""</f>
        <v/>
      </c>
      <c r="K1661" s="19" t="str">
        <f>"PFES1162728936_0001"</f>
        <v>PFES1162728936_0001</v>
      </c>
      <c r="L1661" s="19">
        <v>1</v>
      </c>
      <c r="M1661" s="19">
        <v>1</v>
      </c>
    </row>
    <row r="1662" spans="1:13">
      <c r="A1662" s="7">
        <v>43817</v>
      </c>
      <c r="B1662" s="8">
        <v>0.67708333333333337</v>
      </c>
      <c r="C1662" s="19" t="str">
        <f>"FES1162728962"</f>
        <v>FES1162728962</v>
      </c>
      <c r="D1662" s="19" t="s">
        <v>19</v>
      </c>
      <c r="E1662" s="19" t="s">
        <v>124</v>
      </c>
      <c r="F1662" s="19" t="str">
        <f>"2170721297 "</f>
        <v xml:space="preserve">2170721297 </v>
      </c>
      <c r="G1662" s="19" t="str">
        <f t="shared" si="43"/>
        <v>ON1</v>
      </c>
      <c r="H1662" s="19" t="s">
        <v>21</v>
      </c>
      <c r="I1662" s="19" t="s">
        <v>125</v>
      </c>
      <c r="J1662" s="19" t="str">
        <f>""</f>
        <v/>
      </c>
      <c r="K1662" s="19" t="str">
        <f>"PFES1162728962_0001"</f>
        <v>PFES1162728962_0001</v>
      </c>
      <c r="L1662" s="19">
        <v>1</v>
      </c>
      <c r="M1662" s="19">
        <v>1</v>
      </c>
    </row>
    <row r="1663" spans="1:13">
      <c r="A1663" s="7">
        <v>43817</v>
      </c>
      <c r="B1663" s="8">
        <v>0.67708333333333337</v>
      </c>
      <c r="C1663" s="19" t="str">
        <f>"FES1162728842"</f>
        <v>FES1162728842</v>
      </c>
      <c r="D1663" s="19" t="s">
        <v>19</v>
      </c>
      <c r="E1663" s="19" t="s">
        <v>120</v>
      </c>
      <c r="F1663" s="19" t="str">
        <f>"2170720910 "</f>
        <v xml:space="preserve">2170720910 </v>
      </c>
      <c r="G1663" s="19" t="str">
        <f t="shared" si="43"/>
        <v>ON1</v>
      </c>
      <c r="H1663" s="19" t="s">
        <v>21</v>
      </c>
      <c r="I1663" s="19" t="s">
        <v>121</v>
      </c>
      <c r="J1663" s="19" t="str">
        <f>""</f>
        <v/>
      </c>
      <c r="K1663" s="19" t="str">
        <f>"PFES1162728842_0001"</f>
        <v>PFES1162728842_0001</v>
      </c>
      <c r="L1663" s="19">
        <v>1</v>
      </c>
      <c r="M1663" s="19">
        <v>1</v>
      </c>
    </row>
    <row r="1664" spans="1:13">
      <c r="A1664" s="7">
        <v>43817</v>
      </c>
      <c r="B1664" s="8">
        <v>0.67708333333333337</v>
      </c>
      <c r="C1664" s="19" t="str">
        <f>"FES1162728945"</f>
        <v>FES1162728945</v>
      </c>
      <c r="D1664" s="19" t="s">
        <v>19</v>
      </c>
      <c r="E1664" s="19" t="s">
        <v>692</v>
      </c>
      <c r="F1664" s="19" t="str">
        <f>"2170722057 "</f>
        <v xml:space="preserve">2170722057 </v>
      </c>
      <c r="G1664" s="19" t="str">
        <f t="shared" si="43"/>
        <v>ON1</v>
      </c>
      <c r="H1664" s="19" t="s">
        <v>21</v>
      </c>
      <c r="I1664" s="19" t="s">
        <v>693</v>
      </c>
      <c r="J1664" s="19" t="str">
        <f>""</f>
        <v/>
      </c>
      <c r="K1664" s="19" t="str">
        <f>"PFES1162728945_0001"</f>
        <v>PFES1162728945_0001</v>
      </c>
      <c r="L1664" s="19">
        <v>1</v>
      </c>
      <c r="M1664" s="19">
        <v>1</v>
      </c>
    </row>
    <row r="1665" spans="1:13">
      <c r="A1665" s="7">
        <v>43817</v>
      </c>
      <c r="B1665" s="8">
        <v>0.67708333333333337</v>
      </c>
      <c r="C1665" s="19" t="str">
        <f>"FES1162728885"</f>
        <v>FES1162728885</v>
      </c>
      <c r="D1665" s="19" t="s">
        <v>19</v>
      </c>
      <c r="E1665" s="19" t="s">
        <v>215</v>
      </c>
      <c r="F1665" s="19" t="str">
        <f>"2170719815 "</f>
        <v xml:space="preserve">2170719815 </v>
      </c>
      <c r="G1665" s="19" t="str">
        <f t="shared" si="43"/>
        <v>ON1</v>
      </c>
      <c r="H1665" s="19" t="s">
        <v>21</v>
      </c>
      <c r="I1665" s="19" t="s">
        <v>216</v>
      </c>
      <c r="J1665" s="19" t="str">
        <f>""</f>
        <v/>
      </c>
      <c r="K1665" s="19" t="str">
        <f>"PFES1162728885_0001"</f>
        <v>PFES1162728885_0001</v>
      </c>
      <c r="L1665" s="19">
        <v>1</v>
      </c>
      <c r="M1665" s="19">
        <v>1</v>
      </c>
    </row>
    <row r="1666" spans="1:13">
      <c r="A1666" s="7">
        <v>43817</v>
      </c>
      <c r="B1666" s="8">
        <v>0.67638888888888893</v>
      </c>
      <c r="C1666" s="19" t="str">
        <f>"FES1162728974"</f>
        <v>FES1162728974</v>
      </c>
      <c r="D1666" s="19" t="s">
        <v>19</v>
      </c>
      <c r="E1666" s="19" t="s">
        <v>44</v>
      </c>
      <c r="F1666" s="19" t="str">
        <f>"2170722085 "</f>
        <v xml:space="preserve">2170722085 </v>
      </c>
      <c r="G1666" s="19" t="str">
        <f t="shared" si="43"/>
        <v>ON1</v>
      </c>
      <c r="H1666" s="19" t="s">
        <v>21</v>
      </c>
      <c r="I1666" s="19" t="s">
        <v>45</v>
      </c>
      <c r="J1666" s="19" t="str">
        <f>""</f>
        <v/>
      </c>
      <c r="K1666" s="19" t="str">
        <f>"PFES1162728974_0001"</f>
        <v>PFES1162728974_0001</v>
      </c>
      <c r="L1666" s="19">
        <v>1</v>
      </c>
      <c r="M1666" s="19">
        <v>1</v>
      </c>
    </row>
    <row r="1667" spans="1:13">
      <c r="A1667" s="7">
        <v>43817</v>
      </c>
      <c r="B1667" s="8">
        <v>0.67638888888888893</v>
      </c>
      <c r="C1667" s="19" t="str">
        <f>"FES1162728910"</f>
        <v>FES1162728910</v>
      </c>
      <c r="D1667" s="19" t="s">
        <v>19</v>
      </c>
      <c r="E1667" s="19" t="s">
        <v>292</v>
      </c>
      <c r="F1667" s="19" t="str">
        <f>"2170721876 "</f>
        <v xml:space="preserve">2170721876 </v>
      </c>
      <c r="G1667" s="19" t="str">
        <f t="shared" si="43"/>
        <v>ON1</v>
      </c>
      <c r="H1667" s="19" t="s">
        <v>21</v>
      </c>
      <c r="I1667" s="19" t="s">
        <v>78</v>
      </c>
      <c r="J1667" s="19" t="str">
        <f>""</f>
        <v/>
      </c>
      <c r="K1667" s="19" t="str">
        <f>"PFES1162728910_0001"</f>
        <v>PFES1162728910_0001</v>
      </c>
      <c r="L1667" s="19">
        <v>1</v>
      </c>
      <c r="M1667" s="19">
        <v>1</v>
      </c>
    </row>
    <row r="1668" spans="1:13">
      <c r="A1668" s="7">
        <v>43817</v>
      </c>
      <c r="B1668" s="8">
        <v>0.67638888888888893</v>
      </c>
      <c r="C1668" s="19" t="str">
        <f>"FES1162728941"</f>
        <v>FES1162728941</v>
      </c>
      <c r="D1668" s="19" t="s">
        <v>19</v>
      </c>
      <c r="E1668" s="19" t="s">
        <v>632</v>
      </c>
      <c r="F1668" s="19" t="str">
        <f>"2170722053 "</f>
        <v xml:space="preserve">2170722053 </v>
      </c>
      <c r="G1668" s="19" t="str">
        <f t="shared" si="43"/>
        <v>ON1</v>
      </c>
      <c r="H1668" s="19" t="s">
        <v>21</v>
      </c>
      <c r="I1668" s="19" t="s">
        <v>633</v>
      </c>
      <c r="J1668" s="19" t="str">
        <f>""</f>
        <v/>
      </c>
      <c r="K1668" s="19" t="str">
        <f>"PFES1162728941_0001"</f>
        <v>PFES1162728941_0001</v>
      </c>
      <c r="L1668" s="19">
        <v>1</v>
      </c>
      <c r="M1668" s="19">
        <v>1</v>
      </c>
    </row>
    <row r="1669" spans="1:13">
      <c r="A1669" s="7">
        <v>43817</v>
      </c>
      <c r="B1669" s="8">
        <v>0.67569444444444438</v>
      </c>
      <c r="C1669" s="19" t="str">
        <f>"FES1162728373"</f>
        <v>FES1162728373</v>
      </c>
      <c r="D1669" s="19" t="s">
        <v>19</v>
      </c>
      <c r="E1669" s="19" t="s">
        <v>101</v>
      </c>
      <c r="F1669" s="19" t="str">
        <f>"2170719968 "</f>
        <v xml:space="preserve">2170719968 </v>
      </c>
      <c r="G1669" s="19" t="str">
        <f>"DBC"</f>
        <v>DBC</v>
      </c>
      <c r="H1669" s="19" t="s">
        <v>21</v>
      </c>
      <c r="I1669" s="19" t="s">
        <v>102</v>
      </c>
      <c r="J1669" s="19" t="str">
        <f>""</f>
        <v/>
      </c>
      <c r="K1669" s="19" t="str">
        <f>"PFES1162728373_0001"</f>
        <v>PFES1162728373_0001</v>
      </c>
      <c r="L1669" s="19">
        <v>1</v>
      </c>
      <c r="M1669" s="19">
        <v>23</v>
      </c>
    </row>
    <row r="1670" spans="1:13">
      <c r="A1670" s="7">
        <v>43817</v>
      </c>
      <c r="B1670" s="8">
        <v>0.67499999999999993</v>
      </c>
      <c r="C1670" s="19" t="str">
        <f>"FES1162728755"</f>
        <v>FES1162728755</v>
      </c>
      <c r="D1670" s="19" t="s">
        <v>19</v>
      </c>
      <c r="E1670" s="19" t="s">
        <v>291</v>
      </c>
      <c r="F1670" s="19" t="str">
        <f>"2170721949 "</f>
        <v xml:space="preserve">2170721949 </v>
      </c>
      <c r="G1670" s="19" t="str">
        <f t="shared" ref="G1670:G1675" si="44">"ON1"</f>
        <v>ON1</v>
      </c>
      <c r="H1670" s="19" t="s">
        <v>21</v>
      </c>
      <c r="I1670" s="19" t="s">
        <v>41</v>
      </c>
      <c r="J1670" s="19" t="str">
        <f>""</f>
        <v/>
      </c>
      <c r="K1670" s="19" t="str">
        <f>"PFES1162728755_0001"</f>
        <v>PFES1162728755_0001</v>
      </c>
      <c r="L1670" s="19">
        <v>1</v>
      </c>
      <c r="M1670" s="19">
        <v>1</v>
      </c>
    </row>
    <row r="1671" spans="1:13">
      <c r="A1671" s="7">
        <v>43817</v>
      </c>
      <c r="B1671" s="8">
        <v>0.67499999999999993</v>
      </c>
      <c r="C1671" s="19" t="str">
        <f>"FES1162728957"</f>
        <v>FES1162728957</v>
      </c>
      <c r="D1671" s="19" t="s">
        <v>19</v>
      </c>
      <c r="E1671" s="19" t="s">
        <v>543</v>
      </c>
      <c r="F1671" s="19" t="str">
        <f>"2170721564 "</f>
        <v xml:space="preserve">2170721564 </v>
      </c>
      <c r="G1671" s="19" t="str">
        <f t="shared" si="44"/>
        <v>ON1</v>
      </c>
      <c r="H1671" s="19" t="s">
        <v>21</v>
      </c>
      <c r="I1671" s="19" t="s">
        <v>544</v>
      </c>
      <c r="J1671" s="19" t="str">
        <f>""</f>
        <v/>
      </c>
      <c r="K1671" s="19" t="str">
        <f>"PFES1162728957_0001"</f>
        <v>PFES1162728957_0001</v>
      </c>
      <c r="L1671" s="19">
        <v>1</v>
      </c>
      <c r="M1671" s="19">
        <v>4</v>
      </c>
    </row>
    <row r="1672" spans="1:13">
      <c r="A1672" s="7">
        <v>43817</v>
      </c>
      <c r="B1672" s="8">
        <v>0.6743055555555556</v>
      </c>
      <c r="C1672" s="19" t="str">
        <f>"FES1162728751"</f>
        <v>FES1162728751</v>
      </c>
      <c r="D1672" s="19" t="s">
        <v>19</v>
      </c>
      <c r="E1672" s="19" t="s">
        <v>672</v>
      </c>
      <c r="F1672" s="19" t="str">
        <f>"2170721944 "</f>
        <v xml:space="preserve">2170721944 </v>
      </c>
      <c r="G1672" s="19" t="str">
        <f t="shared" si="44"/>
        <v>ON1</v>
      </c>
      <c r="H1672" s="19" t="s">
        <v>21</v>
      </c>
      <c r="I1672" s="19" t="s">
        <v>463</v>
      </c>
      <c r="J1672" s="19" t="str">
        <f>""</f>
        <v/>
      </c>
      <c r="K1672" s="19" t="str">
        <f>"PFES1162728751_0001"</f>
        <v>PFES1162728751_0001</v>
      </c>
      <c r="L1672" s="19">
        <v>1</v>
      </c>
      <c r="M1672" s="19">
        <v>3</v>
      </c>
    </row>
    <row r="1673" spans="1:13">
      <c r="A1673" s="7">
        <v>43817</v>
      </c>
      <c r="B1673" s="8">
        <v>0.6743055555555556</v>
      </c>
      <c r="C1673" s="19" t="str">
        <f>"FES1162728777"</f>
        <v>FES1162728777</v>
      </c>
      <c r="D1673" s="19" t="s">
        <v>19</v>
      </c>
      <c r="E1673" s="19" t="s">
        <v>413</v>
      </c>
      <c r="F1673" s="19" t="str">
        <f>"2170721968 "</f>
        <v xml:space="preserve">2170721968 </v>
      </c>
      <c r="G1673" s="19" t="str">
        <f t="shared" si="44"/>
        <v>ON1</v>
      </c>
      <c r="H1673" s="19" t="s">
        <v>21</v>
      </c>
      <c r="I1673" s="19" t="s">
        <v>346</v>
      </c>
      <c r="J1673" s="19" t="str">
        <f>""</f>
        <v/>
      </c>
      <c r="K1673" s="19" t="str">
        <f>"PFES1162728777_0001"</f>
        <v>PFES1162728777_0001</v>
      </c>
      <c r="L1673" s="19">
        <v>1</v>
      </c>
      <c r="M1673" s="19">
        <v>15</v>
      </c>
    </row>
    <row r="1674" spans="1:13">
      <c r="A1674" s="7">
        <v>43817</v>
      </c>
      <c r="B1674" s="8">
        <v>0.67361111111111116</v>
      </c>
      <c r="C1674" s="19" t="str">
        <f>"FES1162728984"</f>
        <v>FES1162728984</v>
      </c>
      <c r="D1674" s="19" t="s">
        <v>19</v>
      </c>
      <c r="E1674" s="19" t="s">
        <v>120</v>
      </c>
      <c r="F1674" s="19" t="str">
        <f>"2170722095 "</f>
        <v xml:space="preserve">2170722095 </v>
      </c>
      <c r="G1674" s="19" t="str">
        <f t="shared" si="44"/>
        <v>ON1</v>
      </c>
      <c r="H1674" s="19" t="s">
        <v>21</v>
      </c>
      <c r="I1674" s="19" t="s">
        <v>121</v>
      </c>
      <c r="J1674" s="19" t="str">
        <f>""</f>
        <v/>
      </c>
      <c r="K1674" s="19" t="str">
        <f>"PFES1162728984_0001"</f>
        <v>PFES1162728984_0001</v>
      </c>
      <c r="L1674" s="19">
        <v>1</v>
      </c>
      <c r="M1674" s="19">
        <v>13</v>
      </c>
    </row>
    <row r="1675" spans="1:13">
      <c r="A1675" s="7">
        <v>43817</v>
      </c>
      <c r="B1675" s="8">
        <v>0.67361111111111116</v>
      </c>
      <c r="C1675" s="19" t="str">
        <f>"FES1162728790"</f>
        <v>FES1162728790</v>
      </c>
      <c r="D1675" s="19" t="s">
        <v>19</v>
      </c>
      <c r="E1675" s="19" t="s">
        <v>101</v>
      </c>
      <c r="F1675" s="19" t="str">
        <f>"2170719594 "</f>
        <v xml:space="preserve">2170719594 </v>
      </c>
      <c r="G1675" s="19" t="str">
        <f t="shared" si="44"/>
        <v>ON1</v>
      </c>
      <c r="H1675" s="19" t="s">
        <v>21</v>
      </c>
      <c r="I1675" s="19" t="s">
        <v>102</v>
      </c>
      <c r="J1675" s="19" t="str">
        <f>""</f>
        <v/>
      </c>
      <c r="K1675" s="19" t="str">
        <f>"PFES1162728790_0001"</f>
        <v>PFES1162728790_0001</v>
      </c>
      <c r="L1675" s="19">
        <v>1</v>
      </c>
      <c r="M1675" s="19">
        <v>6</v>
      </c>
    </row>
    <row r="1676" spans="1:13">
      <c r="A1676" s="7">
        <v>43817</v>
      </c>
      <c r="B1676" s="8">
        <v>0.67291666666666661</v>
      </c>
      <c r="C1676" s="19" t="str">
        <f>"FES1162728981"</f>
        <v>FES1162728981</v>
      </c>
      <c r="D1676" s="19" t="s">
        <v>19</v>
      </c>
      <c r="E1676" s="19" t="s">
        <v>274</v>
      </c>
      <c r="F1676" s="19" t="str">
        <f>"21707220092 "</f>
        <v xml:space="preserve">21707220092 </v>
      </c>
      <c r="G1676" s="19" t="str">
        <f>"DBC"</f>
        <v>DBC</v>
      </c>
      <c r="H1676" s="19" t="s">
        <v>21</v>
      </c>
      <c r="I1676" s="19" t="s">
        <v>45</v>
      </c>
      <c r="J1676" s="19" t="str">
        <f>""</f>
        <v/>
      </c>
      <c r="K1676" s="19" t="str">
        <f>"PFES1162728981_0001"</f>
        <v>PFES1162728981_0001</v>
      </c>
      <c r="L1676" s="19">
        <v>1</v>
      </c>
      <c r="M1676" s="19">
        <v>20</v>
      </c>
    </row>
    <row r="1677" spans="1:13">
      <c r="A1677" s="7">
        <v>43817</v>
      </c>
      <c r="B1677" s="8">
        <v>0.67291666666666661</v>
      </c>
      <c r="C1677" s="19" t="str">
        <f>"FES1162728995"</f>
        <v>FES1162728995</v>
      </c>
      <c r="D1677" s="19" t="s">
        <v>19</v>
      </c>
      <c r="E1677" s="19" t="s">
        <v>806</v>
      </c>
      <c r="F1677" s="19" t="str">
        <f>"2170722107 "</f>
        <v xml:space="preserve">2170722107 </v>
      </c>
      <c r="G1677" s="19" t="str">
        <f t="shared" ref="G1677:G1740" si="45">"ON1"</f>
        <v>ON1</v>
      </c>
      <c r="H1677" s="19" t="s">
        <v>21</v>
      </c>
      <c r="I1677" s="19" t="s">
        <v>807</v>
      </c>
      <c r="J1677" s="19" t="str">
        <f>""</f>
        <v/>
      </c>
      <c r="K1677" s="19" t="str">
        <f>"PFES1162728995_0001"</f>
        <v>PFES1162728995_0001</v>
      </c>
      <c r="L1677" s="19">
        <v>1</v>
      </c>
      <c r="M1677" s="19">
        <v>18</v>
      </c>
    </row>
    <row r="1678" spans="1:13">
      <c r="A1678" s="7">
        <v>43817</v>
      </c>
      <c r="B1678" s="8">
        <v>0.67222222222222217</v>
      </c>
      <c r="C1678" s="19" t="str">
        <f>"FES1162729001"</f>
        <v>FES1162729001</v>
      </c>
      <c r="D1678" s="19" t="s">
        <v>19</v>
      </c>
      <c r="E1678" s="19" t="s">
        <v>728</v>
      </c>
      <c r="F1678" s="19" t="str">
        <f>"2170721486 "</f>
        <v xml:space="preserve">2170721486 </v>
      </c>
      <c r="G1678" s="19" t="str">
        <f t="shared" si="45"/>
        <v>ON1</v>
      </c>
      <c r="H1678" s="19" t="s">
        <v>21</v>
      </c>
      <c r="I1678" s="19" t="s">
        <v>191</v>
      </c>
      <c r="J1678" s="19" t="str">
        <f>""</f>
        <v/>
      </c>
      <c r="K1678" s="19" t="str">
        <f>"PFES1162729001_0001"</f>
        <v>PFES1162729001_0001</v>
      </c>
      <c r="L1678" s="19">
        <v>1</v>
      </c>
      <c r="M1678" s="19">
        <v>7</v>
      </c>
    </row>
    <row r="1679" spans="1:13">
      <c r="A1679" s="7">
        <v>43817</v>
      </c>
      <c r="B1679" s="8">
        <v>0.67222222222222217</v>
      </c>
      <c r="C1679" s="19" t="str">
        <f>"FES1162729011"</f>
        <v>FES1162729011</v>
      </c>
      <c r="D1679" s="19" t="s">
        <v>19</v>
      </c>
      <c r="E1679" s="19" t="s">
        <v>167</v>
      </c>
      <c r="F1679" s="19" t="str">
        <f>"2170721227 "</f>
        <v xml:space="preserve">2170721227 </v>
      </c>
      <c r="G1679" s="19" t="str">
        <f t="shared" si="45"/>
        <v>ON1</v>
      </c>
      <c r="H1679" s="19" t="s">
        <v>21</v>
      </c>
      <c r="I1679" s="19" t="s">
        <v>168</v>
      </c>
      <c r="J1679" s="19" t="str">
        <f>""</f>
        <v/>
      </c>
      <c r="K1679" s="19" t="str">
        <f>"PFES1162729011_0001"</f>
        <v>PFES1162729011_0001</v>
      </c>
      <c r="L1679" s="19">
        <v>1</v>
      </c>
      <c r="M1679" s="19">
        <v>6</v>
      </c>
    </row>
    <row r="1680" spans="1:13">
      <c r="A1680" s="7">
        <v>43817</v>
      </c>
      <c r="B1680" s="8">
        <v>0.67222222222222217</v>
      </c>
      <c r="C1680" s="19" t="str">
        <f>"FES1162728999"</f>
        <v>FES1162728999</v>
      </c>
      <c r="D1680" s="19" t="s">
        <v>19</v>
      </c>
      <c r="E1680" s="19" t="s">
        <v>224</v>
      </c>
      <c r="F1680" s="19" t="str">
        <f>"2170722112 "</f>
        <v xml:space="preserve">2170722112 </v>
      </c>
      <c r="G1680" s="19" t="str">
        <f t="shared" si="45"/>
        <v>ON1</v>
      </c>
      <c r="H1680" s="19" t="s">
        <v>21</v>
      </c>
      <c r="I1680" s="19" t="s">
        <v>141</v>
      </c>
      <c r="J1680" s="19" t="str">
        <f>""</f>
        <v/>
      </c>
      <c r="K1680" s="19" t="str">
        <f>"PFES1162728999_0001"</f>
        <v>PFES1162728999_0001</v>
      </c>
      <c r="L1680" s="19">
        <v>1</v>
      </c>
      <c r="M1680" s="19">
        <v>1</v>
      </c>
    </row>
    <row r="1681" spans="1:13">
      <c r="A1681" s="7">
        <v>43817</v>
      </c>
      <c r="B1681" s="8">
        <v>0.67152777777777783</v>
      </c>
      <c r="C1681" s="19" t="str">
        <f>"FES1162728780"</f>
        <v>FES1162728780</v>
      </c>
      <c r="D1681" s="19" t="s">
        <v>19</v>
      </c>
      <c r="E1681" s="19" t="s">
        <v>44</v>
      </c>
      <c r="F1681" s="19" t="str">
        <f>"2170721793 "</f>
        <v xml:space="preserve">2170721793 </v>
      </c>
      <c r="G1681" s="19" t="str">
        <f t="shared" si="45"/>
        <v>ON1</v>
      </c>
      <c r="H1681" s="19" t="s">
        <v>21</v>
      </c>
      <c r="I1681" s="19" t="s">
        <v>45</v>
      </c>
      <c r="J1681" s="19" t="str">
        <f>""</f>
        <v/>
      </c>
      <c r="K1681" s="19" t="str">
        <f>"PFES1162728780_0001"</f>
        <v>PFES1162728780_0001</v>
      </c>
      <c r="L1681" s="19">
        <v>1</v>
      </c>
      <c r="M1681" s="19">
        <v>17</v>
      </c>
    </row>
    <row r="1682" spans="1:13">
      <c r="A1682" s="7">
        <v>43817</v>
      </c>
      <c r="B1682" s="8">
        <v>0.67083333333333339</v>
      </c>
      <c r="C1682" s="19" t="str">
        <f>"FES1162729020"</f>
        <v>FES1162729020</v>
      </c>
      <c r="D1682" s="19" t="s">
        <v>19</v>
      </c>
      <c r="E1682" s="19" t="s">
        <v>808</v>
      </c>
      <c r="F1682" s="19" t="str">
        <f>"217072217 "</f>
        <v xml:space="preserve">217072217 </v>
      </c>
      <c r="G1682" s="19" t="str">
        <f t="shared" si="45"/>
        <v>ON1</v>
      </c>
      <c r="H1682" s="19" t="s">
        <v>21</v>
      </c>
      <c r="I1682" s="19" t="s">
        <v>790</v>
      </c>
      <c r="J1682" s="19" t="str">
        <f>""</f>
        <v/>
      </c>
      <c r="K1682" s="19" t="str">
        <f>"PFES1162729020_0001"</f>
        <v>PFES1162729020_0001</v>
      </c>
      <c r="L1682" s="19">
        <v>1</v>
      </c>
      <c r="M1682" s="19">
        <v>2</v>
      </c>
    </row>
    <row r="1683" spans="1:13">
      <c r="A1683" s="7">
        <v>43817</v>
      </c>
      <c r="B1683" s="8">
        <v>0.67083333333333339</v>
      </c>
      <c r="C1683" s="19" t="str">
        <f>"FES1162728996"</f>
        <v>FES1162728996</v>
      </c>
      <c r="D1683" s="19" t="s">
        <v>19</v>
      </c>
      <c r="E1683" s="19" t="s">
        <v>143</v>
      </c>
      <c r="F1683" s="19" t="str">
        <f>"2170722109 "</f>
        <v xml:space="preserve">2170722109 </v>
      </c>
      <c r="G1683" s="19" t="str">
        <f t="shared" si="45"/>
        <v>ON1</v>
      </c>
      <c r="H1683" s="19" t="s">
        <v>21</v>
      </c>
      <c r="I1683" s="19" t="s">
        <v>41</v>
      </c>
      <c r="J1683" s="19" t="str">
        <f>""</f>
        <v/>
      </c>
      <c r="K1683" s="19" t="str">
        <f>"PFES1162728996_0001"</f>
        <v>PFES1162728996_0001</v>
      </c>
      <c r="L1683" s="19">
        <v>1</v>
      </c>
      <c r="M1683" s="19">
        <v>6</v>
      </c>
    </row>
    <row r="1684" spans="1:13">
      <c r="A1684" s="7">
        <v>43817</v>
      </c>
      <c r="B1684" s="8">
        <v>0.67083333333333339</v>
      </c>
      <c r="C1684" s="19" t="str">
        <f>"FES1162728756"</f>
        <v>FES1162728756</v>
      </c>
      <c r="D1684" s="19" t="s">
        <v>19</v>
      </c>
      <c r="E1684" s="19" t="s">
        <v>809</v>
      </c>
      <c r="F1684" s="19" t="str">
        <f>"2170721950 "</f>
        <v xml:space="preserve">2170721950 </v>
      </c>
      <c r="G1684" s="19" t="str">
        <f t="shared" si="45"/>
        <v>ON1</v>
      </c>
      <c r="H1684" s="19" t="s">
        <v>21</v>
      </c>
      <c r="I1684" s="19" t="s">
        <v>136</v>
      </c>
      <c r="J1684" s="19" t="str">
        <f>""</f>
        <v/>
      </c>
      <c r="K1684" s="19" t="str">
        <f>"PFES1162728756_0001"</f>
        <v>PFES1162728756_0001</v>
      </c>
      <c r="L1684" s="19">
        <v>1</v>
      </c>
      <c r="M1684" s="19">
        <v>1</v>
      </c>
    </row>
    <row r="1685" spans="1:13">
      <c r="A1685" s="7">
        <v>43817</v>
      </c>
      <c r="B1685" s="8">
        <v>0.67013888888888884</v>
      </c>
      <c r="C1685" s="19" t="str">
        <f>"FES1162729004"</f>
        <v>FES1162729004</v>
      </c>
      <c r="D1685" s="19" t="s">
        <v>19</v>
      </c>
      <c r="E1685" s="19" t="s">
        <v>44</v>
      </c>
      <c r="F1685" s="19" t="str">
        <f>"2170721781 "</f>
        <v xml:space="preserve">2170721781 </v>
      </c>
      <c r="G1685" s="19" t="str">
        <f t="shared" si="45"/>
        <v>ON1</v>
      </c>
      <c r="H1685" s="19" t="s">
        <v>21</v>
      </c>
      <c r="I1685" s="19" t="s">
        <v>45</v>
      </c>
      <c r="J1685" s="19" t="str">
        <f>""</f>
        <v/>
      </c>
      <c r="K1685" s="19" t="str">
        <f>"PFES1162729004_0001"</f>
        <v>PFES1162729004_0001</v>
      </c>
      <c r="L1685" s="19">
        <v>1</v>
      </c>
      <c r="M1685" s="19">
        <v>5</v>
      </c>
    </row>
    <row r="1686" spans="1:13">
      <c r="A1686" s="7">
        <v>43817</v>
      </c>
      <c r="B1686" s="8">
        <v>0.61944444444444446</v>
      </c>
      <c r="C1686" s="19" t="str">
        <f>"FES1162728971"</f>
        <v>FES1162728971</v>
      </c>
      <c r="D1686" s="19" t="s">
        <v>19</v>
      </c>
      <c r="E1686" s="19" t="s">
        <v>354</v>
      </c>
      <c r="F1686" s="19" t="str">
        <f>"2170722081 "</f>
        <v xml:space="preserve">2170722081 </v>
      </c>
      <c r="G1686" s="19" t="str">
        <f t="shared" si="45"/>
        <v>ON1</v>
      </c>
      <c r="H1686" s="19" t="s">
        <v>21</v>
      </c>
      <c r="I1686" s="19" t="s">
        <v>355</v>
      </c>
      <c r="J1686" s="19" t="str">
        <f>""</f>
        <v/>
      </c>
      <c r="K1686" s="19" t="str">
        <f>"PFES1162728971_0001"</f>
        <v>PFES1162728971_0001</v>
      </c>
      <c r="L1686" s="19">
        <v>1</v>
      </c>
      <c r="M1686" s="19">
        <v>1</v>
      </c>
    </row>
    <row r="1687" spans="1:13">
      <c r="A1687" s="7">
        <v>43817</v>
      </c>
      <c r="B1687" s="8">
        <v>0.61944444444444446</v>
      </c>
      <c r="C1687" s="19" t="str">
        <f>"FES1162728949"</f>
        <v>FES1162728949</v>
      </c>
      <c r="D1687" s="19" t="s">
        <v>19</v>
      </c>
      <c r="E1687" s="19" t="s">
        <v>65</v>
      </c>
      <c r="F1687" s="19" t="str">
        <f>"2170719066 "</f>
        <v xml:space="preserve">2170719066 </v>
      </c>
      <c r="G1687" s="19" t="str">
        <f t="shared" si="45"/>
        <v>ON1</v>
      </c>
      <c r="H1687" s="19" t="s">
        <v>21</v>
      </c>
      <c r="I1687" s="19" t="s">
        <v>66</v>
      </c>
      <c r="J1687" s="19" t="str">
        <f>""</f>
        <v/>
      </c>
      <c r="K1687" s="19" t="str">
        <f>"PFES1162728949_0001"</f>
        <v>PFES1162728949_0001</v>
      </c>
      <c r="L1687" s="19">
        <v>1</v>
      </c>
      <c r="M1687" s="19">
        <v>1</v>
      </c>
    </row>
    <row r="1688" spans="1:13">
      <c r="A1688" s="7">
        <v>43817</v>
      </c>
      <c r="B1688" s="8">
        <v>0.61875000000000002</v>
      </c>
      <c r="C1688" s="19" t="str">
        <f>"FES1162728977"</f>
        <v>FES1162728977</v>
      </c>
      <c r="D1688" s="19" t="s">
        <v>19</v>
      </c>
      <c r="E1688" s="19" t="s">
        <v>241</v>
      </c>
      <c r="F1688" s="19" t="str">
        <f>"2170722090 "</f>
        <v xml:space="preserve">2170722090 </v>
      </c>
      <c r="G1688" s="19" t="str">
        <f t="shared" si="45"/>
        <v>ON1</v>
      </c>
      <c r="H1688" s="19" t="s">
        <v>21</v>
      </c>
      <c r="I1688" s="19" t="s">
        <v>72</v>
      </c>
      <c r="J1688" s="19" t="str">
        <f>""</f>
        <v/>
      </c>
      <c r="K1688" s="19" t="str">
        <f>"PFES1162728977_0001"</f>
        <v>PFES1162728977_0001</v>
      </c>
      <c r="L1688" s="19">
        <v>1</v>
      </c>
      <c r="M1688" s="19">
        <v>1</v>
      </c>
    </row>
    <row r="1689" spans="1:13">
      <c r="A1689" s="7">
        <v>43817</v>
      </c>
      <c r="B1689" s="8">
        <v>0.61875000000000002</v>
      </c>
      <c r="C1689" s="19" t="str">
        <f>"FES1162728894"</f>
        <v>FES1162728894</v>
      </c>
      <c r="D1689" s="19" t="s">
        <v>19</v>
      </c>
      <c r="E1689" s="19" t="s">
        <v>298</v>
      </c>
      <c r="F1689" s="19" t="str">
        <f>"2170720052 "</f>
        <v xml:space="preserve">2170720052 </v>
      </c>
      <c r="G1689" s="19" t="str">
        <f t="shared" si="45"/>
        <v>ON1</v>
      </c>
      <c r="H1689" s="19" t="s">
        <v>21</v>
      </c>
      <c r="I1689" s="19" t="s">
        <v>136</v>
      </c>
      <c r="J1689" s="19" t="str">
        <f>""</f>
        <v/>
      </c>
      <c r="K1689" s="19" t="str">
        <f>"PFES1162728894_0001"</f>
        <v>PFES1162728894_0001</v>
      </c>
      <c r="L1689" s="19">
        <v>1</v>
      </c>
      <c r="M1689" s="19">
        <v>7</v>
      </c>
    </row>
    <row r="1690" spans="1:13">
      <c r="A1690" s="7">
        <v>43817</v>
      </c>
      <c r="B1690" s="8">
        <v>0.61805555555555558</v>
      </c>
      <c r="C1690" s="19" t="str">
        <f>"FES1162728958"</f>
        <v>FES1162728958</v>
      </c>
      <c r="D1690" s="19" t="s">
        <v>19</v>
      </c>
      <c r="E1690" s="19" t="s">
        <v>732</v>
      </c>
      <c r="F1690" s="19" t="str">
        <f>"2170722069 "</f>
        <v xml:space="preserve">2170722069 </v>
      </c>
      <c r="G1690" s="19" t="str">
        <f t="shared" si="45"/>
        <v>ON1</v>
      </c>
      <c r="H1690" s="19" t="s">
        <v>21</v>
      </c>
      <c r="I1690" s="19" t="s">
        <v>733</v>
      </c>
      <c r="J1690" s="19" t="str">
        <f>""</f>
        <v/>
      </c>
      <c r="K1690" s="19" t="str">
        <f>"PFES1162728958_0001"</f>
        <v>PFES1162728958_0001</v>
      </c>
      <c r="L1690" s="19">
        <v>1</v>
      </c>
      <c r="M1690" s="19">
        <v>2</v>
      </c>
    </row>
    <row r="1691" spans="1:13">
      <c r="A1691" s="7">
        <v>43817</v>
      </c>
      <c r="B1691" s="8">
        <v>0.61805555555555558</v>
      </c>
      <c r="C1691" s="19" t="str">
        <f>"FES1162728943"</f>
        <v>FES1162728943</v>
      </c>
      <c r="D1691" s="19" t="s">
        <v>19</v>
      </c>
      <c r="E1691" s="19" t="s">
        <v>198</v>
      </c>
      <c r="F1691" s="19" t="str">
        <f>"217072132 "</f>
        <v xml:space="preserve">217072132 </v>
      </c>
      <c r="G1691" s="19" t="str">
        <f t="shared" si="45"/>
        <v>ON1</v>
      </c>
      <c r="H1691" s="19" t="s">
        <v>21</v>
      </c>
      <c r="I1691" s="19" t="s">
        <v>288</v>
      </c>
      <c r="J1691" s="19" t="str">
        <f>""</f>
        <v/>
      </c>
      <c r="K1691" s="19" t="str">
        <f>"PFES1162728943_0001"</f>
        <v>PFES1162728943_0001</v>
      </c>
      <c r="L1691" s="19">
        <v>1</v>
      </c>
      <c r="M1691" s="19">
        <v>2</v>
      </c>
    </row>
    <row r="1692" spans="1:13">
      <c r="A1692" s="7">
        <v>43817</v>
      </c>
      <c r="B1692" s="8">
        <v>0.61736111111111114</v>
      </c>
      <c r="C1692" s="19" t="str">
        <f>"FES1162728965"</f>
        <v>FES1162728965</v>
      </c>
      <c r="D1692" s="19" t="s">
        <v>19</v>
      </c>
      <c r="E1692" s="19" t="s">
        <v>436</v>
      </c>
      <c r="F1692" s="19" t="str">
        <f>"2170722073 "</f>
        <v xml:space="preserve">2170722073 </v>
      </c>
      <c r="G1692" s="19" t="str">
        <f t="shared" si="45"/>
        <v>ON1</v>
      </c>
      <c r="H1692" s="19" t="s">
        <v>21</v>
      </c>
      <c r="I1692" s="19" t="s">
        <v>60</v>
      </c>
      <c r="J1692" s="19" t="str">
        <f>""</f>
        <v/>
      </c>
      <c r="K1692" s="19" t="str">
        <f>"PFES1162728965_0001"</f>
        <v>PFES1162728965_0001</v>
      </c>
      <c r="L1692" s="19">
        <v>1</v>
      </c>
      <c r="M1692" s="19">
        <v>1</v>
      </c>
    </row>
    <row r="1693" spans="1:13">
      <c r="A1693" s="7">
        <v>43817</v>
      </c>
      <c r="B1693" s="8">
        <v>0.61736111111111114</v>
      </c>
      <c r="C1693" s="19" t="str">
        <f>"FES1162728795"</f>
        <v>FES1162728795</v>
      </c>
      <c r="D1693" s="19" t="s">
        <v>19</v>
      </c>
      <c r="E1693" s="19" t="s">
        <v>688</v>
      </c>
      <c r="F1693" s="19" t="str">
        <f>"217071944 "</f>
        <v xml:space="preserve">217071944 </v>
      </c>
      <c r="G1693" s="19" t="str">
        <f t="shared" si="45"/>
        <v>ON1</v>
      </c>
      <c r="H1693" s="19" t="s">
        <v>21</v>
      </c>
      <c r="I1693" s="19" t="s">
        <v>355</v>
      </c>
      <c r="J1693" s="19" t="str">
        <f>""</f>
        <v/>
      </c>
      <c r="K1693" s="19" t="str">
        <f>"PFES1162728795_0001"</f>
        <v>PFES1162728795_0001</v>
      </c>
      <c r="L1693" s="19">
        <v>1</v>
      </c>
      <c r="M1693" s="19">
        <v>7</v>
      </c>
    </row>
    <row r="1694" spans="1:13">
      <c r="A1694" s="7">
        <v>43817</v>
      </c>
      <c r="B1694" s="8">
        <v>0.6166666666666667</v>
      </c>
      <c r="C1694" s="19" t="str">
        <f>"FES1162728956"</f>
        <v>FES1162728956</v>
      </c>
      <c r="D1694" s="19" t="s">
        <v>19</v>
      </c>
      <c r="E1694" s="19" t="s">
        <v>151</v>
      </c>
      <c r="F1694" s="19" t="str">
        <f>"2170722070 "</f>
        <v xml:space="preserve">2170722070 </v>
      </c>
      <c r="G1694" s="19" t="str">
        <f t="shared" si="45"/>
        <v>ON1</v>
      </c>
      <c r="H1694" s="19" t="s">
        <v>21</v>
      </c>
      <c r="I1694" s="19" t="s">
        <v>152</v>
      </c>
      <c r="J1694" s="19" t="str">
        <f>""</f>
        <v/>
      </c>
      <c r="K1694" s="19" t="str">
        <f>"PFES1162728956_0001"</f>
        <v>PFES1162728956_0001</v>
      </c>
      <c r="L1694" s="19">
        <v>1</v>
      </c>
      <c r="M1694" s="19">
        <v>1</v>
      </c>
    </row>
    <row r="1695" spans="1:13">
      <c r="A1695" s="7">
        <v>43817</v>
      </c>
      <c r="B1695" s="8">
        <v>0.6166666666666667</v>
      </c>
      <c r="C1695" s="19" t="str">
        <f>"FES1162728738"</f>
        <v>FES1162728738</v>
      </c>
      <c r="D1695" s="19" t="s">
        <v>19</v>
      </c>
      <c r="E1695" s="19" t="s">
        <v>810</v>
      </c>
      <c r="F1695" s="19" t="str">
        <f>"2170721925 "</f>
        <v xml:space="preserve">2170721925 </v>
      </c>
      <c r="G1695" s="19" t="str">
        <f t="shared" si="45"/>
        <v>ON1</v>
      </c>
      <c r="H1695" s="19" t="s">
        <v>21</v>
      </c>
      <c r="I1695" s="19" t="s">
        <v>175</v>
      </c>
      <c r="J1695" s="19" t="str">
        <f>""</f>
        <v/>
      </c>
      <c r="K1695" s="19" t="str">
        <f>"PFES1162728738_0001"</f>
        <v>PFES1162728738_0001</v>
      </c>
      <c r="L1695" s="19">
        <v>1</v>
      </c>
      <c r="M1695" s="19">
        <v>4</v>
      </c>
    </row>
    <row r="1696" spans="1:13">
      <c r="A1696" s="7">
        <v>43817</v>
      </c>
      <c r="B1696" s="8">
        <v>0.6166666666666667</v>
      </c>
      <c r="C1696" s="19" t="str">
        <f>"FES1162728922"</f>
        <v>FES1162728922</v>
      </c>
      <c r="D1696" s="19" t="s">
        <v>19</v>
      </c>
      <c r="E1696" s="19" t="s">
        <v>24</v>
      </c>
      <c r="F1696" s="19" t="str">
        <f>"2170722024 "</f>
        <v xml:space="preserve">2170722024 </v>
      </c>
      <c r="G1696" s="19" t="str">
        <f t="shared" si="45"/>
        <v>ON1</v>
      </c>
      <c r="H1696" s="19" t="s">
        <v>21</v>
      </c>
      <c r="I1696" s="19" t="s">
        <v>25</v>
      </c>
      <c r="J1696" s="19" t="str">
        <f>""</f>
        <v/>
      </c>
      <c r="K1696" s="19" t="str">
        <f>"PFES1162728922_0001"</f>
        <v>PFES1162728922_0001</v>
      </c>
      <c r="L1696" s="19">
        <v>1</v>
      </c>
      <c r="M1696" s="19">
        <v>2</v>
      </c>
    </row>
    <row r="1697" spans="1:13">
      <c r="A1697" s="7">
        <v>43817</v>
      </c>
      <c r="B1697" s="8">
        <v>0.61597222222222225</v>
      </c>
      <c r="C1697" s="19" t="str">
        <f>"FES1162728997"</f>
        <v>FES1162728997</v>
      </c>
      <c r="D1697" s="19" t="s">
        <v>19</v>
      </c>
      <c r="E1697" s="19" t="s">
        <v>36</v>
      </c>
      <c r="F1697" s="19" t="str">
        <f>"2170722108 "</f>
        <v xml:space="preserve">2170722108 </v>
      </c>
      <c r="G1697" s="19" t="str">
        <f t="shared" si="45"/>
        <v>ON1</v>
      </c>
      <c r="H1697" s="19" t="s">
        <v>21</v>
      </c>
      <c r="I1697" s="19" t="s">
        <v>37</v>
      </c>
      <c r="J1697" s="19" t="str">
        <f>""</f>
        <v/>
      </c>
      <c r="K1697" s="19" t="str">
        <f>"PFES1162728997_0001"</f>
        <v>PFES1162728997_0001</v>
      </c>
      <c r="L1697" s="19">
        <v>1</v>
      </c>
      <c r="M1697" s="19">
        <v>1</v>
      </c>
    </row>
    <row r="1698" spans="1:13">
      <c r="A1698" s="7">
        <v>43817</v>
      </c>
      <c r="B1698" s="8">
        <v>0.61597222222222225</v>
      </c>
      <c r="C1698" s="19" t="str">
        <f>"FES1162728994"</f>
        <v>FES1162728994</v>
      </c>
      <c r="D1698" s="19" t="s">
        <v>19</v>
      </c>
      <c r="E1698" s="19" t="s">
        <v>439</v>
      </c>
      <c r="F1698" s="19" t="str">
        <f>"217071687 "</f>
        <v xml:space="preserve">217071687 </v>
      </c>
      <c r="G1698" s="19" t="str">
        <f t="shared" si="45"/>
        <v>ON1</v>
      </c>
      <c r="H1698" s="19" t="s">
        <v>21</v>
      </c>
      <c r="I1698" s="19" t="s">
        <v>359</v>
      </c>
      <c r="J1698" s="19" t="str">
        <f>""</f>
        <v/>
      </c>
      <c r="K1698" s="19" t="str">
        <f>"PFES1162728994_0001"</f>
        <v>PFES1162728994_0001</v>
      </c>
      <c r="L1698" s="19">
        <v>1</v>
      </c>
      <c r="M1698" s="19">
        <v>6</v>
      </c>
    </row>
    <row r="1699" spans="1:13">
      <c r="A1699" s="7">
        <v>43817</v>
      </c>
      <c r="B1699" s="8">
        <v>0.61527777777777781</v>
      </c>
      <c r="C1699" s="19" t="str">
        <f>"FES1162728990"</f>
        <v>FES1162728990</v>
      </c>
      <c r="D1699" s="19" t="s">
        <v>19</v>
      </c>
      <c r="E1699" s="19" t="s">
        <v>349</v>
      </c>
      <c r="F1699" s="19" t="str">
        <f>"2170722103 "</f>
        <v xml:space="preserve">2170722103 </v>
      </c>
      <c r="G1699" s="19" t="str">
        <f t="shared" si="45"/>
        <v>ON1</v>
      </c>
      <c r="H1699" s="19" t="s">
        <v>21</v>
      </c>
      <c r="I1699" s="19" t="s">
        <v>145</v>
      </c>
      <c r="J1699" s="19" t="str">
        <f>""</f>
        <v/>
      </c>
      <c r="K1699" s="19" t="str">
        <f>"PFES1162728990_0001"</f>
        <v>PFES1162728990_0001</v>
      </c>
      <c r="L1699" s="19">
        <v>1</v>
      </c>
      <c r="M1699" s="19">
        <v>2</v>
      </c>
    </row>
    <row r="1700" spans="1:13">
      <c r="A1700" s="7">
        <v>43817</v>
      </c>
      <c r="B1700" s="8">
        <v>0.61527777777777781</v>
      </c>
      <c r="C1700" s="19" t="str">
        <f>"FES1162728839"</f>
        <v>FES1162728839</v>
      </c>
      <c r="D1700" s="19" t="s">
        <v>19</v>
      </c>
      <c r="E1700" s="19" t="s">
        <v>28</v>
      </c>
      <c r="F1700" s="19" t="str">
        <f>"21707120334 "</f>
        <v xml:space="preserve">21707120334 </v>
      </c>
      <c r="G1700" s="19" t="str">
        <f t="shared" si="45"/>
        <v>ON1</v>
      </c>
      <c r="H1700" s="19" t="s">
        <v>21</v>
      </c>
      <c r="I1700" s="19" t="s">
        <v>29</v>
      </c>
      <c r="J1700" s="19" t="str">
        <f>""</f>
        <v/>
      </c>
      <c r="K1700" s="19" t="str">
        <f>"PFES1162728839_0001"</f>
        <v>PFES1162728839_0001</v>
      </c>
      <c r="L1700" s="19">
        <v>1</v>
      </c>
      <c r="M1700" s="19">
        <v>1</v>
      </c>
    </row>
    <row r="1701" spans="1:13">
      <c r="A1701" s="7">
        <v>43817</v>
      </c>
      <c r="B1701" s="8">
        <v>0.61458333333333337</v>
      </c>
      <c r="C1701" s="19" t="str">
        <f>"FES1162728889"</f>
        <v>FES1162728889</v>
      </c>
      <c r="D1701" s="19" t="s">
        <v>19</v>
      </c>
      <c r="E1701" s="19" t="s">
        <v>683</v>
      </c>
      <c r="F1701" s="19" t="str">
        <f>"2170719944 "</f>
        <v xml:space="preserve">2170719944 </v>
      </c>
      <c r="G1701" s="19" t="str">
        <f t="shared" si="45"/>
        <v>ON1</v>
      </c>
      <c r="H1701" s="19" t="s">
        <v>21</v>
      </c>
      <c r="I1701" s="19" t="s">
        <v>278</v>
      </c>
      <c r="J1701" s="19" t="str">
        <f>""</f>
        <v/>
      </c>
      <c r="K1701" s="19" t="str">
        <f>"PFES1162728889_0001"</f>
        <v>PFES1162728889_0001</v>
      </c>
      <c r="L1701" s="19">
        <v>1</v>
      </c>
      <c r="M1701" s="19">
        <v>4</v>
      </c>
    </row>
    <row r="1702" spans="1:13">
      <c r="A1702" s="7">
        <v>43817</v>
      </c>
      <c r="B1702" s="8">
        <v>0.61458333333333337</v>
      </c>
      <c r="C1702" s="19" t="str">
        <f>"FES1162728665"</f>
        <v>FES1162728665</v>
      </c>
      <c r="D1702" s="19" t="s">
        <v>19</v>
      </c>
      <c r="E1702" s="19" t="s">
        <v>176</v>
      </c>
      <c r="F1702" s="19" t="str">
        <f>"2170719812 "</f>
        <v xml:space="preserve">2170719812 </v>
      </c>
      <c r="G1702" s="19" t="str">
        <f t="shared" si="45"/>
        <v>ON1</v>
      </c>
      <c r="H1702" s="19" t="s">
        <v>21</v>
      </c>
      <c r="I1702" s="19" t="s">
        <v>76</v>
      </c>
      <c r="J1702" s="19" t="str">
        <f>""</f>
        <v/>
      </c>
      <c r="K1702" s="19" t="str">
        <f>"PFES1162728665_0001"</f>
        <v>PFES1162728665_0001</v>
      </c>
      <c r="L1702" s="19">
        <v>1</v>
      </c>
      <c r="M1702" s="19">
        <v>1</v>
      </c>
    </row>
    <row r="1703" spans="1:13">
      <c r="A1703" s="7">
        <v>43817</v>
      </c>
      <c r="B1703" s="8">
        <v>0.61111111111111105</v>
      </c>
      <c r="C1703" s="19" t="str">
        <f>"FES1162728502"</f>
        <v>FES1162728502</v>
      </c>
      <c r="D1703" s="19" t="s">
        <v>19</v>
      </c>
      <c r="E1703" s="19" t="s">
        <v>177</v>
      </c>
      <c r="F1703" s="19" t="str">
        <f>"2170721473 "</f>
        <v xml:space="preserve">2170721473 </v>
      </c>
      <c r="G1703" s="19" t="str">
        <f t="shared" si="45"/>
        <v>ON1</v>
      </c>
      <c r="H1703" s="19" t="s">
        <v>21</v>
      </c>
      <c r="I1703" s="19" t="s">
        <v>178</v>
      </c>
      <c r="J1703" s="19" t="str">
        <f>""</f>
        <v/>
      </c>
      <c r="K1703" s="19" t="str">
        <f>"PFES1162728502_0001"</f>
        <v>PFES1162728502_0001</v>
      </c>
      <c r="L1703" s="19">
        <v>1</v>
      </c>
      <c r="M1703" s="19">
        <v>2</v>
      </c>
    </row>
    <row r="1704" spans="1:13">
      <c r="A1704" s="7">
        <v>43817</v>
      </c>
      <c r="B1704" s="8">
        <v>0.61111111111111105</v>
      </c>
      <c r="C1704" s="19" t="str">
        <f>"FES1162728852"</f>
        <v>FES1162728852</v>
      </c>
      <c r="D1704" s="19" t="s">
        <v>19</v>
      </c>
      <c r="E1704" s="19" t="s">
        <v>648</v>
      </c>
      <c r="F1704" s="19" t="str">
        <f>"2170721702 "</f>
        <v xml:space="preserve">2170721702 </v>
      </c>
      <c r="G1704" s="19" t="str">
        <f t="shared" si="45"/>
        <v>ON1</v>
      </c>
      <c r="H1704" s="19" t="s">
        <v>21</v>
      </c>
      <c r="I1704" s="19" t="s">
        <v>270</v>
      </c>
      <c r="J1704" s="19" t="str">
        <f>""</f>
        <v/>
      </c>
      <c r="K1704" s="19" t="str">
        <f>"PFES1162728852_0001"</f>
        <v>PFES1162728852_0001</v>
      </c>
      <c r="L1704" s="19">
        <v>1</v>
      </c>
      <c r="M1704" s="19">
        <v>5</v>
      </c>
    </row>
    <row r="1705" spans="1:13">
      <c r="A1705" s="7">
        <v>43817</v>
      </c>
      <c r="B1705" s="8">
        <v>0.61041666666666672</v>
      </c>
      <c r="C1705" s="19" t="str">
        <f>"FES1162728967"</f>
        <v>FES1162728967</v>
      </c>
      <c r="D1705" s="19" t="s">
        <v>19</v>
      </c>
      <c r="E1705" s="19" t="s">
        <v>151</v>
      </c>
      <c r="F1705" s="19" t="str">
        <f>"2170722077 "</f>
        <v xml:space="preserve">2170722077 </v>
      </c>
      <c r="G1705" s="19" t="str">
        <f t="shared" si="45"/>
        <v>ON1</v>
      </c>
      <c r="H1705" s="19" t="s">
        <v>21</v>
      </c>
      <c r="I1705" s="19" t="s">
        <v>152</v>
      </c>
      <c r="J1705" s="19" t="str">
        <f>""</f>
        <v/>
      </c>
      <c r="K1705" s="19" t="str">
        <f>"PFES1162728967_0001"</f>
        <v>PFES1162728967_0001</v>
      </c>
      <c r="L1705" s="19">
        <v>1</v>
      </c>
      <c r="M1705" s="19">
        <v>17</v>
      </c>
    </row>
    <row r="1706" spans="1:13">
      <c r="A1706" s="7">
        <v>43817</v>
      </c>
      <c r="B1706" s="8">
        <v>0.59097222222222223</v>
      </c>
      <c r="C1706" s="19" t="str">
        <f>"FES1162728709"</f>
        <v>FES1162728709</v>
      </c>
      <c r="D1706" s="19" t="s">
        <v>19</v>
      </c>
      <c r="E1706" s="19" t="s">
        <v>93</v>
      </c>
      <c r="F1706" s="19" t="str">
        <f>"2170721908 "</f>
        <v xml:space="preserve">2170721908 </v>
      </c>
      <c r="G1706" s="19" t="str">
        <f t="shared" si="45"/>
        <v>ON1</v>
      </c>
      <c r="H1706" s="19" t="s">
        <v>21</v>
      </c>
      <c r="I1706" s="19" t="s">
        <v>308</v>
      </c>
      <c r="J1706" s="19" t="str">
        <f>""</f>
        <v/>
      </c>
      <c r="K1706" s="19" t="str">
        <f>"PFES1162728709_0001"</f>
        <v>PFES1162728709_0001</v>
      </c>
      <c r="L1706" s="19">
        <v>1</v>
      </c>
      <c r="M1706" s="19">
        <v>3</v>
      </c>
    </row>
    <row r="1707" spans="1:13">
      <c r="A1707" s="7">
        <v>43817</v>
      </c>
      <c r="B1707" s="8">
        <v>0.59027777777777779</v>
      </c>
      <c r="C1707" s="19" t="str">
        <f>"FES1162728897"</f>
        <v>FES1162728897</v>
      </c>
      <c r="D1707" s="19" t="s">
        <v>19</v>
      </c>
      <c r="E1707" s="19" t="s">
        <v>67</v>
      </c>
      <c r="F1707" s="19" t="str">
        <f>"2170720109 "</f>
        <v xml:space="preserve">2170720109 </v>
      </c>
      <c r="G1707" s="19" t="str">
        <f t="shared" si="45"/>
        <v>ON1</v>
      </c>
      <c r="H1707" s="19" t="s">
        <v>21</v>
      </c>
      <c r="I1707" s="19" t="s">
        <v>68</v>
      </c>
      <c r="J1707" s="19" t="str">
        <f>""</f>
        <v/>
      </c>
      <c r="K1707" s="19" t="str">
        <f>"PFES1162728897_0001"</f>
        <v>PFES1162728897_0001</v>
      </c>
      <c r="L1707" s="19">
        <v>1</v>
      </c>
      <c r="M1707" s="19">
        <v>1</v>
      </c>
    </row>
    <row r="1708" spans="1:13">
      <c r="A1708" s="7">
        <v>43817</v>
      </c>
      <c r="B1708" s="8">
        <v>0.59027777777777779</v>
      </c>
      <c r="C1708" s="19" t="str">
        <f>"FES1162728693"</f>
        <v>FES1162728693</v>
      </c>
      <c r="D1708" s="19" t="s">
        <v>19</v>
      </c>
      <c r="E1708" s="19" t="s">
        <v>811</v>
      </c>
      <c r="F1708" s="19" t="str">
        <f>"2170721892 "</f>
        <v xml:space="preserve">2170721892 </v>
      </c>
      <c r="G1708" s="19" t="str">
        <f t="shared" si="45"/>
        <v>ON1</v>
      </c>
      <c r="H1708" s="19" t="s">
        <v>21</v>
      </c>
      <c r="I1708" s="19" t="s">
        <v>157</v>
      </c>
      <c r="J1708" s="19" t="str">
        <f>""</f>
        <v/>
      </c>
      <c r="K1708" s="19" t="str">
        <f>"PFES1162728693_0001"</f>
        <v>PFES1162728693_0001</v>
      </c>
      <c r="L1708" s="19">
        <v>1</v>
      </c>
      <c r="M1708" s="19">
        <v>6</v>
      </c>
    </row>
    <row r="1709" spans="1:13">
      <c r="A1709" s="7">
        <v>43817</v>
      </c>
      <c r="B1709" s="8">
        <v>0.58680555555555558</v>
      </c>
      <c r="C1709" s="19" t="str">
        <f>"FES1162728928"</f>
        <v>FES1162728928</v>
      </c>
      <c r="D1709" s="19" t="s">
        <v>19</v>
      </c>
      <c r="E1709" s="19" t="s">
        <v>812</v>
      </c>
      <c r="F1709" s="19" t="str">
        <f>"2170722034 "</f>
        <v xml:space="preserve">2170722034 </v>
      </c>
      <c r="G1709" s="19" t="str">
        <f t="shared" si="45"/>
        <v>ON1</v>
      </c>
      <c r="H1709" s="19" t="s">
        <v>21</v>
      </c>
      <c r="I1709" s="19" t="s">
        <v>119</v>
      </c>
      <c r="J1709" s="19" t="str">
        <f>""</f>
        <v/>
      </c>
      <c r="K1709" s="19" t="str">
        <f>"PFES1162728928_0001"</f>
        <v>PFES1162728928_0001</v>
      </c>
      <c r="L1709" s="19">
        <v>1</v>
      </c>
      <c r="M1709" s="19">
        <v>3</v>
      </c>
    </row>
    <row r="1710" spans="1:13">
      <c r="A1710" s="7">
        <v>43817</v>
      </c>
      <c r="B1710" s="8">
        <v>0.58680555555555558</v>
      </c>
      <c r="C1710" s="19" t="str">
        <f>"FES1162728862"</f>
        <v>FES1162728862</v>
      </c>
      <c r="D1710" s="19" t="s">
        <v>19</v>
      </c>
      <c r="E1710" s="19" t="s">
        <v>813</v>
      </c>
      <c r="F1710" s="19" t="str">
        <f>"2170722003 "</f>
        <v xml:space="preserve">2170722003 </v>
      </c>
      <c r="G1710" s="19" t="str">
        <f t="shared" si="45"/>
        <v>ON1</v>
      </c>
      <c r="H1710" s="19" t="s">
        <v>21</v>
      </c>
      <c r="I1710" s="19" t="s">
        <v>444</v>
      </c>
      <c r="J1710" s="19" t="str">
        <f>""</f>
        <v/>
      </c>
      <c r="K1710" s="19" t="str">
        <f>"PFES1162728862_0001"</f>
        <v>PFES1162728862_0001</v>
      </c>
      <c r="L1710" s="19">
        <v>1</v>
      </c>
      <c r="M1710" s="19">
        <v>2</v>
      </c>
    </row>
    <row r="1711" spans="1:13">
      <c r="A1711" s="7">
        <v>43817</v>
      </c>
      <c r="B1711" s="8">
        <v>0.58611111111111114</v>
      </c>
      <c r="C1711" s="19" t="str">
        <f>"FES1162728822"</f>
        <v>FES1162728822</v>
      </c>
      <c r="D1711" s="19" t="s">
        <v>19</v>
      </c>
      <c r="E1711" s="19" t="s">
        <v>442</v>
      </c>
      <c r="F1711" s="19" t="str">
        <f>"2170719987 "</f>
        <v xml:space="preserve">2170719987 </v>
      </c>
      <c r="G1711" s="19" t="str">
        <f t="shared" si="45"/>
        <v>ON1</v>
      </c>
      <c r="H1711" s="19" t="s">
        <v>21</v>
      </c>
      <c r="I1711" s="19" t="s">
        <v>48</v>
      </c>
      <c r="J1711" s="19" t="str">
        <f>""</f>
        <v/>
      </c>
      <c r="K1711" s="19" t="str">
        <f>"PFES1162728822_0001"</f>
        <v>PFES1162728822_0001</v>
      </c>
      <c r="L1711" s="19">
        <v>1</v>
      </c>
      <c r="M1711" s="19">
        <v>4</v>
      </c>
    </row>
    <row r="1712" spans="1:13">
      <c r="A1712" s="7">
        <v>43817</v>
      </c>
      <c r="B1712" s="8">
        <v>0.58611111111111114</v>
      </c>
      <c r="C1712" s="19" t="str">
        <f>"FES1162728793"</f>
        <v>FES1162728793</v>
      </c>
      <c r="D1712" s="19" t="s">
        <v>19</v>
      </c>
      <c r="E1712" s="19" t="s">
        <v>587</v>
      </c>
      <c r="F1712" s="19" t="str">
        <f>"2170721989 "</f>
        <v xml:space="preserve">2170721989 </v>
      </c>
      <c r="G1712" s="19" t="str">
        <f t="shared" si="45"/>
        <v>ON1</v>
      </c>
      <c r="H1712" s="19" t="s">
        <v>21</v>
      </c>
      <c r="I1712" s="19" t="s">
        <v>330</v>
      </c>
      <c r="J1712" s="19" t="str">
        <f>""</f>
        <v/>
      </c>
      <c r="K1712" s="19" t="str">
        <f>"PFES1162728793_0001"</f>
        <v>PFES1162728793_0001</v>
      </c>
      <c r="L1712" s="19">
        <v>1</v>
      </c>
      <c r="M1712" s="19">
        <v>1</v>
      </c>
    </row>
    <row r="1713" spans="1:13">
      <c r="A1713" s="7">
        <v>43817</v>
      </c>
      <c r="B1713" s="8">
        <v>0.5854166666666667</v>
      </c>
      <c r="C1713" s="19" t="str">
        <f>"FES1162728695"</f>
        <v>FES1162728695</v>
      </c>
      <c r="D1713" s="19" t="s">
        <v>19</v>
      </c>
      <c r="E1713" s="19" t="s">
        <v>24</v>
      </c>
      <c r="F1713" s="19" t="str">
        <f>"2170712894 "</f>
        <v xml:space="preserve">2170712894 </v>
      </c>
      <c r="G1713" s="19" t="str">
        <f t="shared" si="45"/>
        <v>ON1</v>
      </c>
      <c r="H1713" s="19" t="s">
        <v>21</v>
      </c>
      <c r="I1713" s="19" t="s">
        <v>25</v>
      </c>
      <c r="J1713" s="19" t="str">
        <f>""</f>
        <v/>
      </c>
      <c r="K1713" s="19" t="str">
        <f>"PFES1162728695_0001"</f>
        <v>PFES1162728695_0001</v>
      </c>
      <c r="L1713" s="19">
        <v>1</v>
      </c>
      <c r="M1713" s="19">
        <v>1</v>
      </c>
    </row>
    <row r="1714" spans="1:13">
      <c r="A1714" s="7">
        <v>43817</v>
      </c>
      <c r="B1714" s="8">
        <v>0.5854166666666667</v>
      </c>
      <c r="C1714" s="19" t="str">
        <f>"FES1162728714"</f>
        <v>FES1162728714</v>
      </c>
      <c r="D1714" s="19" t="s">
        <v>19</v>
      </c>
      <c r="E1714" s="19" t="s">
        <v>420</v>
      </c>
      <c r="F1714" s="19" t="str">
        <f>"2170721917 "</f>
        <v xml:space="preserve">2170721917 </v>
      </c>
      <c r="G1714" s="19" t="str">
        <f t="shared" si="45"/>
        <v>ON1</v>
      </c>
      <c r="H1714" s="19" t="s">
        <v>21</v>
      </c>
      <c r="I1714" s="19" t="s">
        <v>421</v>
      </c>
      <c r="J1714" s="19" t="str">
        <f>""</f>
        <v/>
      </c>
      <c r="K1714" s="19" t="str">
        <f>"PFES1162728714_0001"</f>
        <v>PFES1162728714_0001</v>
      </c>
      <c r="L1714" s="19">
        <v>1</v>
      </c>
      <c r="M1714" s="19">
        <v>1</v>
      </c>
    </row>
    <row r="1715" spans="1:13">
      <c r="A1715" s="7">
        <v>43817</v>
      </c>
      <c r="B1715" s="8">
        <v>0.5854166666666667</v>
      </c>
      <c r="C1715" s="19" t="str">
        <f>"FES1162728863"</f>
        <v>FES1162728863</v>
      </c>
      <c r="D1715" s="19" t="s">
        <v>19</v>
      </c>
      <c r="E1715" s="19" t="s">
        <v>443</v>
      </c>
      <c r="F1715" s="19" t="str">
        <f>"2170722004 "</f>
        <v xml:space="preserve">2170722004 </v>
      </c>
      <c r="G1715" s="19" t="str">
        <f t="shared" si="45"/>
        <v>ON1</v>
      </c>
      <c r="H1715" s="19" t="s">
        <v>21</v>
      </c>
      <c r="I1715" s="19" t="s">
        <v>444</v>
      </c>
      <c r="J1715" s="19" t="str">
        <f>""</f>
        <v/>
      </c>
      <c r="K1715" s="19" t="str">
        <f>"PFES1162728863_0001"</f>
        <v>PFES1162728863_0001</v>
      </c>
      <c r="L1715" s="19">
        <v>1</v>
      </c>
      <c r="M1715" s="19">
        <v>1</v>
      </c>
    </row>
    <row r="1716" spans="1:13">
      <c r="A1716" s="7">
        <v>43817</v>
      </c>
      <c r="B1716" s="8">
        <v>0.58472222222222225</v>
      </c>
      <c r="C1716" s="19" t="str">
        <f>"FES1162728847"</f>
        <v>FES1162728847</v>
      </c>
      <c r="D1716" s="19" t="s">
        <v>19</v>
      </c>
      <c r="E1716" s="19" t="s">
        <v>93</v>
      </c>
      <c r="F1716" s="19" t="str">
        <f>"2170721330 "</f>
        <v xml:space="preserve">2170721330 </v>
      </c>
      <c r="G1716" s="19" t="str">
        <f t="shared" si="45"/>
        <v>ON1</v>
      </c>
      <c r="H1716" s="19" t="s">
        <v>21</v>
      </c>
      <c r="I1716" s="19" t="s">
        <v>48</v>
      </c>
      <c r="J1716" s="19" t="str">
        <f>""</f>
        <v/>
      </c>
      <c r="K1716" s="19" t="str">
        <f>"PFES1162728847_0001"</f>
        <v>PFES1162728847_0001</v>
      </c>
      <c r="L1716" s="19">
        <v>1</v>
      </c>
      <c r="M1716" s="19">
        <v>1</v>
      </c>
    </row>
    <row r="1717" spans="1:13">
      <c r="A1717" s="7">
        <v>43817</v>
      </c>
      <c r="B1717" s="8">
        <v>0.58194444444444449</v>
      </c>
      <c r="C1717" s="19" t="str">
        <f>"FES1162728850"</f>
        <v>FES1162728850</v>
      </c>
      <c r="D1717" s="19" t="s">
        <v>19</v>
      </c>
      <c r="E1717" s="19" t="s">
        <v>577</v>
      </c>
      <c r="F1717" s="19" t="str">
        <f>"2170721610 "</f>
        <v xml:space="preserve">2170721610 </v>
      </c>
      <c r="G1717" s="19" t="str">
        <f t="shared" si="45"/>
        <v>ON1</v>
      </c>
      <c r="H1717" s="19" t="s">
        <v>21</v>
      </c>
      <c r="I1717" s="19" t="s">
        <v>578</v>
      </c>
      <c r="J1717" s="19" t="str">
        <f>""</f>
        <v/>
      </c>
      <c r="K1717" s="19" t="str">
        <f>"PFES1162728850_0001"</f>
        <v>PFES1162728850_0001</v>
      </c>
      <c r="L1717" s="19">
        <v>1</v>
      </c>
      <c r="M1717" s="19">
        <v>1</v>
      </c>
    </row>
    <row r="1718" spans="1:13">
      <c r="A1718" s="7">
        <v>43817</v>
      </c>
      <c r="B1718" s="8">
        <v>0.58124999999999993</v>
      </c>
      <c r="C1718" s="19" t="str">
        <f>"FES1162728815"</f>
        <v>FES1162728815</v>
      </c>
      <c r="D1718" s="19" t="s">
        <v>19</v>
      </c>
      <c r="E1718" s="19" t="s">
        <v>82</v>
      </c>
      <c r="F1718" s="19" t="str">
        <f>"2170719853 "</f>
        <v xml:space="preserve">2170719853 </v>
      </c>
      <c r="G1718" s="19" t="str">
        <f t="shared" si="45"/>
        <v>ON1</v>
      </c>
      <c r="H1718" s="19" t="s">
        <v>21</v>
      </c>
      <c r="I1718" s="19" t="s">
        <v>72</v>
      </c>
      <c r="J1718" s="19" t="str">
        <f>""</f>
        <v/>
      </c>
      <c r="K1718" s="19" t="str">
        <f>"PFES1162728815_0001"</f>
        <v>PFES1162728815_0001</v>
      </c>
      <c r="L1718" s="19">
        <v>1</v>
      </c>
      <c r="M1718" s="19">
        <v>1</v>
      </c>
    </row>
    <row r="1719" spans="1:13">
      <c r="A1719" s="7">
        <v>43817</v>
      </c>
      <c r="B1719" s="8">
        <v>0.5805555555555556</v>
      </c>
      <c r="C1719" s="19" t="str">
        <f>"FES1162728833"</f>
        <v>FES1162728833</v>
      </c>
      <c r="D1719" s="19" t="s">
        <v>19</v>
      </c>
      <c r="E1719" s="19" t="s">
        <v>256</v>
      </c>
      <c r="F1719" s="19" t="str">
        <f>"2170720078 "</f>
        <v xml:space="preserve">2170720078 </v>
      </c>
      <c r="G1719" s="19" t="str">
        <f t="shared" si="45"/>
        <v>ON1</v>
      </c>
      <c r="H1719" s="19" t="s">
        <v>21</v>
      </c>
      <c r="I1719" s="19" t="s">
        <v>257</v>
      </c>
      <c r="J1719" s="19" t="str">
        <f>""</f>
        <v/>
      </c>
      <c r="K1719" s="19" t="str">
        <f>"PFES1162728833_0001"</f>
        <v>PFES1162728833_0001</v>
      </c>
      <c r="L1719" s="19">
        <v>1</v>
      </c>
      <c r="M1719" s="19">
        <v>1</v>
      </c>
    </row>
    <row r="1720" spans="1:13">
      <c r="A1720" s="7">
        <v>43817</v>
      </c>
      <c r="B1720" s="8">
        <v>0.5805555555555556</v>
      </c>
      <c r="C1720" s="19" t="str">
        <f>"FES1162728831"</f>
        <v>FES1162728831</v>
      </c>
      <c r="D1720" s="19" t="s">
        <v>19</v>
      </c>
      <c r="E1720" s="19" t="s">
        <v>53</v>
      </c>
      <c r="F1720" s="19" t="str">
        <f>"2170720073 "</f>
        <v xml:space="preserve">2170720073 </v>
      </c>
      <c r="G1720" s="19" t="str">
        <f t="shared" si="45"/>
        <v>ON1</v>
      </c>
      <c r="H1720" s="19" t="s">
        <v>21</v>
      </c>
      <c r="I1720" s="19" t="s">
        <v>54</v>
      </c>
      <c r="J1720" s="19" t="str">
        <f>""</f>
        <v/>
      </c>
      <c r="K1720" s="19" t="str">
        <f>"PFES1162728831_0001"</f>
        <v>PFES1162728831_0001</v>
      </c>
      <c r="L1720" s="19">
        <v>1</v>
      </c>
      <c r="M1720" s="19">
        <v>1</v>
      </c>
    </row>
    <row r="1721" spans="1:13">
      <c r="A1721" s="7">
        <v>43817</v>
      </c>
      <c r="B1721" s="8">
        <v>0.57986111111111105</v>
      </c>
      <c r="C1721" s="19" t="str">
        <f>"FES1162728934"</f>
        <v>FES1162728934</v>
      </c>
      <c r="D1721" s="19" t="s">
        <v>19</v>
      </c>
      <c r="E1721" s="19" t="s">
        <v>57</v>
      </c>
      <c r="F1721" s="19" t="str">
        <f>"2170722044 "</f>
        <v xml:space="preserve">2170722044 </v>
      </c>
      <c r="G1721" s="19" t="str">
        <f t="shared" si="45"/>
        <v>ON1</v>
      </c>
      <c r="H1721" s="19" t="s">
        <v>21</v>
      </c>
      <c r="I1721" s="19" t="s">
        <v>58</v>
      </c>
      <c r="J1721" s="19" t="str">
        <f>""</f>
        <v/>
      </c>
      <c r="K1721" s="19" t="str">
        <f>"PFES1162728934_0001"</f>
        <v>PFES1162728934_0001</v>
      </c>
      <c r="L1721" s="19">
        <v>1</v>
      </c>
      <c r="M1721" s="19">
        <v>1</v>
      </c>
    </row>
    <row r="1722" spans="1:13">
      <c r="A1722" s="7">
        <v>43817</v>
      </c>
      <c r="B1722" s="8">
        <v>0.57430555555555551</v>
      </c>
      <c r="C1722" s="19" t="str">
        <f>"FES1162728857"</f>
        <v>FES1162728857</v>
      </c>
      <c r="D1722" s="19" t="s">
        <v>19</v>
      </c>
      <c r="E1722" s="19" t="s">
        <v>82</v>
      </c>
      <c r="F1722" s="19" t="str">
        <f>"217071997 "</f>
        <v xml:space="preserve">217071997 </v>
      </c>
      <c r="G1722" s="19" t="str">
        <f t="shared" si="45"/>
        <v>ON1</v>
      </c>
      <c r="H1722" s="19" t="s">
        <v>21</v>
      </c>
      <c r="I1722" s="19" t="s">
        <v>72</v>
      </c>
      <c r="J1722" s="19" t="str">
        <f>""</f>
        <v/>
      </c>
      <c r="K1722" s="19" t="str">
        <f>"PFES1162728857_0001"</f>
        <v>PFES1162728857_0001</v>
      </c>
      <c r="L1722" s="19">
        <v>1</v>
      </c>
      <c r="M1722" s="19">
        <v>2</v>
      </c>
    </row>
    <row r="1723" spans="1:13">
      <c r="A1723" s="7">
        <v>43817</v>
      </c>
      <c r="B1723" s="8">
        <v>0.57361111111111118</v>
      </c>
      <c r="C1723" s="19" t="str">
        <f>"FES1162728890"</f>
        <v>FES1162728890</v>
      </c>
      <c r="D1723" s="19" t="s">
        <v>19</v>
      </c>
      <c r="E1723" s="19" t="s">
        <v>744</v>
      </c>
      <c r="F1723" s="19" t="str">
        <f>"2170719980 "</f>
        <v xml:space="preserve">2170719980 </v>
      </c>
      <c r="G1723" s="19" t="str">
        <f t="shared" si="45"/>
        <v>ON1</v>
      </c>
      <c r="H1723" s="19" t="s">
        <v>21</v>
      </c>
      <c r="I1723" s="19" t="s">
        <v>48</v>
      </c>
      <c r="J1723" s="19" t="str">
        <f>""</f>
        <v/>
      </c>
      <c r="K1723" s="19" t="str">
        <f>"PFES1162728890_0001"</f>
        <v>PFES1162728890_0001</v>
      </c>
      <c r="L1723" s="19">
        <v>1</v>
      </c>
      <c r="M1723" s="19">
        <v>1</v>
      </c>
    </row>
    <row r="1724" spans="1:13">
      <c r="A1724" s="7">
        <v>43817</v>
      </c>
      <c r="B1724" s="8">
        <v>0.57361111111111118</v>
      </c>
      <c r="C1724" s="19" t="str">
        <f>"FES1162728838"</f>
        <v>FES1162728838</v>
      </c>
      <c r="D1724" s="19" t="s">
        <v>19</v>
      </c>
      <c r="E1724" s="19" t="s">
        <v>263</v>
      </c>
      <c r="F1724" s="19" t="str">
        <f>"2170712080 "</f>
        <v xml:space="preserve">2170712080 </v>
      </c>
      <c r="G1724" s="19" t="str">
        <f t="shared" si="45"/>
        <v>ON1</v>
      </c>
      <c r="H1724" s="19" t="s">
        <v>21</v>
      </c>
      <c r="I1724" s="19" t="s">
        <v>161</v>
      </c>
      <c r="J1724" s="19" t="str">
        <f>""</f>
        <v/>
      </c>
      <c r="K1724" s="19" t="str">
        <f>"PFES1162728838_0001"</f>
        <v>PFES1162728838_0001</v>
      </c>
      <c r="L1724" s="19">
        <v>1</v>
      </c>
      <c r="M1724" s="19">
        <v>3</v>
      </c>
    </row>
    <row r="1725" spans="1:13">
      <c r="A1725" s="7">
        <v>43817</v>
      </c>
      <c r="B1725" s="8">
        <v>0.57291666666666663</v>
      </c>
      <c r="C1725" s="19" t="str">
        <f>"FES1162728522"</f>
        <v>FES1162728522</v>
      </c>
      <c r="D1725" s="19" t="s">
        <v>19</v>
      </c>
      <c r="E1725" s="19" t="s">
        <v>621</v>
      </c>
      <c r="F1725" s="19" t="str">
        <f>"2170718941 "</f>
        <v xml:space="preserve">2170718941 </v>
      </c>
      <c r="G1725" s="19" t="str">
        <f t="shared" si="45"/>
        <v>ON1</v>
      </c>
      <c r="H1725" s="19" t="s">
        <v>21</v>
      </c>
      <c r="I1725" s="19" t="s">
        <v>161</v>
      </c>
      <c r="J1725" s="19" t="str">
        <f>""</f>
        <v/>
      </c>
      <c r="K1725" s="19" t="str">
        <f>"PFES1162728522_0001"</f>
        <v>PFES1162728522_0001</v>
      </c>
      <c r="L1725" s="19">
        <v>1</v>
      </c>
      <c r="M1725" s="19">
        <v>1</v>
      </c>
    </row>
    <row r="1726" spans="1:13">
      <c r="A1726" s="7">
        <v>43817</v>
      </c>
      <c r="B1726" s="8">
        <v>0.57291666666666663</v>
      </c>
      <c r="C1726" s="19" t="str">
        <f>"FES1162728923"</f>
        <v>FES1162728923</v>
      </c>
      <c r="D1726" s="19" t="s">
        <v>19</v>
      </c>
      <c r="E1726" s="19" t="s">
        <v>203</v>
      </c>
      <c r="F1726" s="19" t="str">
        <f>"2170722022 "</f>
        <v xml:space="preserve">2170722022 </v>
      </c>
      <c r="G1726" s="19" t="str">
        <f t="shared" si="45"/>
        <v>ON1</v>
      </c>
      <c r="H1726" s="19" t="s">
        <v>21</v>
      </c>
      <c r="I1726" s="19" t="s">
        <v>158</v>
      </c>
      <c r="J1726" s="19" t="str">
        <f>""</f>
        <v/>
      </c>
      <c r="K1726" s="19" t="str">
        <f>"PFES1162728923_0001"</f>
        <v>PFES1162728923_0001</v>
      </c>
      <c r="L1726" s="19">
        <v>1</v>
      </c>
      <c r="M1726" s="19">
        <v>7</v>
      </c>
    </row>
    <row r="1727" spans="1:13">
      <c r="A1727" s="7">
        <v>43817</v>
      </c>
      <c r="B1727" s="8">
        <v>0.57222222222222219</v>
      </c>
      <c r="C1727" s="19" t="str">
        <f>"FES1162728070"</f>
        <v>FES1162728070</v>
      </c>
      <c r="D1727" s="19" t="s">
        <v>19</v>
      </c>
      <c r="E1727" s="19" t="s">
        <v>260</v>
      </c>
      <c r="F1727" s="19" t="str">
        <f>"2170718227 "</f>
        <v xml:space="preserve">2170718227 </v>
      </c>
      <c r="G1727" s="19" t="str">
        <f t="shared" si="45"/>
        <v>ON1</v>
      </c>
      <c r="H1727" s="19" t="s">
        <v>21</v>
      </c>
      <c r="I1727" s="19" t="s">
        <v>216</v>
      </c>
      <c r="J1727" s="19" t="str">
        <f>""</f>
        <v/>
      </c>
      <c r="K1727" s="19" t="str">
        <f>"PFES1162728070_0001"</f>
        <v>PFES1162728070_0001</v>
      </c>
      <c r="L1727" s="19">
        <v>2</v>
      </c>
      <c r="M1727" s="19">
        <v>4</v>
      </c>
    </row>
    <row r="1728" spans="1:13">
      <c r="A1728" s="7">
        <v>43817</v>
      </c>
      <c r="B1728" s="8">
        <v>0.57222222222222219</v>
      </c>
      <c r="C1728" s="19" t="str">
        <f>"FES1162728070"</f>
        <v>FES1162728070</v>
      </c>
      <c r="D1728" s="19" t="s">
        <v>19</v>
      </c>
      <c r="E1728" s="19" t="s">
        <v>260</v>
      </c>
      <c r="F1728" s="19" t="str">
        <f>"2170718227 "</f>
        <v xml:space="preserve">2170718227 </v>
      </c>
      <c r="G1728" s="19" t="str">
        <f t="shared" si="45"/>
        <v>ON1</v>
      </c>
      <c r="H1728" s="19" t="s">
        <v>21</v>
      </c>
      <c r="I1728" s="19" t="s">
        <v>216</v>
      </c>
      <c r="J1728" s="19" t="str">
        <f>""</f>
        <v/>
      </c>
      <c r="K1728" s="19" t="str">
        <f>"PFES1162728070_0001"</f>
        <v>PFES1162728070_0001</v>
      </c>
      <c r="L1728" s="19">
        <v>2</v>
      </c>
      <c r="M1728" s="19">
        <v>4</v>
      </c>
    </row>
    <row r="1729" spans="1:13">
      <c r="A1729" s="7">
        <v>43817</v>
      </c>
      <c r="B1729" s="8">
        <v>0.57222222222222219</v>
      </c>
      <c r="C1729" s="19" t="str">
        <f>"FES1162728582"</f>
        <v>FES1162728582</v>
      </c>
      <c r="D1729" s="19" t="s">
        <v>19</v>
      </c>
      <c r="E1729" s="19" t="s">
        <v>291</v>
      </c>
      <c r="F1729" s="19" t="str">
        <f>"2170721549 "</f>
        <v xml:space="preserve">2170721549 </v>
      </c>
      <c r="G1729" s="19" t="str">
        <f t="shared" si="45"/>
        <v>ON1</v>
      </c>
      <c r="H1729" s="19" t="s">
        <v>21</v>
      </c>
      <c r="I1729" s="19" t="s">
        <v>41</v>
      </c>
      <c r="J1729" s="19" t="str">
        <f>""</f>
        <v/>
      </c>
      <c r="K1729" s="19" t="str">
        <f>"PFES1162728582_0001"</f>
        <v>PFES1162728582_0001</v>
      </c>
      <c r="L1729" s="19">
        <v>1</v>
      </c>
      <c r="M1729" s="19">
        <v>15</v>
      </c>
    </row>
    <row r="1730" spans="1:13">
      <c r="A1730" s="7">
        <v>43817</v>
      </c>
      <c r="B1730" s="8">
        <v>0.57152777777777775</v>
      </c>
      <c r="C1730" s="19" t="str">
        <f>"FES1162728742"</f>
        <v>FES1162728742</v>
      </c>
      <c r="D1730" s="19" t="s">
        <v>19</v>
      </c>
      <c r="E1730" s="19" t="s">
        <v>44</v>
      </c>
      <c r="F1730" s="19" t="str">
        <f>"2170721929 "</f>
        <v xml:space="preserve">2170721929 </v>
      </c>
      <c r="G1730" s="19" t="str">
        <f t="shared" si="45"/>
        <v>ON1</v>
      </c>
      <c r="H1730" s="19" t="s">
        <v>21</v>
      </c>
      <c r="I1730" s="19" t="s">
        <v>45</v>
      </c>
      <c r="J1730" s="19" t="str">
        <f>""</f>
        <v/>
      </c>
      <c r="K1730" s="19" t="str">
        <f>"PFES1162728742_0001"</f>
        <v>PFES1162728742_0001</v>
      </c>
      <c r="L1730" s="19">
        <v>1</v>
      </c>
      <c r="M1730" s="19">
        <v>13</v>
      </c>
    </row>
    <row r="1731" spans="1:13">
      <c r="A1731" s="7">
        <v>43817</v>
      </c>
      <c r="B1731" s="8">
        <v>0.5708333333333333</v>
      </c>
      <c r="C1731" s="19" t="str">
        <f>"FES1162728788"</f>
        <v>FES1162728788</v>
      </c>
      <c r="D1731" s="19" t="s">
        <v>19</v>
      </c>
      <c r="E1731" s="19" t="s">
        <v>77</v>
      </c>
      <c r="F1731" s="19" t="str">
        <f>"2170721982 "</f>
        <v xml:space="preserve">2170721982 </v>
      </c>
      <c r="G1731" s="19" t="str">
        <f t="shared" si="45"/>
        <v>ON1</v>
      </c>
      <c r="H1731" s="19" t="s">
        <v>21</v>
      </c>
      <c r="I1731" s="19" t="s">
        <v>78</v>
      </c>
      <c r="J1731" s="19" t="str">
        <f>""</f>
        <v/>
      </c>
      <c r="K1731" s="19" t="str">
        <f>"PFES1162728788_0001"</f>
        <v>PFES1162728788_0001</v>
      </c>
      <c r="L1731" s="19">
        <v>1</v>
      </c>
      <c r="M1731" s="19">
        <v>2</v>
      </c>
    </row>
    <row r="1732" spans="1:13">
      <c r="A1732" s="7">
        <v>43817</v>
      </c>
      <c r="B1732" s="8">
        <v>0.57013888888888886</v>
      </c>
      <c r="C1732" s="19" t="str">
        <f>"FES1162728551"</f>
        <v>FES1162728551</v>
      </c>
      <c r="D1732" s="19" t="s">
        <v>19</v>
      </c>
      <c r="E1732" s="19" t="s">
        <v>393</v>
      </c>
      <c r="F1732" s="19" t="str">
        <f>"2170721809 "</f>
        <v xml:space="preserve">2170721809 </v>
      </c>
      <c r="G1732" s="19" t="str">
        <f t="shared" si="45"/>
        <v>ON1</v>
      </c>
      <c r="H1732" s="19" t="s">
        <v>21</v>
      </c>
      <c r="I1732" s="19" t="s">
        <v>78</v>
      </c>
      <c r="J1732" s="19" t="str">
        <f>""</f>
        <v/>
      </c>
      <c r="K1732" s="19" t="str">
        <f>"PFES1162728551_0001"</f>
        <v>PFES1162728551_0001</v>
      </c>
      <c r="L1732" s="19">
        <v>1</v>
      </c>
      <c r="M1732" s="19">
        <v>4</v>
      </c>
    </row>
    <row r="1733" spans="1:13">
      <c r="A1733" s="7">
        <v>43817</v>
      </c>
      <c r="B1733" s="8">
        <v>0.56944444444444442</v>
      </c>
      <c r="C1733" s="19" t="str">
        <f>"FES1162728402"</f>
        <v>FES1162728402</v>
      </c>
      <c r="D1733" s="19" t="s">
        <v>19</v>
      </c>
      <c r="E1733" s="19" t="s">
        <v>260</v>
      </c>
      <c r="F1733" s="19" t="str">
        <f>"2170718427 "</f>
        <v xml:space="preserve">2170718427 </v>
      </c>
      <c r="G1733" s="19" t="str">
        <f t="shared" si="45"/>
        <v>ON1</v>
      </c>
      <c r="H1733" s="19" t="s">
        <v>21</v>
      </c>
      <c r="I1733" s="19" t="s">
        <v>216</v>
      </c>
      <c r="J1733" s="19" t="str">
        <f>""</f>
        <v/>
      </c>
      <c r="K1733" s="19" t="str">
        <f>"PFES1162728402_0001"</f>
        <v>PFES1162728402_0001</v>
      </c>
      <c r="L1733" s="19">
        <v>1</v>
      </c>
      <c r="M1733" s="19">
        <v>5</v>
      </c>
    </row>
    <row r="1734" spans="1:13">
      <c r="A1734" s="7">
        <v>43817</v>
      </c>
      <c r="B1734" s="8">
        <v>0.56944444444444442</v>
      </c>
      <c r="C1734" s="19" t="str">
        <f>"FES1162728786"</f>
        <v>FES1162728786</v>
      </c>
      <c r="D1734" s="19" t="s">
        <v>19</v>
      </c>
      <c r="E1734" s="19" t="s">
        <v>77</v>
      </c>
      <c r="F1734" s="19" t="str">
        <f>"2170721979 "</f>
        <v xml:space="preserve">2170721979 </v>
      </c>
      <c r="G1734" s="19" t="str">
        <f t="shared" si="45"/>
        <v>ON1</v>
      </c>
      <c r="H1734" s="19" t="s">
        <v>21</v>
      </c>
      <c r="I1734" s="19" t="s">
        <v>78</v>
      </c>
      <c r="J1734" s="19" t="str">
        <f>""</f>
        <v/>
      </c>
      <c r="K1734" s="19" t="str">
        <f>"PFES1162728786_0001"</f>
        <v>PFES1162728786_0001</v>
      </c>
      <c r="L1734" s="19">
        <v>1</v>
      </c>
      <c r="M1734" s="19">
        <v>8</v>
      </c>
    </row>
    <row r="1735" spans="1:13">
      <c r="A1735" s="7">
        <v>43817</v>
      </c>
      <c r="B1735" s="8">
        <v>0.56874999999999998</v>
      </c>
      <c r="C1735" s="19" t="str">
        <f>"FES1162728557"</f>
        <v>FES1162728557</v>
      </c>
      <c r="D1735" s="19" t="s">
        <v>19</v>
      </c>
      <c r="E1735" s="19" t="s">
        <v>260</v>
      </c>
      <c r="F1735" s="19" t="str">
        <f>"2170718229 "</f>
        <v xml:space="preserve">2170718229 </v>
      </c>
      <c r="G1735" s="19" t="str">
        <f t="shared" si="45"/>
        <v>ON1</v>
      </c>
      <c r="H1735" s="19" t="s">
        <v>21</v>
      </c>
      <c r="I1735" s="19" t="s">
        <v>216</v>
      </c>
      <c r="J1735" s="19" t="str">
        <f>""</f>
        <v/>
      </c>
      <c r="K1735" s="19" t="str">
        <f>"PFES1162728557_0001"</f>
        <v>PFES1162728557_0001</v>
      </c>
      <c r="L1735" s="19">
        <v>1</v>
      </c>
      <c r="M1735" s="19">
        <v>3</v>
      </c>
    </row>
    <row r="1736" spans="1:13">
      <c r="A1736" s="7">
        <v>43817</v>
      </c>
      <c r="B1736" s="8">
        <v>0.56874999999999998</v>
      </c>
      <c r="C1736" s="19" t="str">
        <f>"FES1162728830"</f>
        <v>FES1162728830</v>
      </c>
      <c r="D1736" s="19" t="s">
        <v>19</v>
      </c>
      <c r="E1736" s="19" t="s">
        <v>303</v>
      </c>
      <c r="F1736" s="19" t="str">
        <f>"2170720040 "</f>
        <v xml:space="preserve">2170720040 </v>
      </c>
      <c r="G1736" s="19" t="str">
        <f t="shared" si="45"/>
        <v>ON1</v>
      </c>
      <c r="H1736" s="19" t="s">
        <v>21</v>
      </c>
      <c r="I1736" s="19" t="s">
        <v>304</v>
      </c>
      <c r="J1736" s="19" t="str">
        <f>""</f>
        <v/>
      </c>
      <c r="K1736" s="19" t="str">
        <f>"PFES1162728830_0001"</f>
        <v>PFES1162728830_0001</v>
      </c>
      <c r="L1736" s="19">
        <v>1</v>
      </c>
      <c r="M1736" s="19">
        <v>1</v>
      </c>
    </row>
    <row r="1737" spans="1:13">
      <c r="A1737" s="7">
        <v>43817</v>
      </c>
      <c r="B1737" s="8">
        <v>0.56805555555555554</v>
      </c>
      <c r="C1737" s="19" t="str">
        <f>"FES1162728565"</f>
        <v>FES1162728565</v>
      </c>
      <c r="D1737" s="19" t="s">
        <v>19</v>
      </c>
      <c r="E1737" s="19" t="s">
        <v>105</v>
      </c>
      <c r="F1737" s="19" t="str">
        <f>"2170719557 "</f>
        <v xml:space="preserve">2170719557 </v>
      </c>
      <c r="G1737" s="19" t="str">
        <f t="shared" si="45"/>
        <v>ON1</v>
      </c>
      <c r="H1737" s="19" t="s">
        <v>21</v>
      </c>
      <c r="I1737" s="19" t="s">
        <v>106</v>
      </c>
      <c r="J1737" s="19" t="str">
        <f>""</f>
        <v/>
      </c>
      <c r="K1737" s="19" t="str">
        <f>"PFES1162728565_0001"</f>
        <v>PFES1162728565_0001</v>
      </c>
      <c r="L1737" s="19">
        <v>1</v>
      </c>
      <c r="M1737" s="19">
        <v>2</v>
      </c>
    </row>
    <row r="1738" spans="1:13">
      <c r="A1738" s="7">
        <v>43817</v>
      </c>
      <c r="B1738" s="8">
        <v>0.56736111111111109</v>
      </c>
      <c r="C1738" s="19" t="str">
        <f>"FES1162728803"</f>
        <v>FES1162728803</v>
      </c>
      <c r="D1738" s="19" t="s">
        <v>19</v>
      </c>
      <c r="E1738" s="19" t="s">
        <v>453</v>
      </c>
      <c r="F1738" s="19" t="str">
        <f>"2170719242 "</f>
        <v xml:space="preserve">2170719242 </v>
      </c>
      <c r="G1738" s="19" t="str">
        <f t="shared" si="45"/>
        <v>ON1</v>
      </c>
      <c r="H1738" s="19" t="s">
        <v>21</v>
      </c>
      <c r="I1738" s="19" t="s">
        <v>231</v>
      </c>
      <c r="J1738" s="19" t="str">
        <f>""</f>
        <v/>
      </c>
      <c r="K1738" s="19" t="str">
        <f>"PFES1162728803_0001"</f>
        <v>PFES1162728803_0001</v>
      </c>
      <c r="L1738" s="19">
        <v>1</v>
      </c>
      <c r="M1738" s="19">
        <v>4</v>
      </c>
    </row>
    <row r="1739" spans="1:13">
      <c r="A1739" s="7">
        <v>43817</v>
      </c>
      <c r="B1739" s="8">
        <v>0.56736111111111109</v>
      </c>
      <c r="C1739" s="19" t="str">
        <f>"FES1162728860"</f>
        <v>FES1162728860</v>
      </c>
      <c r="D1739" s="19" t="s">
        <v>19</v>
      </c>
      <c r="E1739" s="19" t="s">
        <v>93</v>
      </c>
      <c r="F1739" s="19" t="str">
        <f>"2170722000 "</f>
        <v xml:space="preserve">2170722000 </v>
      </c>
      <c r="G1739" s="19" t="str">
        <f t="shared" si="45"/>
        <v>ON1</v>
      </c>
      <c r="H1739" s="19" t="s">
        <v>21</v>
      </c>
      <c r="I1739" s="19" t="s">
        <v>136</v>
      </c>
      <c r="J1739" s="19" t="str">
        <f>""</f>
        <v/>
      </c>
      <c r="K1739" s="19" t="str">
        <f>"PFES1162728860_0001"</f>
        <v>PFES1162728860_0001</v>
      </c>
      <c r="L1739" s="19">
        <v>1</v>
      </c>
      <c r="M1739" s="19">
        <v>4</v>
      </c>
    </row>
    <row r="1740" spans="1:13">
      <c r="A1740" s="7">
        <v>43817</v>
      </c>
      <c r="B1740" s="8">
        <v>0.56666666666666665</v>
      </c>
      <c r="C1740" s="19" t="str">
        <f>"FES1162728930"</f>
        <v>FES1162728930</v>
      </c>
      <c r="D1740" s="19" t="s">
        <v>19</v>
      </c>
      <c r="E1740" s="19" t="s">
        <v>84</v>
      </c>
      <c r="F1740" s="19" t="str">
        <f>"2170722038 "</f>
        <v xml:space="preserve">2170722038 </v>
      </c>
      <c r="G1740" s="19" t="str">
        <f t="shared" si="45"/>
        <v>ON1</v>
      </c>
      <c r="H1740" s="19" t="s">
        <v>21</v>
      </c>
      <c r="I1740" s="19" t="s">
        <v>85</v>
      </c>
      <c r="J1740" s="19" t="str">
        <f>""</f>
        <v/>
      </c>
      <c r="K1740" s="19" t="str">
        <f>"PFES1162728930_0001"</f>
        <v>PFES1162728930_0001</v>
      </c>
      <c r="L1740" s="19">
        <v>1</v>
      </c>
      <c r="M1740" s="19">
        <v>1</v>
      </c>
    </row>
    <row r="1741" spans="1:13">
      <c r="A1741" s="7">
        <v>43817</v>
      </c>
      <c r="B1741" s="8">
        <v>0.56597222222222221</v>
      </c>
      <c r="C1741" s="19" t="str">
        <f>"FES1162728893"</f>
        <v>FES1162728893</v>
      </c>
      <c r="D1741" s="19" t="s">
        <v>19</v>
      </c>
      <c r="E1741" s="19" t="s">
        <v>303</v>
      </c>
      <c r="F1741" s="19" t="str">
        <f>"2107200040 "</f>
        <v xml:space="preserve">2107200040 </v>
      </c>
      <c r="G1741" s="19" t="str">
        <f t="shared" ref="G1741:G1804" si="46">"ON1"</f>
        <v>ON1</v>
      </c>
      <c r="H1741" s="19" t="s">
        <v>21</v>
      </c>
      <c r="I1741" s="19" t="s">
        <v>304</v>
      </c>
      <c r="J1741" s="19" t="str">
        <f>""</f>
        <v/>
      </c>
      <c r="K1741" s="19" t="str">
        <f>"PFES1162728893_0001"</f>
        <v>PFES1162728893_0001</v>
      </c>
      <c r="L1741" s="19">
        <v>1</v>
      </c>
      <c r="M1741" s="19">
        <v>3</v>
      </c>
    </row>
    <row r="1742" spans="1:13">
      <c r="A1742" s="7">
        <v>43817</v>
      </c>
      <c r="B1742" s="8">
        <v>0.5493055555555556</v>
      </c>
      <c r="C1742" s="19" t="str">
        <f>"FES1162728906"</f>
        <v>FES1162728906</v>
      </c>
      <c r="D1742" s="19" t="s">
        <v>19</v>
      </c>
      <c r="E1742" s="19" t="s">
        <v>287</v>
      </c>
      <c r="F1742" s="19" t="str">
        <f>"2170721584 "</f>
        <v xml:space="preserve">2170721584 </v>
      </c>
      <c r="G1742" s="19" t="str">
        <f t="shared" si="46"/>
        <v>ON1</v>
      </c>
      <c r="H1742" s="19" t="s">
        <v>21</v>
      </c>
      <c r="I1742" s="19" t="s">
        <v>288</v>
      </c>
      <c r="J1742" s="19" t="str">
        <f>""</f>
        <v/>
      </c>
      <c r="K1742" s="19" t="str">
        <f>"PFES1162728906_0001"</f>
        <v>PFES1162728906_0001</v>
      </c>
      <c r="L1742" s="19">
        <v>1</v>
      </c>
      <c r="M1742" s="19">
        <v>1</v>
      </c>
    </row>
    <row r="1743" spans="1:13">
      <c r="A1743" s="7">
        <v>43817</v>
      </c>
      <c r="B1743" s="8">
        <v>0.54861111111111105</v>
      </c>
      <c r="C1743" s="19" t="str">
        <f>"FES1162728902"</f>
        <v>FES1162728902</v>
      </c>
      <c r="D1743" s="19" t="s">
        <v>19</v>
      </c>
      <c r="E1743" s="19" t="s">
        <v>84</v>
      </c>
      <c r="F1743" s="19" t="str">
        <f>"2170721417 "</f>
        <v xml:space="preserve">2170721417 </v>
      </c>
      <c r="G1743" s="19" t="str">
        <f t="shared" si="46"/>
        <v>ON1</v>
      </c>
      <c r="H1743" s="19" t="s">
        <v>21</v>
      </c>
      <c r="I1743" s="19" t="s">
        <v>85</v>
      </c>
      <c r="J1743" s="19" t="str">
        <f>""</f>
        <v/>
      </c>
      <c r="K1743" s="19" t="str">
        <f>"PFES1162728902_0001"</f>
        <v>PFES1162728902_0001</v>
      </c>
      <c r="L1743" s="19">
        <v>1</v>
      </c>
      <c r="M1743" s="19">
        <v>1</v>
      </c>
    </row>
    <row r="1744" spans="1:13">
      <c r="A1744" s="7">
        <v>43817</v>
      </c>
      <c r="B1744" s="8">
        <v>0.54861111111111105</v>
      </c>
      <c r="C1744" s="19" t="str">
        <f>"FES1162728829"</f>
        <v>FES1162728829</v>
      </c>
      <c r="D1744" s="19" t="s">
        <v>19</v>
      </c>
      <c r="E1744" s="19" t="s">
        <v>105</v>
      </c>
      <c r="F1744" s="19" t="str">
        <f>"2170720036 "</f>
        <v xml:space="preserve">2170720036 </v>
      </c>
      <c r="G1744" s="19" t="str">
        <f t="shared" si="46"/>
        <v>ON1</v>
      </c>
      <c r="H1744" s="19" t="s">
        <v>21</v>
      </c>
      <c r="I1744" s="19" t="s">
        <v>106</v>
      </c>
      <c r="J1744" s="19" t="str">
        <f>""</f>
        <v/>
      </c>
      <c r="K1744" s="19" t="str">
        <f>"PFES1162728829_0001"</f>
        <v>PFES1162728829_0001</v>
      </c>
      <c r="L1744" s="19">
        <v>1</v>
      </c>
      <c r="M1744" s="19">
        <v>1</v>
      </c>
    </row>
    <row r="1745" spans="1:13">
      <c r="A1745" s="7">
        <v>43817</v>
      </c>
      <c r="B1745" s="8">
        <v>0.54791666666666672</v>
      </c>
      <c r="C1745" s="19" t="str">
        <f>"FES1162728887"</f>
        <v>FES1162728887</v>
      </c>
      <c r="D1745" s="19" t="s">
        <v>19</v>
      </c>
      <c r="E1745" s="19" t="s">
        <v>814</v>
      </c>
      <c r="F1745" s="19" t="str">
        <f>"2170719831 "</f>
        <v xml:space="preserve">2170719831 </v>
      </c>
      <c r="G1745" s="19" t="str">
        <f t="shared" si="46"/>
        <v>ON1</v>
      </c>
      <c r="H1745" s="19" t="s">
        <v>21</v>
      </c>
      <c r="I1745" s="19" t="s">
        <v>136</v>
      </c>
      <c r="J1745" s="19" t="str">
        <f>""</f>
        <v/>
      </c>
      <c r="K1745" s="19" t="str">
        <f>"PFES1162728887_0001"</f>
        <v>PFES1162728887_0001</v>
      </c>
      <c r="L1745" s="19">
        <v>1</v>
      </c>
      <c r="M1745" s="19">
        <v>1</v>
      </c>
    </row>
    <row r="1746" spans="1:13">
      <c r="A1746" s="7">
        <v>43817</v>
      </c>
      <c r="B1746" s="8">
        <v>0.54722222222222217</v>
      </c>
      <c r="C1746" s="19" t="str">
        <f>"FES1162728819"</f>
        <v>FES1162728819</v>
      </c>
      <c r="D1746" s="19" t="s">
        <v>19</v>
      </c>
      <c r="E1746" s="19" t="s">
        <v>815</v>
      </c>
      <c r="F1746" s="19" t="str">
        <f>"2170719936 "</f>
        <v xml:space="preserve">2170719936 </v>
      </c>
      <c r="G1746" s="19" t="str">
        <f t="shared" si="46"/>
        <v>ON1</v>
      </c>
      <c r="H1746" s="19" t="s">
        <v>21</v>
      </c>
      <c r="I1746" s="19" t="s">
        <v>231</v>
      </c>
      <c r="J1746" s="19" t="str">
        <f>""</f>
        <v/>
      </c>
      <c r="K1746" s="19" t="str">
        <f>"PFES1162728819_0001"</f>
        <v>PFES1162728819_0001</v>
      </c>
      <c r="L1746" s="19">
        <v>1</v>
      </c>
      <c r="M1746" s="19">
        <v>1</v>
      </c>
    </row>
    <row r="1747" spans="1:13">
      <c r="A1747" s="7">
        <v>43817</v>
      </c>
      <c r="B1747" s="8">
        <v>0.54652777777777783</v>
      </c>
      <c r="C1747" s="19" t="str">
        <f>"FES1162728827"</f>
        <v>FES1162728827</v>
      </c>
      <c r="D1747" s="19" t="s">
        <v>19</v>
      </c>
      <c r="E1747" s="19" t="s">
        <v>816</v>
      </c>
      <c r="F1747" s="19" t="str">
        <f>"2170720009 "</f>
        <v xml:space="preserve">2170720009 </v>
      </c>
      <c r="G1747" s="19" t="str">
        <f t="shared" si="46"/>
        <v>ON1</v>
      </c>
      <c r="H1747" s="19" t="s">
        <v>21</v>
      </c>
      <c r="I1747" s="19" t="s">
        <v>288</v>
      </c>
      <c r="J1747" s="19" t="str">
        <f>""</f>
        <v/>
      </c>
      <c r="K1747" s="19" t="str">
        <f>"PFES1162728827_0001"</f>
        <v>PFES1162728827_0001</v>
      </c>
      <c r="L1747" s="19">
        <v>1</v>
      </c>
      <c r="M1747" s="19">
        <v>1</v>
      </c>
    </row>
    <row r="1748" spans="1:13">
      <c r="A1748" s="7">
        <v>43817</v>
      </c>
      <c r="B1748" s="8">
        <v>0.54583333333333328</v>
      </c>
      <c r="C1748" s="19" t="str">
        <f>"FES1162728826"</f>
        <v>FES1162728826</v>
      </c>
      <c r="D1748" s="19" t="s">
        <v>19</v>
      </c>
      <c r="E1748" s="19" t="s">
        <v>816</v>
      </c>
      <c r="F1748" s="19" t="str">
        <f>"2170720008 "</f>
        <v xml:space="preserve">2170720008 </v>
      </c>
      <c r="G1748" s="19" t="str">
        <f t="shared" si="46"/>
        <v>ON1</v>
      </c>
      <c r="H1748" s="19" t="s">
        <v>21</v>
      </c>
      <c r="I1748" s="19" t="s">
        <v>288</v>
      </c>
      <c r="J1748" s="19" t="str">
        <f>""</f>
        <v/>
      </c>
      <c r="K1748" s="19" t="str">
        <f>"PFES1162728826_0001"</f>
        <v>PFES1162728826_0001</v>
      </c>
      <c r="L1748" s="19">
        <v>1</v>
      </c>
      <c r="M1748" s="19">
        <v>1</v>
      </c>
    </row>
    <row r="1749" spans="1:13">
      <c r="A1749" s="7">
        <v>43817</v>
      </c>
      <c r="B1749" s="8">
        <v>0.54513888888888895</v>
      </c>
      <c r="C1749" s="19" t="str">
        <f>"FES1162728931"</f>
        <v>FES1162728931</v>
      </c>
      <c r="D1749" s="19" t="s">
        <v>19</v>
      </c>
      <c r="E1749" s="19" t="s">
        <v>634</v>
      </c>
      <c r="F1749" s="19" t="str">
        <f>"2170722040 "</f>
        <v xml:space="preserve">2170722040 </v>
      </c>
      <c r="G1749" s="19" t="str">
        <f t="shared" si="46"/>
        <v>ON1</v>
      </c>
      <c r="H1749" s="19" t="s">
        <v>21</v>
      </c>
      <c r="I1749" s="19" t="s">
        <v>87</v>
      </c>
      <c r="J1749" s="19" t="str">
        <f>""</f>
        <v/>
      </c>
      <c r="K1749" s="19" t="str">
        <f>"PFES1162728931_0001"</f>
        <v>PFES1162728931_0001</v>
      </c>
      <c r="L1749" s="19">
        <v>1</v>
      </c>
      <c r="M1749" s="19">
        <v>1</v>
      </c>
    </row>
    <row r="1750" spans="1:13">
      <c r="A1750" s="7">
        <v>43817</v>
      </c>
      <c r="B1750" s="8">
        <v>0.54097222222222219</v>
      </c>
      <c r="C1750" s="19" t="str">
        <f>"FES1162728806"</f>
        <v>FES1162728806</v>
      </c>
      <c r="D1750" s="19" t="s">
        <v>19</v>
      </c>
      <c r="E1750" s="19" t="s">
        <v>151</v>
      </c>
      <c r="F1750" s="19" t="str">
        <f>"2170796371 "</f>
        <v xml:space="preserve">2170796371 </v>
      </c>
      <c r="G1750" s="19" t="str">
        <f t="shared" si="46"/>
        <v>ON1</v>
      </c>
      <c r="H1750" s="19" t="s">
        <v>21</v>
      </c>
      <c r="I1750" s="19" t="s">
        <v>152</v>
      </c>
      <c r="J1750" s="19" t="str">
        <f>""</f>
        <v/>
      </c>
      <c r="K1750" s="19" t="str">
        <f>"PFES1162728806_0001"</f>
        <v>PFES1162728806_0001</v>
      </c>
      <c r="L1750" s="19">
        <v>1</v>
      </c>
      <c r="M1750" s="19">
        <v>1</v>
      </c>
    </row>
    <row r="1751" spans="1:13">
      <c r="A1751" s="7">
        <v>43817</v>
      </c>
      <c r="B1751" s="8">
        <v>0.54097222222222219</v>
      </c>
      <c r="C1751" s="19" t="str">
        <f>"FES1162728896"</f>
        <v>FES1162728896</v>
      </c>
      <c r="D1751" s="19" t="s">
        <v>19</v>
      </c>
      <c r="E1751" s="19" t="s">
        <v>59</v>
      </c>
      <c r="F1751" s="19" t="str">
        <f>"2170720108 "</f>
        <v xml:space="preserve">2170720108 </v>
      </c>
      <c r="G1751" s="19" t="str">
        <f t="shared" si="46"/>
        <v>ON1</v>
      </c>
      <c r="H1751" s="19" t="s">
        <v>21</v>
      </c>
      <c r="I1751" s="19" t="s">
        <v>60</v>
      </c>
      <c r="J1751" s="19" t="str">
        <f>""</f>
        <v/>
      </c>
      <c r="K1751" s="19" t="str">
        <f>"PFES1162728896_0001"</f>
        <v>PFES1162728896_0001</v>
      </c>
      <c r="L1751" s="19">
        <v>1</v>
      </c>
      <c r="M1751" s="19">
        <v>1</v>
      </c>
    </row>
    <row r="1752" spans="1:13">
      <c r="A1752" s="7">
        <v>43817</v>
      </c>
      <c r="B1752" s="8">
        <v>0.54027777777777775</v>
      </c>
      <c r="C1752" s="19" t="str">
        <f>"FES1162728908"</f>
        <v>FES1162728908</v>
      </c>
      <c r="D1752" s="19" t="s">
        <v>19</v>
      </c>
      <c r="E1752" s="19" t="s">
        <v>24</v>
      </c>
      <c r="F1752" s="19" t="str">
        <f>"2170721857 "</f>
        <v xml:space="preserve">2170721857 </v>
      </c>
      <c r="G1752" s="19" t="str">
        <f t="shared" si="46"/>
        <v>ON1</v>
      </c>
      <c r="H1752" s="19" t="s">
        <v>21</v>
      </c>
      <c r="I1752" s="19" t="s">
        <v>25</v>
      </c>
      <c r="J1752" s="19" t="str">
        <f>""</f>
        <v/>
      </c>
      <c r="K1752" s="19" t="str">
        <f>"PFES1162728908_0001"</f>
        <v>PFES1162728908_0001</v>
      </c>
      <c r="L1752" s="19">
        <v>1</v>
      </c>
      <c r="M1752" s="19">
        <v>1</v>
      </c>
    </row>
    <row r="1753" spans="1:13">
      <c r="A1753" s="7">
        <v>43817</v>
      </c>
      <c r="B1753" s="8">
        <v>0.5395833333333333</v>
      </c>
      <c r="C1753" s="19" t="str">
        <f>"FES1162728853"</f>
        <v>FES1162728853</v>
      </c>
      <c r="D1753" s="19" t="s">
        <v>19</v>
      </c>
      <c r="E1753" s="19" t="s">
        <v>817</v>
      </c>
      <c r="F1753" s="19" t="str">
        <f>"2170721714 "</f>
        <v xml:space="preserve">2170721714 </v>
      </c>
      <c r="G1753" s="19" t="str">
        <f t="shared" si="46"/>
        <v>ON1</v>
      </c>
      <c r="H1753" s="19" t="s">
        <v>21</v>
      </c>
      <c r="I1753" s="19" t="s">
        <v>818</v>
      </c>
      <c r="J1753" s="19" t="str">
        <f>""</f>
        <v/>
      </c>
      <c r="K1753" s="19" t="str">
        <f>"PFES1162728853_0001"</f>
        <v>PFES1162728853_0001</v>
      </c>
      <c r="L1753" s="19">
        <v>1</v>
      </c>
      <c r="M1753" s="19">
        <v>1</v>
      </c>
    </row>
    <row r="1754" spans="1:13">
      <c r="A1754" s="7">
        <v>43817</v>
      </c>
      <c r="B1754" s="8">
        <v>0.5395833333333333</v>
      </c>
      <c r="C1754" s="19" t="str">
        <f>"FES1162728879"</f>
        <v>FES1162728879</v>
      </c>
      <c r="D1754" s="19" t="s">
        <v>19</v>
      </c>
      <c r="E1754" s="19" t="s">
        <v>269</v>
      </c>
      <c r="F1754" s="19" t="str">
        <f>"2170719703 "</f>
        <v xml:space="preserve">2170719703 </v>
      </c>
      <c r="G1754" s="19" t="str">
        <f t="shared" si="46"/>
        <v>ON1</v>
      </c>
      <c r="H1754" s="19" t="s">
        <v>21</v>
      </c>
      <c r="I1754" s="19" t="s">
        <v>270</v>
      </c>
      <c r="J1754" s="19" t="str">
        <f>""</f>
        <v/>
      </c>
      <c r="K1754" s="19" t="str">
        <f>"PFES1162728879_0001"</f>
        <v>PFES1162728879_0001</v>
      </c>
      <c r="L1754" s="19">
        <v>1</v>
      </c>
      <c r="M1754" s="19">
        <v>1</v>
      </c>
    </row>
    <row r="1755" spans="1:13">
      <c r="A1755" s="7">
        <v>43817</v>
      </c>
      <c r="B1755" s="8">
        <v>0.5395833333333333</v>
      </c>
      <c r="C1755" s="19" t="str">
        <f>"FES1162728841"</f>
        <v>FES1162728841</v>
      </c>
      <c r="D1755" s="19" t="s">
        <v>19</v>
      </c>
      <c r="E1755" s="19" t="s">
        <v>203</v>
      </c>
      <c r="F1755" s="19" t="str">
        <f>"2170720880 "</f>
        <v xml:space="preserve">2170720880 </v>
      </c>
      <c r="G1755" s="19" t="str">
        <f t="shared" si="46"/>
        <v>ON1</v>
      </c>
      <c r="H1755" s="19" t="s">
        <v>21</v>
      </c>
      <c r="I1755" s="19" t="s">
        <v>158</v>
      </c>
      <c r="J1755" s="19" t="str">
        <f>""</f>
        <v/>
      </c>
      <c r="K1755" s="19" t="str">
        <f>"PFES1162728841_0001"</f>
        <v>PFES1162728841_0001</v>
      </c>
      <c r="L1755" s="19">
        <v>1</v>
      </c>
      <c r="M1755" s="19">
        <v>1</v>
      </c>
    </row>
    <row r="1756" spans="1:13">
      <c r="A1756" s="7">
        <v>43817</v>
      </c>
      <c r="B1756" s="8">
        <v>0.53888888888888886</v>
      </c>
      <c r="C1756" s="19" t="str">
        <f>"FES1162728811"</f>
        <v>FES1162728811</v>
      </c>
      <c r="D1756" s="19" t="s">
        <v>19</v>
      </c>
      <c r="E1756" s="19" t="s">
        <v>502</v>
      </c>
      <c r="F1756" s="19" t="str">
        <f>"2170719774 "</f>
        <v xml:space="preserve">2170719774 </v>
      </c>
      <c r="G1756" s="19" t="str">
        <f t="shared" si="46"/>
        <v>ON1</v>
      </c>
      <c r="H1756" s="19" t="s">
        <v>21</v>
      </c>
      <c r="I1756" s="19" t="s">
        <v>119</v>
      </c>
      <c r="J1756" s="19" t="str">
        <f>""</f>
        <v/>
      </c>
      <c r="K1756" s="19" t="str">
        <f>"PFES1162728811_0001"</f>
        <v>PFES1162728811_0001</v>
      </c>
      <c r="L1756" s="19">
        <v>1</v>
      </c>
      <c r="M1756" s="19">
        <v>1</v>
      </c>
    </row>
    <row r="1757" spans="1:13">
      <c r="A1757" s="7">
        <v>43817</v>
      </c>
      <c r="B1757" s="8">
        <v>0.67013888888888884</v>
      </c>
      <c r="C1757" s="19" t="str">
        <f>"FES1162728784"</f>
        <v>FES1162728784</v>
      </c>
      <c r="D1757" s="19" t="s">
        <v>19</v>
      </c>
      <c r="E1757" s="19" t="s">
        <v>292</v>
      </c>
      <c r="F1757" s="19" t="str">
        <f>"2170721796 "</f>
        <v xml:space="preserve">2170721796 </v>
      </c>
      <c r="G1757" s="19" t="str">
        <f t="shared" si="46"/>
        <v>ON1</v>
      </c>
      <c r="H1757" s="19" t="s">
        <v>21</v>
      </c>
      <c r="I1757" s="19" t="s">
        <v>78</v>
      </c>
      <c r="J1757" s="19" t="str">
        <f>""</f>
        <v/>
      </c>
      <c r="K1757" s="19" t="str">
        <f>"PFES1162728784_0001"</f>
        <v>PFES1162728784_0001</v>
      </c>
      <c r="L1757" s="19">
        <v>1</v>
      </c>
      <c r="M1757" s="19">
        <v>3</v>
      </c>
    </row>
    <row r="1758" spans="1:13">
      <c r="A1758" s="7">
        <v>43817</v>
      </c>
      <c r="B1758" s="8">
        <v>0.6694444444444444</v>
      </c>
      <c r="C1758" s="19" t="str">
        <f>"FES1162728961"</f>
        <v>FES1162728961</v>
      </c>
      <c r="D1758" s="19" t="s">
        <v>19</v>
      </c>
      <c r="E1758" s="19" t="s">
        <v>290</v>
      </c>
      <c r="F1758" s="19" t="str">
        <f>"2170721669 "</f>
        <v xml:space="preserve">2170721669 </v>
      </c>
      <c r="G1758" s="19" t="str">
        <f t="shared" si="46"/>
        <v>ON1</v>
      </c>
      <c r="H1758" s="19" t="s">
        <v>21</v>
      </c>
      <c r="I1758" s="19" t="s">
        <v>123</v>
      </c>
      <c r="J1758" s="19" t="str">
        <f>""</f>
        <v/>
      </c>
      <c r="K1758" s="19" t="str">
        <f>"PFES1162728961_0001"</f>
        <v>PFES1162728961_0001</v>
      </c>
      <c r="L1758" s="19">
        <v>1</v>
      </c>
      <c r="M1758" s="19">
        <v>3</v>
      </c>
    </row>
    <row r="1759" spans="1:13">
      <c r="A1759" s="7">
        <v>43817</v>
      </c>
      <c r="B1759" s="8">
        <v>0.64374999999999993</v>
      </c>
      <c r="C1759" s="19" t="str">
        <f>"FES1162728802"</f>
        <v>FES1162728802</v>
      </c>
      <c r="D1759" s="19" t="s">
        <v>19</v>
      </c>
      <c r="E1759" s="19" t="s">
        <v>453</v>
      </c>
      <c r="F1759" s="19" t="str">
        <f>"2170719239 "</f>
        <v xml:space="preserve">2170719239 </v>
      </c>
      <c r="G1759" s="19" t="str">
        <f t="shared" si="46"/>
        <v>ON1</v>
      </c>
      <c r="H1759" s="19" t="s">
        <v>21</v>
      </c>
      <c r="I1759" s="19" t="s">
        <v>231</v>
      </c>
      <c r="J1759" s="19" t="str">
        <f>""</f>
        <v/>
      </c>
      <c r="K1759" s="19" t="str">
        <f>"PFES1162728802_0001"</f>
        <v>PFES1162728802_0001</v>
      </c>
      <c r="L1759" s="19">
        <v>1</v>
      </c>
      <c r="M1759" s="19">
        <v>1</v>
      </c>
    </row>
    <row r="1760" spans="1:13">
      <c r="A1760" s="7">
        <v>43817</v>
      </c>
      <c r="B1760" s="8">
        <v>0.64374999999999993</v>
      </c>
      <c r="C1760" s="19" t="str">
        <f>"FES1162728992"</f>
        <v>FES1162728992</v>
      </c>
      <c r="D1760" s="19" t="s">
        <v>19</v>
      </c>
      <c r="E1760" s="19" t="s">
        <v>154</v>
      </c>
      <c r="F1760" s="19" t="str">
        <f>"2170722104 "</f>
        <v xml:space="preserve">2170722104 </v>
      </c>
      <c r="G1760" s="19" t="str">
        <f t="shared" si="46"/>
        <v>ON1</v>
      </c>
      <c r="H1760" s="19" t="s">
        <v>21</v>
      </c>
      <c r="I1760" s="19" t="s">
        <v>155</v>
      </c>
      <c r="J1760" s="19" t="str">
        <f>""</f>
        <v/>
      </c>
      <c r="K1760" s="19" t="str">
        <f>"PFES1162728992_0001"</f>
        <v>PFES1162728992_0001</v>
      </c>
      <c r="L1760" s="19">
        <v>1</v>
      </c>
      <c r="M1760" s="19">
        <v>1</v>
      </c>
    </row>
    <row r="1761" spans="1:13">
      <c r="A1761" s="7">
        <v>43817</v>
      </c>
      <c r="B1761" s="8">
        <v>0.64374999999999993</v>
      </c>
      <c r="C1761" s="19" t="str">
        <f>"FES1162728899"</f>
        <v>FES1162728899</v>
      </c>
      <c r="D1761" s="19" t="s">
        <v>19</v>
      </c>
      <c r="E1761" s="19" t="s">
        <v>569</v>
      </c>
      <c r="F1761" s="19" t="str">
        <f>"2170720123 "</f>
        <v xml:space="preserve">2170720123 </v>
      </c>
      <c r="G1761" s="19" t="str">
        <f t="shared" si="46"/>
        <v>ON1</v>
      </c>
      <c r="H1761" s="19" t="s">
        <v>21</v>
      </c>
      <c r="I1761" s="19" t="s">
        <v>521</v>
      </c>
      <c r="J1761" s="19" t="str">
        <f>""</f>
        <v/>
      </c>
      <c r="K1761" s="19" t="str">
        <f>"PFES1162728899_0001"</f>
        <v>PFES1162728899_0001</v>
      </c>
      <c r="L1761" s="19">
        <v>1</v>
      </c>
      <c r="M1761" s="19">
        <v>1</v>
      </c>
    </row>
    <row r="1762" spans="1:13">
      <c r="A1762" s="7">
        <v>43817</v>
      </c>
      <c r="B1762" s="8">
        <v>0.6430555555555556</v>
      </c>
      <c r="C1762" s="19" t="str">
        <f>"FES1162728739"</f>
        <v>FES1162728739</v>
      </c>
      <c r="D1762" s="19" t="s">
        <v>19</v>
      </c>
      <c r="E1762" s="19" t="s">
        <v>55</v>
      </c>
      <c r="F1762" s="19" t="str">
        <f>"2170721962 "</f>
        <v xml:space="preserve">2170721962 </v>
      </c>
      <c r="G1762" s="19" t="str">
        <f t="shared" si="46"/>
        <v>ON1</v>
      </c>
      <c r="H1762" s="19" t="s">
        <v>21</v>
      </c>
      <c r="I1762" s="19" t="s">
        <v>56</v>
      </c>
      <c r="J1762" s="19" t="str">
        <f>""</f>
        <v/>
      </c>
      <c r="K1762" s="19" t="str">
        <f>"PFES1162728739_0001"</f>
        <v>PFES1162728739_0001</v>
      </c>
      <c r="L1762" s="19">
        <v>1</v>
      </c>
      <c r="M1762" s="19">
        <v>1</v>
      </c>
    </row>
    <row r="1763" spans="1:13">
      <c r="A1763" s="7">
        <v>43817</v>
      </c>
      <c r="B1763" s="8">
        <v>0.6430555555555556</v>
      </c>
      <c r="C1763" s="19" t="str">
        <f>"FES1162728684"</f>
        <v>FES1162728684</v>
      </c>
      <c r="D1763" s="19" t="s">
        <v>19</v>
      </c>
      <c r="E1763" s="19" t="s">
        <v>373</v>
      </c>
      <c r="F1763" s="19" t="str">
        <f>"2170721880 "</f>
        <v xml:space="preserve">2170721880 </v>
      </c>
      <c r="G1763" s="19" t="str">
        <f t="shared" si="46"/>
        <v>ON1</v>
      </c>
      <c r="H1763" s="19" t="s">
        <v>21</v>
      </c>
      <c r="I1763" s="19" t="s">
        <v>374</v>
      </c>
      <c r="J1763" s="19" t="str">
        <f>""</f>
        <v/>
      </c>
      <c r="K1763" s="19" t="str">
        <f>"PFES1162728684_0001"</f>
        <v>PFES1162728684_0001</v>
      </c>
      <c r="L1763" s="19">
        <v>1</v>
      </c>
      <c r="M1763" s="19">
        <v>1</v>
      </c>
    </row>
    <row r="1764" spans="1:13">
      <c r="A1764" s="7">
        <v>43817</v>
      </c>
      <c r="B1764" s="8">
        <v>0.64236111111111105</v>
      </c>
      <c r="C1764" s="19" t="str">
        <f>"FES1162728698"</f>
        <v>FES1162728698</v>
      </c>
      <c r="D1764" s="19" t="s">
        <v>19</v>
      </c>
      <c r="E1764" s="19" t="s">
        <v>819</v>
      </c>
      <c r="F1764" s="19" t="str">
        <f>"2170721898 "</f>
        <v xml:space="preserve">2170721898 </v>
      </c>
      <c r="G1764" s="19" t="str">
        <f t="shared" si="46"/>
        <v>ON1</v>
      </c>
      <c r="H1764" s="19" t="s">
        <v>21</v>
      </c>
      <c r="I1764" s="19" t="s">
        <v>161</v>
      </c>
      <c r="J1764" s="19" t="str">
        <f>""</f>
        <v/>
      </c>
      <c r="K1764" s="19" t="str">
        <f>"PFES1162728698_0001"</f>
        <v>PFES1162728698_0001</v>
      </c>
      <c r="L1764" s="19">
        <v>1</v>
      </c>
      <c r="M1764" s="19">
        <v>1</v>
      </c>
    </row>
    <row r="1765" spans="1:13">
      <c r="A1765" s="7">
        <v>43817</v>
      </c>
      <c r="B1765" s="8">
        <v>0.64236111111111105</v>
      </c>
      <c r="C1765" s="19" t="str">
        <f>"FES1162728854"</f>
        <v>FES1162728854</v>
      </c>
      <c r="D1765" s="19" t="s">
        <v>19</v>
      </c>
      <c r="E1765" s="19" t="s">
        <v>648</v>
      </c>
      <c r="F1765" s="19" t="str">
        <f>"2170721922 "</f>
        <v xml:space="preserve">2170721922 </v>
      </c>
      <c r="G1765" s="19" t="str">
        <f t="shared" si="46"/>
        <v>ON1</v>
      </c>
      <c r="H1765" s="19" t="s">
        <v>21</v>
      </c>
      <c r="I1765" s="19" t="s">
        <v>270</v>
      </c>
      <c r="J1765" s="19" t="str">
        <f>""</f>
        <v/>
      </c>
      <c r="K1765" s="19" t="str">
        <f>"PFES1162728854_0001"</f>
        <v>PFES1162728854_0001</v>
      </c>
      <c r="L1765" s="19">
        <v>1</v>
      </c>
      <c r="M1765" s="19">
        <v>4</v>
      </c>
    </row>
    <row r="1766" spans="1:13">
      <c r="A1766" s="7">
        <v>43817</v>
      </c>
      <c r="B1766" s="8">
        <v>0.62430555555555556</v>
      </c>
      <c r="C1766" s="19" t="str">
        <f>"FES1162728710"</f>
        <v>FES1162728710</v>
      </c>
      <c r="D1766" s="19" t="s">
        <v>19</v>
      </c>
      <c r="E1766" s="19" t="s">
        <v>93</v>
      </c>
      <c r="F1766" s="19" t="str">
        <f>"2170721910 "</f>
        <v xml:space="preserve">2170721910 </v>
      </c>
      <c r="G1766" s="19" t="str">
        <f t="shared" si="46"/>
        <v>ON1</v>
      </c>
      <c r="H1766" s="19" t="s">
        <v>21</v>
      </c>
      <c r="I1766" s="19" t="s">
        <v>308</v>
      </c>
      <c r="J1766" s="19" t="str">
        <f>""</f>
        <v/>
      </c>
      <c r="K1766" s="19" t="str">
        <f>"PFES1162728710_0001"</f>
        <v>PFES1162728710_0001</v>
      </c>
      <c r="L1766" s="19">
        <v>1</v>
      </c>
      <c r="M1766" s="19">
        <v>1</v>
      </c>
    </row>
    <row r="1767" spans="1:13">
      <c r="A1767" s="7">
        <v>43817</v>
      </c>
      <c r="B1767" s="8">
        <v>0.62361111111111112</v>
      </c>
      <c r="C1767" s="19" t="str">
        <f>"FES1162728685"</f>
        <v>FES1162728685</v>
      </c>
      <c r="D1767" s="19" t="s">
        <v>19</v>
      </c>
      <c r="E1767" s="19" t="s">
        <v>373</v>
      </c>
      <c r="F1767" s="19" t="str">
        <f>"2170721883 "</f>
        <v xml:space="preserve">2170721883 </v>
      </c>
      <c r="G1767" s="19" t="str">
        <f t="shared" si="46"/>
        <v>ON1</v>
      </c>
      <c r="H1767" s="19" t="s">
        <v>21</v>
      </c>
      <c r="I1767" s="19" t="s">
        <v>374</v>
      </c>
      <c r="J1767" s="19" t="str">
        <f>""</f>
        <v/>
      </c>
      <c r="K1767" s="19" t="str">
        <f>"PFES1162728685_0001"</f>
        <v>PFES1162728685_0001</v>
      </c>
      <c r="L1767" s="19">
        <v>1</v>
      </c>
      <c r="M1767" s="19">
        <v>1</v>
      </c>
    </row>
    <row r="1768" spans="1:13">
      <c r="A1768" s="7">
        <v>43817</v>
      </c>
      <c r="B1768" s="8">
        <v>0.62361111111111112</v>
      </c>
      <c r="C1768" s="19" t="str">
        <f>"FES1162728734"</f>
        <v>FES1162728734</v>
      </c>
      <c r="D1768" s="19" t="s">
        <v>19</v>
      </c>
      <c r="E1768" s="19" t="s">
        <v>156</v>
      </c>
      <c r="F1768" s="19" t="str">
        <f>"2170721921 "</f>
        <v xml:space="preserve">2170721921 </v>
      </c>
      <c r="G1768" s="19" t="str">
        <f t="shared" si="46"/>
        <v>ON1</v>
      </c>
      <c r="H1768" s="19" t="s">
        <v>21</v>
      </c>
      <c r="I1768" s="19" t="s">
        <v>157</v>
      </c>
      <c r="J1768" s="19" t="str">
        <f>""</f>
        <v/>
      </c>
      <c r="K1768" s="19" t="str">
        <f>"PFES1162728734_0001"</f>
        <v>PFES1162728734_0001</v>
      </c>
      <c r="L1768" s="19">
        <v>1</v>
      </c>
      <c r="M1768" s="19">
        <v>1</v>
      </c>
    </row>
    <row r="1769" spans="1:13">
      <c r="A1769" s="7">
        <v>43817</v>
      </c>
      <c r="B1769" s="8">
        <v>0.62291666666666667</v>
      </c>
      <c r="C1769" s="19" t="str">
        <f>"FES1162728952"</f>
        <v>FES1162728952</v>
      </c>
      <c r="D1769" s="19" t="s">
        <v>19</v>
      </c>
      <c r="E1769" s="19" t="s">
        <v>163</v>
      </c>
      <c r="F1769" s="19" t="str">
        <f>"2170722065 "</f>
        <v xml:space="preserve">2170722065 </v>
      </c>
      <c r="G1769" s="19" t="str">
        <f t="shared" si="46"/>
        <v>ON1</v>
      </c>
      <c r="H1769" s="19" t="s">
        <v>21</v>
      </c>
      <c r="I1769" s="19" t="s">
        <v>164</v>
      </c>
      <c r="J1769" s="19" t="str">
        <f>""</f>
        <v/>
      </c>
      <c r="K1769" s="19" t="str">
        <f>"PFES1162728952_0001"</f>
        <v>PFES1162728952_0001</v>
      </c>
      <c r="L1769" s="19">
        <v>1</v>
      </c>
      <c r="M1769" s="19">
        <v>1</v>
      </c>
    </row>
    <row r="1770" spans="1:13">
      <c r="A1770" s="7">
        <v>43817</v>
      </c>
      <c r="B1770" s="8">
        <v>0.62291666666666667</v>
      </c>
      <c r="C1770" s="19" t="str">
        <f>"FES1162728982"</f>
        <v>FES1162728982</v>
      </c>
      <c r="D1770" s="19" t="s">
        <v>19</v>
      </c>
      <c r="E1770" s="19" t="s">
        <v>34</v>
      </c>
      <c r="F1770" s="19" t="str">
        <f>"2170722094 "</f>
        <v xml:space="preserve">2170722094 </v>
      </c>
      <c r="G1770" s="19" t="str">
        <f t="shared" si="46"/>
        <v>ON1</v>
      </c>
      <c r="H1770" s="19" t="s">
        <v>21</v>
      </c>
      <c r="I1770" s="19" t="s">
        <v>35</v>
      </c>
      <c r="J1770" s="19" t="str">
        <f>""</f>
        <v/>
      </c>
      <c r="K1770" s="19" t="str">
        <f>"PFES1162728982_0001"</f>
        <v>PFES1162728982_0001</v>
      </c>
      <c r="L1770" s="19">
        <v>1</v>
      </c>
      <c r="M1770" s="19">
        <v>1</v>
      </c>
    </row>
    <row r="1771" spans="1:13">
      <c r="A1771" s="7">
        <v>43817</v>
      </c>
      <c r="B1771" s="8">
        <v>0.62222222222222223</v>
      </c>
      <c r="C1771" s="19" t="str">
        <f>"FES1162728968"</f>
        <v>FES1162728968</v>
      </c>
      <c r="D1771" s="19" t="s">
        <v>19</v>
      </c>
      <c r="E1771" s="19" t="s">
        <v>151</v>
      </c>
      <c r="F1771" s="19" t="str">
        <f>"2170722078 "</f>
        <v xml:space="preserve">2170722078 </v>
      </c>
      <c r="G1771" s="19" t="str">
        <f t="shared" si="46"/>
        <v>ON1</v>
      </c>
      <c r="H1771" s="19" t="s">
        <v>21</v>
      </c>
      <c r="I1771" s="19" t="s">
        <v>152</v>
      </c>
      <c r="J1771" s="19" t="str">
        <f>""</f>
        <v/>
      </c>
      <c r="K1771" s="19" t="str">
        <f>"PFES1162728968_0001"</f>
        <v>PFES1162728968_0001</v>
      </c>
      <c r="L1771" s="19">
        <v>1</v>
      </c>
      <c r="M1771" s="19">
        <v>1</v>
      </c>
    </row>
    <row r="1772" spans="1:13">
      <c r="A1772" s="7">
        <v>43817</v>
      </c>
      <c r="B1772" s="8">
        <v>0.62222222222222223</v>
      </c>
      <c r="C1772" s="19" t="str">
        <f>"FES1162728953"</f>
        <v>FES1162728953</v>
      </c>
      <c r="D1772" s="19" t="s">
        <v>19</v>
      </c>
      <c r="E1772" s="19" t="s">
        <v>820</v>
      </c>
      <c r="F1772" s="19" t="str">
        <f>"2170722066 "</f>
        <v xml:space="preserve">2170722066 </v>
      </c>
      <c r="G1772" s="19" t="str">
        <f t="shared" si="46"/>
        <v>ON1</v>
      </c>
      <c r="H1772" s="19" t="s">
        <v>21</v>
      </c>
      <c r="I1772" s="19" t="s">
        <v>758</v>
      </c>
      <c r="J1772" s="19" t="str">
        <f>""</f>
        <v/>
      </c>
      <c r="K1772" s="19" t="str">
        <f>"PFES1162728953_0001"</f>
        <v>PFES1162728953_0001</v>
      </c>
      <c r="L1772" s="19">
        <v>1</v>
      </c>
      <c r="M1772" s="19">
        <v>1</v>
      </c>
    </row>
    <row r="1773" spans="1:13">
      <c r="A1773" s="7">
        <v>43817</v>
      </c>
      <c r="B1773" s="8">
        <v>0.62152777777777779</v>
      </c>
      <c r="C1773" s="19" t="str">
        <f>"FES1162728954"</f>
        <v>FES1162728954</v>
      </c>
      <c r="D1773" s="19" t="s">
        <v>19</v>
      </c>
      <c r="E1773" s="19" t="s">
        <v>151</v>
      </c>
      <c r="F1773" s="19" t="str">
        <f>"2170722067 "</f>
        <v xml:space="preserve">2170722067 </v>
      </c>
      <c r="G1773" s="19" t="str">
        <f t="shared" si="46"/>
        <v>ON1</v>
      </c>
      <c r="H1773" s="19" t="s">
        <v>21</v>
      </c>
      <c r="I1773" s="19" t="s">
        <v>152</v>
      </c>
      <c r="J1773" s="19" t="str">
        <f>""</f>
        <v/>
      </c>
      <c r="K1773" s="19" t="str">
        <f>"PFES1162728954_0001"</f>
        <v>PFES1162728954_0001</v>
      </c>
      <c r="L1773" s="19">
        <v>1</v>
      </c>
      <c r="M1773" s="19">
        <v>1</v>
      </c>
    </row>
    <row r="1774" spans="1:13">
      <c r="A1774" s="7">
        <v>43817</v>
      </c>
      <c r="B1774" s="8">
        <v>0.62083333333333335</v>
      </c>
      <c r="C1774" s="19" t="str">
        <f>"FES1162728840"</f>
        <v>FES1162728840</v>
      </c>
      <c r="D1774" s="19" t="s">
        <v>19</v>
      </c>
      <c r="E1774" s="19" t="s">
        <v>93</v>
      </c>
      <c r="F1774" s="19" t="str">
        <f>"2170720572 "</f>
        <v xml:space="preserve">2170720572 </v>
      </c>
      <c r="G1774" s="19" t="str">
        <f t="shared" si="46"/>
        <v>ON1</v>
      </c>
      <c r="H1774" s="19" t="s">
        <v>21</v>
      </c>
      <c r="I1774" s="19" t="s">
        <v>48</v>
      </c>
      <c r="J1774" s="19" t="str">
        <f>""</f>
        <v/>
      </c>
      <c r="K1774" s="19" t="str">
        <f>"PFES1162728840_0001"</f>
        <v>PFES1162728840_0001</v>
      </c>
      <c r="L1774" s="19">
        <v>1</v>
      </c>
      <c r="M1774" s="19">
        <v>1</v>
      </c>
    </row>
    <row r="1775" spans="1:13">
      <c r="A1775" s="7">
        <v>43817</v>
      </c>
      <c r="B1775" s="8">
        <v>0.62013888888888891</v>
      </c>
      <c r="C1775" s="19" t="str">
        <f>"FES1162728895"</f>
        <v>FES1162728895</v>
      </c>
      <c r="D1775" s="19" t="s">
        <v>19</v>
      </c>
      <c r="E1775" s="19" t="s">
        <v>256</v>
      </c>
      <c r="F1775" s="19" t="str">
        <f>"2170720078 "</f>
        <v xml:space="preserve">2170720078 </v>
      </c>
      <c r="G1775" s="19" t="str">
        <f t="shared" si="46"/>
        <v>ON1</v>
      </c>
      <c r="H1775" s="19" t="s">
        <v>21</v>
      </c>
      <c r="I1775" s="19" t="s">
        <v>257</v>
      </c>
      <c r="J1775" s="19" t="str">
        <f>""</f>
        <v/>
      </c>
      <c r="K1775" s="19" t="str">
        <f>"PFES1162728895_0001"</f>
        <v>PFES1162728895_0001</v>
      </c>
      <c r="L1775" s="19">
        <v>1</v>
      </c>
      <c r="M1775" s="19">
        <v>1</v>
      </c>
    </row>
    <row r="1776" spans="1:13">
      <c r="A1776" s="7">
        <v>43817</v>
      </c>
      <c r="B1776" s="8">
        <v>0.61944444444444446</v>
      </c>
      <c r="C1776" s="19" t="str">
        <f>"FES1162728633"</f>
        <v>FES1162728633</v>
      </c>
      <c r="D1776" s="19" t="s">
        <v>19</v>
      </c>
      <c r="E1776" s="19" t="s">
        <v>821</v>
      </c>
      <c r="F1776" s="19" t="str">
        <f>"21707218513 "</f>
        <v xml:space="preserve">21707218513 </v>
      </c>
      <c r="G1776" s="19" t="str">
        <f t="shared" si="46"/>
        <v>ON1</v>
      </c>
      <c r="H1776" s="19" t="s">
        <v>21</v>
      </c>
      <c r="I1776" s="19" t="s">
        <v>540</v>
      </c>
      <c r="J1776" s="19" t="str">
        <f>""</f>
        <v/>
      </c>
      <c r="K1776" s="19" t="str">
        <f>"PFES1162728633_0001"</f>
        <v>PFES1162728633_0001</v>
      </c>
      <c r="L1776" s="19">
        <v>1</v>
      </c>
      <c r="M1776" s="19">
        <v>1</v>
      </c>
    </row>
    <row r="1777" spans="1:13">
      <c r="A1777" s="7">
        <v>43817</v>
      </c>
      <c r="B1777" s="8">
        <v>0.53888888888888886</v>
      </c>
      <c r="C1777" s="19" t="str">
        <f>"FES1162728932"</f>
        <v>FES1162728932</v>
      </c>
      <c r="D1777" s="19" t="s">
        <v>19</v>
      </c>
      <c r="E1777" s="19" t="s">
        <v>63</v>
      </c>
      <c r="F1777" s="19" t="str">
        <f>"2170722041 "</f>
        <v xml:space="preserve">2170722041 </v>
      </c>
      <c r="G1777" s="19" t="str">
        <f t="shared" si="46"/>
        <v>ON1</v>
      </c>
      <c r="H1777" s="19" t="s">
        <v>21</v>
      </c>
      <c r="I1777" s="19" t="s">
        <v>64</v>
      </c>
      <c r="J1777" s="19" t="str">
        <f>""</f>
        <v/>
      </c>
      <c r="K1777" s="19" t="str">
        <f>"PFES1162728932_0001"</f>
        <v>PFES1162728932_0001</v>
      </c>
      <c r="L1777" s="19">
        <v>1</v>
      </c>
      <c r="M1777" s="19">
        <v>1</v>
      </c>
    </row>
    <row r="1778" spans="1:13">
      <c r="A1778" s="7">
        <v>43817</v>
      </c>
      <c r="B1778" s="8">
        <v>0.53819444444444442</v>
      </c>
      <c r="C1778" s="19" t="str">
        <f>"FES1162728861"</f>
        <v>FES1162728861</v>
      </c>
      <c r="D1778" s="19" t="s">
        <v>19</v>
      </c>
      <c r="E1778" s="19" t="s">
        <v>443</v>
      </c>
      <c r="F1778" s="19" t="str">
        <f>"2170722002 "</f>
        <v xml:space="preserve">2170722002 </v>
      </c>
      <c r="G1778" s="19" t="str">
        <f t="shared" si="46"/>
        <v>ON1</v>
      </c>
      <c r="H1778" s="19" t="s">
        <v>21</v>
      </c>
      <c r="I1778" s="19" t="s">
        <v>444</v>
      </c>
      <c r="J1778" s="19" t="str">
        <f>""</f>
        <v/>
      </c>
      <c r="K1778" s="19" t="str">
        <f>"PFES1162728861_0001"</f>
        <v>PFES1162728861_0001</v>
      </c>
      <c r="L1778" s="19">
        <v>1</v>
      </c>
      <c r="M1778" s="19">
        <v>1</v>
      </c>
    </row>
    <row r="1779" spans="1:13">
      <c r="A1779" s="7">
        <v>43817</v>
      </c>
      <c r="B1779" s="8">
        <v>0.51944444444444449</v>
      </c>
      <c r="C1779" s="19" t="str">
        <f>"009935712072"</f>
        <v>009935712072</v>
      </c>
      <c r="D1779" s="19" t="s">
        <v>19</v>
      </c>
      <c r="E1779" s="19" t="s">
        <v>292</v>
      </c>
      <c r="F1779" s="19" t="str">
        <f>"1162728316 "</f>
        <v xml:space="preserve">1162728316 </v>
      </c>
      <c r="G1779" s="19" t="str">
        <f t="shared" si="46"/>
        <v>ON1</v>
      </c>
      <c r="H1779" s="19" t="s">
        <v>21</v>
      </c>
      <c r="I1779" s="19" t="s">
        <v>78</v>
      </c>
      <c r="J1779" s="19" t="str">
        <f>"SHORT SUPPLIED"</f>
        <v>SHORT SUPPLIED</v>
      </c>
      <c r="K1779" s="19" t="str">
        <f>"P009935712072_0001"</f>
        <v>P009935712072_0001</v>
      </c>
      <c r="L1779" s="19">
        <v>1</v>
      </c>
      <c r="M1779" s="19">
        <v>1</v>
      </c>
    </row>
    <row r="1780" spans="1:13">
      <c r="A1780" s="7">
        <v>43817</v>
      </c>
      <c r="B1780" s="8">
        <v>0.51874999999999993</v>
      </c>
      <c r="C1780" s="19" t="str">
        <f>"FES1162728767"</f>
        <v>FES1162728767</v>
      </c>
      <c r="D1780" s="19" t="s">
        <v>19</v>
      </c>
      <c r="E1780" s="19" t="s">
        <v>529</v>
      </c>
      <c r="F1780" s="19" t="str">
        <f>"21721962 "</f>
        <v xml:space="preserve">21721962 </v>
      </c>
      <c r="G1780" s="19" t="str">
        <f t="shared" si="46"/>
        <v>ON1</v>
      </c>
      <c r="H1780" s="19" t="s">
        <v>21</v>
      </c>
      <c r="I1780" s="19" t="s">
        <v>136</v>
      </c>
      <c r="J1780" s="19" t="str">
        <f>""</f>
        <v/>
      </c>
      <c r="K1780" s="19" t="str">
        <f>"PFES1162728767_0001"</f>
        <v>PFES1162728767_0001</v>
      </c>
      <c r="L1780" s="19">
        <v>1</v>
      </c>
      <c r="M1780" s="19">
        <v>1</v>
      </c>
    </row>
    <row r="1781" spans="1:13">
      <c r="A1781" s="7">
        <v>43817</v>
      </c>
      <c r="B1781" s="8">
        <v>0.51874999999999993</v>
      </c>
      <c r="C1781" s="19" t="str">
        <f>"FES1162728765"</f>
        <v>FES1162728765</v>
      </c>
      <c r="D1781" s="19" t="s">
        <v>19</v>
      </c>
      <c r="E1781" s="19" t="s">
        <v>310</v>
      </c>
      <c r="F1781" s="19" t="str">
        <f>"2170721958 "</f>
        <v xml:space="preserve">2170721958 </v>
      </c>
      <c r="G1781" s="19" t="str">
        <f t="shared" si="46"/>
        <v>ON1</v>
      </c>
      <c r="H1781" s="19" t="s">
        <v>21</v>
      </c>
      <c r="I1781" s="19" t="s">
        <v>294</v>
      </c>
      <c r="J1781" s="19" t="str">
        <f>""</f>
        <v/>
      </c>
      <c r="K1781" s="19" t="str">
        <f>"PFES1162728765_0001"</f>
        <v>PFES1162728765_0001</v>
      </c>
      <c r="L1781" s="19">
        <v>1</v>
      </c>
      <c r="M1781" s="19">
        <v>1</v>
      </c>
    </row>
    <row r="1782" spans="1:13">
      <c r="A1782" s="7">
        <v>43817</v>
      </c>
      <c r="B1782" s="8">
        <v>0.51874999999999993</v>
      </c>
      <c r="C1782" s="19" t="str">
        <f>"FES1162728924"</f>
        <v>FES1162728924</v>
      </c>
      <c r="D1782" s="19" t="s">
        <v>19</v>
      </c>
      <c r="E1782" s="19" t="s">
        <v>151</v>
      </c>
      <c r="F1782" s="19" t="str">
        <f>"2170722029 "</f>
        <v xml:space="preserve">2170722029 </v>
      </c>
      <c r="G1782" s="19" t="str">
        <f t="shared" si="46"/>
        <v>ON1</v>
      </c>
      <c r="H1782" s="19" t="s">
        <v>21</v>
      </c>
      <c r="I1782" s="19" t="s">
        <v>152</v>
      </c>
      <c r="J1782" s="19" t="str">
        <f>""</f>
        <v/>
      </c>
      <c r="K1782" s="19" t="str">
        <f>"PFES1162728924_0001"</f>
        <v>PFES1162728924_0001</v>
      </c>
      <c r="L1782" s="19">
        <v>1</v>
      </c>
      <c r="M1782" s="19">
        <v>1</v>
      </c>
    </row>
    <row r="1783" spans="1:13">
      <c r="A1783" s="7">
        <v>43817</v>
      </c>
      <c r="B1783" s="8">
        <v>0.5180555555555556</v>
      </c>
      <c r="C1783" s="19" t="str">
        <f>"FES1162728648"</f>
        <v>FES1162728648</v>
      </c>
      <c r="D1783" s="19" t="s">
        <v>19</v>
      </c>
      <c r="E1783" s="19" t="s">
        <v>24</v>
      </c>
      <c r="F1783" s="19" t="str">
        <f>"2170721857 "</f>
        <v xml:space="preserve">2170721857 </v>
      </c>
      <c r="G1783" s="19" t="str">
        <f t="shared" si="46"/>
        <v>ON1</v>
      </c>
      <c r="H1783" s="19" t="s">
        <v>21</v>
      </c>
      <c r="I1783" s="19" t="s">
        <v>25</v>
      </c>
      <c r="J1783" s="19" t="str">
        <f>""</f>
        <v/>
      </c>
      <c r="K1783" s="19" t="str">
        <f>"PFES1162728648_0001"</f>
        <v>PFES1162728648_0001</v>
      </c>
      <c r="L1783" s="19">
        <v>1</v>
      </c>
      <c r="M1783" s="19">
        <v>1</v>
      </c>
    </row>
    <row r="1784" spans="1:13">
      <c r="A1784" s="7">
        <v>43817</v>
      </c>
      <c r="B1784" s="8">
        <v>0.5180555555555556</v>
      </c>
      <c r="C1784" s="19" t="str">
        <f>"FES1162728618"</f>
        <v>FES1162728618</v>
      </c>
      <c r="D1784" s="19" t="s">
        <v>19</v>
      </c>
      <c r="E1784" s="19" t="s">
        <v>24</v>
      </c>
      <c r="F1784" s="19" t="str">
        <f>"21707218738 "</f>
        <v xml:space="preserve">21707218738 </v>
      </c>
      <c r="G1784" s="19" t="str">
        <f t="shared" si="46"/>
        <v>ON1</v>
      </c>
      <c r="H1784" s="19" t="s">
        <v>21</v>
      </c>
      <c r="I1784" s="19" t="s">
        <v>25</v>
      </c>
      <c r="J1784" s="19" t="str">
        <f>""</f>
        <v/>
      </c>
      <c r="K1784" s="19" t="str">
        <f>"PFES1162728618_0001"</f>
        <v>PFES1162728618_0001</v>
      </c>
      <c r="L1784" s="19">
        <v>1</v>
      </c>
      <c r="M1784" s="19">
        <v>1</v>
      </c>
    </row>
    <row r="1785" spans="1:13">
      <c r="A1785" s="7">
        <v>43817</v>
      </c>
      <c r="B1785" s="8">
        <v>0.5180555555555556</v>
      </c>
      <c r="C1785" s="19" t="str">
        <f>"FES1162728437"</f>
        <v>FES1162728437</v>
      </c>
      <c r="D1785" s="19" t="s">
        <v>19</v>
      </c>
      <c r="E1785" s="19" t="s">
        <v>55</v>
      </c>
      <c r="F1785" s="19" t="str">
        <f>"2170720843 "</f>
        <v xml:space="preserve">2170720843 </v>
      </c>
      <c r="G1785" s="19" t="str">
        <f t="shared" si="46"/>
        <v>ON1</v>
      </c>
      <c r="H1785" s="19" t="s">
        <v>21</v>
      </c>
      <c r="I1785" s="19" t="s">
        <v>56</v>
      </c>
      <c r="J1785" s="19" t="str">
        <f>""</f>
        <v/>
      </c>
      <c r="K1785" s="19" t="str">
        <f>"PFES1162728437_0001"</f>
        <v>PFES1162728437_0001</v>
      </c>
      <c r="L1785" s="19">
        <v>1</v>
      </c>
      <c r="M1785" s="19">
        <v>1</v>
      </c>
    </row>
    <row r="1786" spans="1:13">
      <c r="A1786" s="7">
        <v>43817</v>
      </c>
      <c r="B1786" s="8">
        <v>0.51736111111111105</v>
      </c>
      <c r="C1786" s="19" t="str">
        <f>"FES1162728258"</f>
        <v>FES1162728258</v>
      </c>
      <c r="D1786" s="19" t="s">
        <v>19</v>
      </c>
      <c r="E1786" s="19" t="s">
        <v>475</v>
      </c>
      <c r="F1786" s="19" t="str">
        <f>"2170721179 "</f>
        <v xml:space="preserve">2170721179 </v>
      </c>
      <c r="G1786" s="19" t="str">
        <f t="shared" si="46"/>
        <v>ON1</v>
      </c>
      <c r="H1786" s="19" t="s">
        <v>21</v>
      </c>
      <c r="I1786" s="19" t="s">
        <v>476</v>
      </c>
      <c r="J1786" s="19" t="str">
        <f>""</f>
        <v/>
      </c>
      <c r="K1786" s="19" t="str">
        <f>"PFES1162728258_0001"</f>
        <v>PFES1162728258_0001</v>
      </c>
      <c r="L1786" s="19">
        <v>1</v>
      </c>
      <c r="M1786" s="19">
        <v>1</v>
      </c>
    </row>
    <row r="1787" spans="1:13">
      <c r="A1787" s="7">
        <v>43817</v>
      </c>
      <c r="B1787" s="8">
        <v>0.51736111111111105</v>
      </c>
      <c r="C1787" s="19" t="str">
        <f>"FES1162728904"</f>
        <v>FES1162728904</v>
      </c>
      <c r="D1787" s="19" t="s">
        <v>19</v>
      </c>
      <c r="E1787" s="19" t="s">
        <v>34</v>
      </c>
      <c r="F1787" s="19" t="str">
        <f>"2170721477 "</f>
        <v xml:space="preserve">2170721477 </v>
      </c>
      <c r="G1787" s="19" t="str">
        <f t="shared" si="46"/>
        <v>ON1</v>
      </c>
      <c r="H1787" s="19" t="s">
        <v>21</v>
      </c>
      <c r="I1787" s="19" t="s">
        <v>35</v>
      </c>
      <c r="J1787" s="19" t="str">
        <f>""</f>
        <v/>
      </c>
      <c r="K1787" s="19" t="str">
        <f>"PFES1162728904_0001"</f>
        <v>PFES1162728904_0001</v>
      </c>
      <c r="L1787" s="19">
        <v>1</v>
      </c>
      <c r="M1787" s="19">
        <v>1</v>
      </c>
    </row>
    <row r="1788" spans="1:13">
      <c r="A1788" s="7">
        <v>43817</v>
      </c>
      <c r="B1788" s="8">
        <v>0.51666666666666672</v>
      </c>
      <c r="C1788" s="19" t="str">
        <f>"FES1162728848"</f>
        <v>FES1162728848</v>
      </c>
      <c r="D1788" s="19" t="s">
        <v>19</v>
      </c>
      <c r="E1788" s="19" t="s">
        <v>34</v>
      </c>
      <c r="F1788" s="19" t="str">
        <f>"2170721477 "</f>
        <v xml:space="preserve">2170721477 </v>
      </c>
      <c r="G1788" s="19" t="str">
        <f t="shared" si="46"/>
        <v>ON1</v>
      </c>
      <c r="H1788" s="19" t="s">
        <v>21</v>
      </c>
      <c r="I1788" s="19" t="s">
        <v>35</v>
      </c>
      <c r="J1788" s="19" t="str">
        <f>""</f>
        <v/>
      </c>
      <c r="K1788" s="19" t="str">
        <f>"PFES1162728848_0001"</f>
        <v>PFES1162728848_0001</v>
      </c>
      <c r="L1788" s="19">
        <v>1</v>
      </c>
      <c r="M1788" s="19">
        <v>1</v>
      </c>
    </row>
    <row r="1789" spans="1:13">
      <c r="A1789" s="7">
        <v>43817</v>
      </c>
      <c r="B1789" s="8">
        <v>0.51666666666666672</v>
      </c>
      <c r="C1789" s="19" t="str">
        <f>"FES1162728835"</f>
        <v>FES1162728835</v>
      </c>
      <c r="D1789" s="19" t="s">
        <v>19</v>
      </c>
      <c r="E1789" s="19" t="s">
        <v>59</v>
      </c>
      <c r="F1789" s="19" t="str">
        <f>"2170720113 "</f>
        <v xml:space="preserve">2170720113 </v>
      </c>
      <c r="G1789" s="19" t="str">
        <f t="shared" si="46"/>
        <v>ON1</v>
      </c>
      <c r="H1789" s="19" t="s">
        <v>21</v>
      </c>
      <c r="I1789" s="19" t="s">
        <v>60</v>
      </c>
      <c r="J1789" s="19" t="str">
        <f>""</f>
        <v/>
      </c>
      <c r="K1789" s="19" t="str">
        <f>"PFES1162728835_0001"</f>
        <v>PFES1162728835_0001</v>
      </c>
      <c r="L1789" s="19">
        <v>1</v>
      </c>
      <c r="M1789" s="19">
        <v>1</v>
      </c>
    </row>
    <row r="1790" spans="1:13">
      <c r="A1790" s="7">
        <v>43817</v>
      </c>
      <c r="B1790" s="8">
        <v>0.51666666666666672</v>
      </c>
      <c r="C1790" s="19" t="str">
        <f>"FES1162728935"</f>
        <v>FES1162728935</v>
      </c>
      <c r="D1790" s="19" t="s">
        <v>19</v>
      </c>
      <c r="E1790" s="19" t="s">
        <v>465</v>
      </c>
      <c r="F1790" s="19" t="str">
        <f>"2170722045 "</f>
        <v xml:space="preserve">2170722045 </v>
      </c>
      <c r="G1790" s="19" t="str">
        <f t="shared" si="46"/>
        <v>ON1</v>
      </c>
      <c r="H1790" s="19" t="s">
        <v>21</v>
      </c>
      <c r="I1790" s="19" t="s">
        <v>466</v>
      </c>
      <c r="J1790" s="19" t="str">
        <f>""</f>
        <v/>
      </c>
      <c r="K1790" s="19" t="str">
        <f>"PFES1162728935_0001"</f>
        <v>PFES1162728935_0001</v>
      </c>
      <c r="L1790" s="19">
        <v>1</v>
      </c>
      <c r="M1790" s="19">
        <v>1</v>
      </c>
    </row>
    <row r="1791" spans="1:13">
      <c r="A1791" s="7">
        <v>43817</v>
      </c>
      <c r="B1791" s="8">
        <v>0.51597222222222217</v>
      </c>
      <c r="C1791" s="19" t="str">
        <f>"FES1162728919"</f>
        <v>FES1162728919</v>
      </c>
      <c r="D1791" s="19" t="s">
        <v>19</v>
      </c>
      <c r="E1791" s="19" t="s">
        <v>822</v>
      </c>
      <c r="F1791" s="19" t="str">
        <f>"2170722020 "</f>
        <v xml:space="preserve">2170722020 </v>
      </c>
      <c r="G1791" s="19" t="str">
        <f t="shared" si="46"/>
        <v>ON1</v>
      </c>
      <c r="H1791" s="19" t="s">
        <v>21</v>
      </c>
      <c r="I1791" s="19" t="s">
        <v>823</v>
      </c>
      <c r="J1791" s="19" t="str">
        <f>""</f>
        <v/>
      </c>
      <c r="K1791" s="19" t="str">
        <f>"PFES1162728919_0001"</f>
        <v>PFES1162728919_0001</v>
      </c>
      <c r="L1791" s="19">
        <v>1</v>
      </c>
      <c r="M1791" s="19">
        <v>1</v>
      </c>
    </row>
    <row r="1792" spans="1:13">
      <c r="A1792" s="7">
        <v>43817</v>
      </c>
      <c r="B1792" s="8">
        <v>0.51597222222222217</v>
      </c>
      <c r="C1792" s="19" t="str">
        <f>"FES1162728901"</f>
        <v>FES1162728901</v>
      </c>
      <c r="D1792" s="19" t="s">
        <v>19</v>
      </c>
      <c r="E1792" s="19" t="s">
        <v>579</v>
      </c>
      <c r="F1792" s="19" t="str">
        <f>"2170721368 "</f>
        <v xml:space="preserve">2170721368 </v>
      </c>
      <c r="G1792" s="19" t="str">
        <f t="shared" si="46"/>
        <v>ON1</v>
      </c>
      <c r="H1792" s="19" t="s">
        <v>21</v>
      </c>
      <c r="I1792" s="19" t="s">
        <v>580</v>
      </c>
      <c r="J1792" s="19" t="str">
        <f>""</f>
        <v/>
      </c>
      <c r="K1792" s="19" t="str">
        <f>"PFES1162728901_0001"</f>
        <v>PFES1162728901_0001</v>
      </c>
      <c r="L1792" s="19">
        <v>1</v>
      </c>
      <c r="M1792" s="19">
        <v>1</v>
      </c>
    </row>
    <row r="1793" spans="1:13">
      <c r="A1793" s="7">
        <v>43817</v>
      </c>
      <c r="B1793" s="8">
        <v>0.51527777777777783</v>
      </c>
      <c r="C1793" s="19" t="str">
        <f>"FES1162728796"</f>
        <v>FES1162728796</v>
      </c>
      <c r="D1793" s="19" t="s">
        <v>19</v>
      </c>
      <c r="E1793" s="19" t="s">
        <v>369</v>
      </c>
      <c r="F1793" s="19" t="str">
        <f>"2170717089 "</f>
        <v xml:space="preserve">2170717089 </v>
      </c>
      <c r="G1793" s="19" t="str">
        <f t="shared" si="46"/>
        <v>ON1</v>
      </c>
      <c r="H1793" s="19" t="s">
        <v>21</v>
      </c>
      <c r="I1793" s="19" t="s">
        <v>370</v>
      </c>
      <c r="J1793" s="19" t="str">
        <f>""</f>
        <v/>
      </c>
      <c r="K1793" s="19" t="str">
        <f>"PFES1162728796_0001"</f>
        <v>PFES1162728796_0001</v>
      </c>
      <c r="L1793" s="19">
        <v>1</v>
      </c>
      <c r="M1793" s="19">
        <v>1</v>
      </c>
    </row>
    <row r="1794" spans="1:13">
      <c r="A1794" s="7">
        <v>43817</v>
      </c>
      <c r="B1794" s="8">
        <v>0.51388888888888895</v>
      </c>
      <c r="C1794" s="19" t="str">
        <f>"FES1162728814"</f>
        <v>FES1162728814</v>
      </c>
      <c r="D1794" s="19" t="s">
        <v>19</v>
      </c>
      <c r="E1794" s="19" t="s">
        <v>645</v>
      </c>
      <c r="F1794" s="19" t="str">
        <f>"2170719838 "</f>
        <v xml:space="preserve">2170719838 </v>
      </c>
      <c r="G1794" s="19" t="str">
        <f t="shared" si="46"/>
        <v>ON1</v>
      </c>
      <c r="H1794" s="19" t="s">
        <v>21</v>
      </c>
      <c r="I1794" s="19" t="s">
        <v>359</v>
      </c>
      <c r="J1794" s="19" t="str">
        <f>""</f>
        <v/>
      </c>
      <c r="K1794" s="19" t="str">
        <f>"PFES1162728814_0001"</f>
        <v>PFES1162728814_0001</v>
      </c>
      <c r="L1794" s="19">
        <v>1</v>
      </c>
      <c r="M1794" s="19">
        <v>1</v>
      </c>
    </row>
    <row r="1795" spans="1:13">
      <c r="A1795" s="7">
        <v>43817</v>
      </c>
      <c r="B1795" s="8">
        <v>0.51388888888888895</v>
      </c>
      <c r="C1795" s="19" t="str">
        <f>"FES1162728824"</f>
        <v>FES1162728824</v>
      </c>
      <c r="D1795" s="19" t="s">
        <v>19</v>
      </c>
      <c r="E1795" s="19" t="s">
        <v>97</v>
      </c>
      <c r="F1795" s="19" t="str">
        <f>"2170719989 "</f>
        <v xml:space="preserve">2170719989 </v>
      </c>
      <c r="G1795" s="19" t="str">
        <f t="shared" si="46"/>
        <v>ON1</v>
      </c>
      <c r="H1795" s="19" t="s">
        <v>21</v>
      </c>
      <c r="I1795" s="19" t="s">
        <v>824</v>
      </c>
      <c r="J1795" s="19" t="str">
        <f>""</f>
        <v/>
      </c>
      <c r="K1795" s="19" t="str">
        <f>"PFES1162728824_0001"</f>
        <v>PFES1162728824_0001</v>
      </c>
      <c r="L1795" s="19">
        <v>1</v>
      </c>
      <c r="M1795" s="19">
        <v>1</v>
      </c>
    </row>
    <row r="1796" spans="1:13">
      <c r="A1796" s="7">
        <v>43817</v>
      </c>
      <c r="B1796" s="8">
        <v>0.51388888888888895</v>
      </c>
      <c r="C1796" s="19" t="str">
        <f>"FES1162728523"</f>
        <v>FES1162728523</v>
      </c>
      <c r="D1796" s="19" t="s">
        <v>19</v>
      </c>
      <c r="E1796" s="19" t="s">
        <v>173</v>
      </c>
      <c r="F1796" s="19" t="str">
        <f>"2170721363 "</f>
        <v xml:space="preserve">2170721363 </v>
      </c>
      <c r="G1796" s="19" t="str">
        <f t="shared" si="46"/>
        <v>ON1</v>
      </c>
      <c r="H1796" s="19" t="s">
        <v>21</v>
      </c>
      <c r="I1796" s="19" t="s">
        <v>130</v>
      </c>
      <c r="J1796" s="19" t="str">
        <f>""</f>
        <v/>
      </c>
      <c r="K1796" s="19" t="str">
        <f>"PFES1162728523_0001"</f>
        <v>PFES1162728523_0001</v>
      </c>
      <c r="L1796" s="19">
        <v>1</v>
      </c>
      <c r="M1796" s="19">
        <v>4</v>
      </c>
    </row>
    <row r="1797" spans="1:13">
      <c r="A1797" s="7">
        <v>43817</v>
      </c>
      <c r="B1797" s="8">
        <v>0.5131944444444444</v>
      </c>
      <c r="C1797" s="19" t="str">
        <f>"FES1162728519"</f>
        <v>FES1162728519</v>
      </c>
      <c r="D1797" s="19" t="s">
        <v>19</v>
      </c>
      <c r="E1797" s="19" t="s">
        <v>24</v>
      </c>
      <c r="F1797" s="19" t="str">
        <f>"2170721755 "</f>
        <v xml:space="preserve">2170721755 </v>
      </c>
      <c r="G1797" s="19" t="str">
        <f t="shared" si="46"/>
        <v>ON1</v>
      </c>
      <c r="H1797" s="19" t="s">
        <v>21</v>
      </c>
      <c r="I1797" s="19" t="s">
        <v>25</v>
      </c>
      <c r="J1797" s="19" t="str">
        <f>""</f>
        <v/>
      </c>
      <c r="K1797" s="19" t="str">
        <f>"PFES1162728519_0001"</f>
        <v>PFES1162728519_0001</v>
      </c>
      <c r="L1797" s="19">
        <v>1</v>
      </c>
      <c r="M1797" s="19">
        <v>4</v>
      </c>
    </row>
    <row r="1798" spans="1:13">
      <c r="A1798" s="7">
        <v>43817</v>
      </c>
      <c r="B1798" s="8">
        <v>0.5131944444444444</v>
      </c>
      <c r="C1798" s="19" t="str">
        <f>"FES1162728813"</f>
        <v>FES1162728813</v>
      </c>
      <c r="D1798" s="19" t="s">
        <v>19</v>
      </c>
      <c r="E1798" s="19" t="s">
        <v>172</v>
      </c>
      <c r="F1798" s="19" t="str">
        <f>"2170719796 "</f>
        <v xml:space="preserve">2170719796 </v>
      </c>
      <c r="G1798" s="19" t="str">
        <f t="shared" si="46"/>
        <v>ON1</v>
      </c>
      <c r="H1798" s="19" t="s">
        <v>21</v>
      </c>
      <c r="I1798" s="19" t="s">
        <v>62</v>
      </c>
      <c r="J1798" s="19" t="str">
        <f>""</f>
        <v/>
      </c>
      <c r="K1798" s="19" t="str">
        <f>"PFES1162728813_0001"</f>
        <v>PFES1162728813_0001</v>
      </c>
      <c r="L1798" s="19">
        <v>1</v>
      </c>
      <c r="M1798" s="19">
        <v>1</v>
      </c>
    </row>
    <row r="1799" spans="1:13">
      <c r="A1799" s="7">
        <v>43817</v>
      </c>
      <c r="B1799" s="8">
        <v>0.51250000000000007</v>
      </c>
      <c r="C1799" s="19" t="str">
        <f>"FES1162728619"</f>
        <v>FES1162728619</v>
      </c>
      <c r="D1799" s="19" t="s">
        <v>19</v>
      </c>
      <c r="E1799" s="19" t="s">
        <v>24</v>
      </c>
      <c r="F1799" s="19" t="str">
        <f>"2170721839 "</f>
        <v xml:space="preserve">2170721839 </v>
      </c>
      <c r="G1799" s="19" t="str">
        <f t="shared" si="46"/>
        <v>ON1</v>
      </c>
      <c r="H1799" s="19" t="s">
        <v>21</v>
      </c>
      <c r="I1799" s="19" t="s">
        <v>25</v>
      </c>
      <c r="J1799" s="19" t="str">
        <f>""</f>
        <v/>
      </c>
      <c r="K1799" s="19" t="str">
        <f>"PFES1162728619_0001"</f>
        <v>PFES1162728619_0001</v>
      </c>
      <c r="L1799" s="19">
        <v>1</v>
      </c>
      <c r="M1799" s="19">
        <v>3</v>
      </c>
    </row>
    <row r="1800" spans="1:13">
      <c r="A1800" s="7">
        <v>43817</v>
      </c>
      <c r="B1800" s="8">
        <v>0.51250000000000007</v>
      </c>
      <c r="C1800" s="19" t="str">
        <f>"FES1162728810"</f>
        <v>FES1162728810</v>
      </c>
      <c r="D1800" s="19" t="s">
        <v>19</v>
      </c>
      <c r="E1800" s="19" t="s">
        <v>208</v>
      </c>
      <c r="F1800" s="19" t="str">
        <f>"2170719758 "</f>
        <v xml:space="preserve">2170719758 </v>
      </c>
      <c r="G1800" s="19" t="str">
        <f t="shared" si="46"/>
        <v>ON1</v>
      </c>
      <c r="H1800" s="19" t="s">
        <v>21</v>
      </c>
      <c r="I1800" s="19" t="s">
        <v>155</v>
      </c>
      <c r="J1800" s="19" t="str">
        <f>""</f>
        <v/>
      </c>
      <c r="K1800" s="19" t="str">
        <f>"PFES1162728810_0001"</f>
        <v>PFES1162728810_0001</v>
      </c>
      <c r="L1800" s="19">
        <v>1</v>
      </c>
      <c r="M1800" s="19">
        <v>4</v>
      </c>
    </row>
    <row r="1801" spans="1:13">
      <c r="A1801" s="7">
        <v>43817</v>
      </c>
      <c r="B1801" s="8">
        <v>0.51180555555555551</v>
      </c>
      <c r="C1801" s="19" t="str">
        <f>"FES1162728566"</f>
        <v>FES1162728566</v>
      </c>
      <c r="D1801" s="19" t="s">
        <v>19</v>
      </c>
      <c r="E1801" s="19" t="s">
        <v>712</v>
      </c>
      <c r="F1801" s="19" t="str">
        <f>"2170717615 "</f>
        <v xml:space="preserve">2170717615 </v>
      </c>
      <c r="G1801" s="19" t="str">
        <f t="shared" si="46"/>
        <v>ON1</v>
      </c>
      <c r="H1801" s="19" t="s">
        <v>21</v>
      </c>
      <c r="I1801" s="19" t="s">
        <v>669</v>
      </c>
      <c r="J1801" s="19" t="str">
        <f>""</f>
        <v/>
      </c>
      <c r="K1801" s="19" t="str">
        <f>"PFES1162728566_0001"</f>
        <v>PFES1162728566_0001</v>
      </c>
      <c r="L1801" s="19">
        <v>1</v>
      </c>
      <c r="M1801" s="19">
        <v>2</v>
      </c>
    </row>
    <row r="1802" spans="1:13">
      <c r="A1802" s="7">
        <v>43817</v>
      </c>
      <c r="B1802" s="8">
        <v>0.51180555555555551</v>
      </c>
      <c r="C1802" s="19" t="str">
        <f>"FES1162728764"</f>
        <v>FES1162728764</v>
      </c>
      <c r="D1802" s="19" t="s">
        <v>19</v>
      </c>
      <c r="E1802" s="19" t="s">
        <v>101</v>
      </c>
      <c r="F1802" s="19" t="str">
        <f>"2170719594 "</f>
        <v xml:space="preserve">2170719594 </v>
      </c>
      <c r="G1802" s="19" t="str">
        <f t="shared" si="46"/>
        <v>ON1</v>
      </c>
      <c r="H1802" s="19" t="s">
        <v>21</v>
      </c>
      <c r="I1802" s="19" t="s">
        <v>102</v>
      </c>
      <c r="J1802" s="19" t="str">
        <f>""</f>
        <v/>
      </c>
      <c r="K1802" s="19" t="str">
        <f>"PFES1162728764_0001"</f>
        <v>PFES1162728764_0001</v>
      </c>
      <c r="L1802" s="19">
        <v>1</v>
      </c>
      <c r="M1802" s="19">
        <v>7</v>
      </c>
    </row>
    <row r="1803" spans="1:13">
      <c r="A1803" s="7">
        <v>43817</v>
      </c>
      <c r="B1803" s="8">
        <v>0.51041666666666663</v>
      </c>
      <c r="C1803" s="19" t="str">
        <f>"FES1162728655"</f>
        <v>FES1162728655</v>
      </c>
      <c r="D1803" s="19" t="s">
        <v>19</v>
      </c>
      <c r="E1803" s="19" t="s">
        <v>44</v>
      </c>
      <c r="F1803" s="19" t="str">
        <f>"2170721865 "</f>
        <v xml:space="preserve">2170721865 </v>
      </c>
      <c r="G1803" s="19" t="str">
        <f t="shared" si="46"/>
        <v>ON1</v>
      </c>
      <c r="H1803" s="19" t="s">
        <v>21</v>
      </c>
      <c r="I1803" s="19" t="s">
        <v>45</v>
      </c>
      <c r="J1803" s="19" t="str">
        <f>""</f>
        <v/>
      </c>
      <c r="K1803" s="19" t="str">
        <f>"PFES1162728655_0001"</f>
        <v>PFES1162728655_0001</v>
      </c>
      <c r="L1803" s="19">
        <v>1</v>
      </c>
      <c r="M1803" s="19">
        <v>6</v>
      </c>
    </row>
    <row r="1804" spans="1:13">
      <c r="A1804" s="7">
        <v>43817</v>
      </c>
      <c r="B1804" s="8">
        <v>0.51041666666666663</v>
      </c>
      <c r="C1804" s="19" t="str">
        <f>"FES1162728692"</f>
        <v>FES1162728692</v>
      </c>
      <c r="D1804" s="19" t="s">
        <v>19</v>
      </c>
      <c r="E1804" s="19" t="s">
        <v>44</v>
      </c>
      <c r="F1804" s="19" t="str">
        <f>"2170721891 "</f>
        <v xml:space="preserve">2170721891 </v>
      </c>
      <c r="G1804" s="19" t="str">
        <f t="shared" si="46"/>
        <v>ON1</v>
      </c>
      <c r="H1804" s="19" t="s">
        <v>21</v>
      </c>
      <c r="I1804" s="19" t="s">
        <v>45</v>
      </c>
      <c r="J1804" s="19" t="str">
        <f>""</f>
        <v/>
      </c>
      <c r="K1804" s="19" t="str">
        <f>"PFES1162728692_0001"</f>
        <v>PFES1162728692_0001</v>
      </c>
      <c r="L1804" s="19">
        <v>1</v>
      </c>
      <c r="M1804" s="19">
        <v>8</v>
      </c>
    </row>
    <row r="1805" spans="1:13">
      <c r="A1805" s="7">
        <v>43817</v>
      </c>
      <c r="B1805" s="8">
        <v>0.50972222222222219</v>
      </c>
      <c r="C1805" s="19" t="str">
        <f>"FES1162728563"</f>
        <v>FES1162728563</v>
      </c>
      <c r="D1805" s="19" t="s">
        <v>19</v>
      </c>
      <c r="E1805" s="19" t="s">
        <v>644</v>
      </c>
      <c r="F1805" s="19" t="str">
        <f>"2170719044 "</f>
        <v xml:space="preserve">2170719044 </v>
      </c>
      <c r="G1805" s="19" t="str">
        <f t="shared" ref="G1805:G1820" si="47">"ON1"</f>
        <v>ON1</v>
      </c>
      <c r="H1805" s="19" t="s">
        <v>21</v>
      </c>
      <c r="I1805" s="19" t="s">
        <v>123</v>
      </c>
      <c r="J1805" s="19" t="str">
        <f>""</f>
        <v/>
      </c>
      <c r="K1805" s="19" t="str">
        <f>"PFES1162728563_0001"</f>
        <v>PFES1162728563_0001</v>
      </c>
      <c r="L1805" s="19">
        <v>1</v>
      </c>
      <c r="M1805" s="19">
        <v>4</v>
      </c>
    </row>
    <row r="1806" spans="1:13">
      <c r="A1806" s="7">
        <v>43817</v>
      </c>
      <c r="B1806" s="8">
        <v>0.50972222222222219</v>
      </c>
      <c r="C1806" s="19" t="str">
        <f>"FES1162728526"</f>
        <v>FES1162728526</v>
      </c>
      <c r="D1806" s="19" t="s">
        <v>19</v>
      </c>
      <c r="E1806" s="19" t="s">
        <v>825</v>
      </c>
      <c r="F1806" s="19" t="str">
        <f>"2170718573 "</f>
        <v xml:space="preserve">2170718573 </v>
      </c>
      <c r="G1806" s="19" t="str">
        <f t="shared" si="47"/>
        <v>ON1</v>
      </c>
      <c r="H1806" s="19" t="s">
        <v>21</v>
      </c>
      <c r="I1806" s="19" t="s">
        <v>102</v>
      </c>
      <c r="J1806" s="19" t="str">
        <f>""</f>
        <v/>
      </c>
      <c r="K1806" s="19" t="str">
        <f>"PFES1162728526_0001"</f>
        <v>PFES1162728526_0001</v>
      </c>
      <c r="L1806" s="19">
        <v>1</v>
      </c>
      <c r="M1806" s="19">
        <v>2</v>
      </c>
    </row>
    <row r="1807" spans="1:13">
      <c r="A1807" s="7">
        <v>43817</v>
      </c>
      <c r="B1807" s="8">
        <v>0.5083333333333333</v>
      </c>
      <c r="C1807" s="19" t="str">
        <f>"FES1162728733"</f>
        <v>FES1162728733</v>
      </c>
      <c r="D1807" s="19" t="s">
        <v>19</v>
      </c>
      <c r="E1807" s="19" t="s">
        <v>291</v>
      </c>
      <c r="F1807" s="19" t="str">
        <f>"2170721459 "</f>
        <v xml:space="preserve">2170721459 </v>
      </c>
      <c r="G1807" s="19" t="str">
        <f t="shared" si="47"/>
        <v>ON1</v>
      </c>
      <c r="H1807" s="19" t="s">
        <v>21</v>
      </c>
      <c r="I1807" s="19" t="s">
        <v>41</v>
      </c>
      <c r="J1807" s="19" t="str">
        <f>""</f>
        <v/>
      </c>
      <c r="K1807" s="19" t="str">
        <f>"PFES1162728733_0001"</f>
        <v>PFES1162728733_0001</v>
      </c>
      <c r="L1807" s="19">
        <v>1</v>
      </c>
      <c r="M1807" s="19">
        <v>4</v>
      </c>
    </row>
    <row r="1808" spans="1:13">
      <c r="A1808" s="7">
        <v>43817</v>
      </c>
      <c r="B1808" s="8">
        <v>0.5083333333333333</v>
      </c>
      <c r="C1808" s="19" t="str">
        <f>"FES1162728866"</f>
        <v>FES1162728866</v>
      </c>
      <c r="D1808" s="19" t="s">
        <v>19</v>
      </c>
      <c r="E1808" s="19" t="s">
        <v>826</v>
      </c>
      <c r="F1808" s="19" t="str">
        <f>"2170722007 "</f>
        <v xml:space="preserve">2170722007 </v>
      </c>
      <c r="G1808" s="19" t="str">
        <f t="shared" si="47"/>
        <v>ON1</v>
      </c>
      <c r="H1808" s="19" t="s">
        <v>21</v>
      </c>
      <c r="I1808" s="19" t="s">
        <v>827</v>
      </c>
      <c r="J1808" s="19" t="str">
        <f>""</f>
        <v/>
      </c>
      <c r="K1808" s="19" t="str">
        <f>"PFES1162728866_0001"</f>
        <v>PFES1162728866_0001</v>
      </c>
      <c r="L1808" s="19">
        <v>1</v>
      </c>
      <c r="M1808" s="19">
        <v>2</v>
      </c>
    </row>
    <row r="1809" spans="1:13">
      <c r="A1809" s="7">
        <v>43817</v>
      </c>
      <c r="B1809" s="8">
        <v>0.50763888888888886</v>
      </c>
      <c r="C1809" s="19" t="str">
        <f>"FES1162728532"</f>
        <v>FES1162728532</v>
      </c>
      <c r="D1809" s="19" t="s">
        <v>19</v>
      </c>
      <c r="E1809" s="19" t="s">
        <v>124</v>
      </c>
      <c r="F1809" s="19" t="str">
        <f>"2170721452 "</f>
        <v xml:space="preserve">2170721452 </v>
      </c>
      <c r="G1809" s="19" t="str">
        <f t="shared" si="47"/>
        <v>ON1</v>
      </c>
      <c r="H1809" s="19" t="s">
        <v>21</v>
      </c>
      <c r="I1809" s="19" t="s">
        <v>125</v>
      </c>
      <c r="J1809" s="19" t="str">
        <f>""</f>
        <v/>
      </c>
      <c r="K1809" s="19" t="str">
        <f>"PFES1162728532_0001"</f>
        <v>PFES1162728532_0001</v>
      </c>
      <c r="L1809" s="19">
        <v>1</v>
      </c>
      <c r="M1809" s="19">
        <v>4</v>
      </c>
    </row>
    <row r="1810" spans="1:13">
      <c r="A1810" s="7">
        <v>43817</v>
      </c>
      <c r="B1810" s="8">
        <v>0.50763888888888886</v>
      </c>
      <c r="C1810" s="19" t="str">
        <f>"FES1162728677"</f>
        <v>FES1162728677</v>
      </c>
      <c r="D1810" s="19" t="s">
        <v>19</v>
      </c>
      <c r="E1810" s="19" t="s">
        <v>292</v>
      </c>
      <c r="F1810" s="19" t="str">
        <f>"2170721873 "</f>
        <v xml:space="preserve">2170721873 </v>
      </c>
      <c r="G1810" s="19" t="str">
        <f t="shared" si="47"/>
        <v>ON1</v>
      </c>
      <c r="H1810" s="19" t="s">
        <v>21</v>
      </c>
      <c r="I1810" s="19" t="s">
        <v>78</v>
      </c>
      <c r="J1810" s="19" t="str">
        <f>""</f>
        <v/>
      </c>
      <c r="K1810" s="19" t="str">
        <f>"PFES1162728677_0001"</f>
        <v>PFES1162728677_0001</v>
      </c>
      <c r="L1810" s="19">
        <v>1</v>
      </c>
      <c r="M1810" s="19">
        <v>10</v>
      </c>
    </row>
    <row r="1811" spans="1:13">
      <c r="A1811" s="7">
        <v>43817</v>
      </c>
      <c r="B1811" s="8">
        <v>0.50694444444444442</v>
      </c>
      <c r="C1811" s="19" t="str">
        <f>"FES1162728747"</f>
        <v>FES1162728747</v>
      </c>
      <c r="D1811" s="19" t="s">
        <v>19</v>
      </c>
      <c r="E1811" s="19" t="s">
        <v>356</v>
      </c>
      <c r="F1811" s="19" t="str">
        <f>"2170721938 "</f>
        <v xml:space="preserve">2170721938 </v>
      </c>
      <c r="G1811" s="19" t="str">
        <f t="shared" si="47"/>
        <v>ON1</v>
      </c>
      <c r="H1811" s="19" t="s">
        <v>21</v>
      </c>
      <c r="I1811" s="19" t="s">
        <v>357</v>
      </c>
      <c r="J1811" s="19" t="str">
        <f>""</f>
        <v/>
      </c>
      <c r="K1811" s="19" t="str">
        <f>"PFES1162728747_0001"</f>
        <v>PFES1162728747_0001</v>
      </c>
      <c r="L1811" s="19">
        <v>1</v>
      </c>
      <c r="M1811" s="19">
        <v>3</v>
      </c>
    </row>
    <row r="1812" spans="1:13">
      <c r="A1812" s="7">
        <v>43817</v>
      </c>
      <c r="B1812" s="8">
        <v>0.50624999999999998</v>
      </c>
      <c r="C1812" s="19" t="str">
        <f>"FES1162728635"</f>
        <v>FES1162728635</v>
      </c>
      <c r="D1812" s="19" t="s">
        <v>19</v>
      </c>
      <c r="E1812" s="19" t="s">
        <v>101</v>
      </c>
      <c r="F1812" s="19" t="str">
        <f>"2170717913 "</f>
        <v xml:space="preserve">2170717913 </v>
      </c>
      <c r="G1812" s="19" t="str">
        <f>"DBC"</f>
        <v>DBC</v>
      </c>
      <c r="H1812" s="19" t="s">
        <v>21</v>
      </c>
      <c r="I1812" s="19" t="s">
        <v>102</v>
      </c>
      <c r="J1812" s="19" t="str">
        <f>""</f>
        <v/>
      </c>
      <c r="K1812" s="19" t="str">
        <f>"PFES1162728635_0001"</f>
        <v>PFES1162728635_0001</v>
      </c>
      <c r="L1812" s="19">
        <v>2</v>
      </c>
      <c r="M1812" s="19">
        <v>22</v>
      </c>
    </row>
    <row r="1813" spans="1:13">
      <c r="A1813" s="7">
        <v>43817</v>
      </c>
      <c r="B1813" s="8">
        <v>0.50624999999999998</v>
      </c>
      <c r="C1813" s="19" t="str">
        <f>"FES1162728635"</f>
        <v>FES1162728635</v>
      </c>
      <c r="D1813" s="19" t="s">
        <v>19</v>
      </c>
      <c r="E1813" s="19" t="s">
        <v>101</v>
      </c>
      <c r="F1813" s="19" t="str">
        <f>"2170717913 "</f>
        <v xml:space="preserve">2170717913 </v>
      </c>
      <c r="G1813" s="19" t="str">
        <f>"DBC"</f>
        <v>DBC</v>
      </c>
      <c r="H1813" s="19" t="s">
        <v>21</v>
      </c>
      <c r="I1813" s="19" t="s">
        <v>102</v>
      </c>
      <c r="J1813" s="19"/>
      <c r="K1813" s="19" t="str">
        <f>"PFES1162728635_0002"</f>
        <v>PFES1162728635_0002</v>
      </c>
      <c r="L1813" s="19">
        <v>2</v>
      </c>
      <c r="M1813" s="19">
        <v>22</v>
      </c>
    </row>
    <row r="1814" spans="1:13">
      <c r="A1814" s="7">
        <v>43817</v>
      </c>
      <c r="B1814" s="8">
        <v>0.50555555555555554</v>
      </c>
      <c r="C1814" s="19" t="str">
        <f>"FES1162728874"</f>
        <v>FES1162728874</v>
      </c>
      <c r="D1814" s="19" t="s">
        <v>19</v>
      </c>
      <c r="E1814" s="19" t="s">
        <v>163</v>
      </c>
      <c r="F1814" s="19" t="str">
        <f>"2170716743 "</f>
        <v xml:space="preserve">2170716743 </v>
      </c>
      <c r="G1814" s="19" t="str">
        <f>"DBC"</f>
        <v>DBC</v>
      </c>
      <c r="H1814" s="19" t="s">
        <v>21</v>
      </c>
      <c r="I1814" s="19" t="s">
        <v>164</v>
      </c>
      <c r="J1814" s="19" t="str">
        <f>""</f>
        <v/>
      </c>
      <c r="K1814" s="19" t="str">
        <f>"PFES1162728874_0001"</f>
        <v>PFES1162728874_0001</v>
      </c>
      <c r="L1814" s="19">
        <v>2</v>
      </c>
      <c r="M1814" s="19">
        <v>20</v>
      </c>
    </row>
    <row r="1815" spans="1:13">
      <c r="A1815" s="7">
        <v>43817</v>
      </c>
      <c r="B1815" s="8">
        <v>0.50555555555555554</v>
      </c>
      <c r="C1815" s="19" t="str">
        <f>"FES1162728874"</f>
        <v>FES1162728874</v>
      </c>
      <c r="D1815" s="19" t="s">
        <v>19</v>
      </c>
      <c r="E1815" s="19" t="s">
        <v>163</v>
      </c>
      <c r="F1815" s="19" t="str">
        <f>"2170716743 "</f>
        <v xml:space="preserve">2170716743 </v>
      </c>
      <c r="G1815" s="19" t="str">
        <f>"DBC"</f>
        <v>DBC</v>
      </c>
      <c r="H1815" s="19" t="s">
        <v>21</v>
      </c>
      <c r="I1815" s="19" t="s">
        <v>164</v>
      </c>
      <c r="J1815" s="19"/>
      <c r="K1815" s="19" t="str">
        <f>"PFES1162728874_0002"</f>
        <v>PFES1162728874_0002</v>
      </c>
      <c r="L1815" s="19">
        <v>2</v>
      </c>
      <c r="M1815" s="19">
        <v>20</v>
      </c>
    </row>
    <row r="1816" spans="1:13">
      <c r="A1816" s="7">
        <v>43817</v>
      </c>
      <c r="B1816" s="8">
        <v>0.50486111111111109</v>
      </c>
      <c r="C1816" s="19" t="str">
        <f>"FES1162728676"</f>
        <v>FES1162728676</v>
      </c>
      <c r="D1816" s="19" t="s">
        <v>19</v>
      </c>
      <c r="E1816" s="19" t="s">
        <v>77</v>
      </c>
      <c r="F1816" s="19" t="str">
        <f>"2170721872 "</f>
        <v xml:space="preserve">2170721872 </v>
      </c>
      <c r="G1816" s="19" t="str">
        <f>"ON1"</f>
        <v>ON1</v>
      </c>
      <c r="H1816" s="19" t="s">
        <v>21</v>
      </c>
      <c r="I1816" s="19" t="s">
        <v>78</v>
      </c>
      <c r="J1816" s="19" t="str">
        <f>""</f>
        <v/>
      </c>
      <c r="K1816" s="19" t="str">
        <f>"PFES1162728676_0001"</f>
        <v>PFES1162728676_0001</v>
      </c>
      <c r="L1816" s="19">
        <v>1</v>
      </c>
      <c r="M1816" s="19">
        <v>2</v>
      </c>
    </row>
    <row r="1817" spans="1:13">
      <c r="A1817" s="7">
        <v>43817</v>
      </c>
      <c r="B1817" s="8">
        <v>0.50486111111111109</v>
      </c>
      <c r="C1817" s="19" t="str">
        <f>"FES1162728646"</f>
        <v>FES1162728646</v>
      </c>
      <c r="D1817" s="19" t="s">
        <v>19</v>
      </c>
      <c r="E1817" s="19" t="s">
        <v>295</v>
      </c>
      <c r="F1817" s="19" t="str">
        <f>"2170720126 "</f>
        <v xml:space="preserve">2170720126 </v>
      </c>
      <c r="G1817" s="19" t="str">
        <f>"ON1"</f>
        <v>ON1</v>
      </c>
      <c r="H1817" s="19" t="s">
        <v>21</v>
      </c>
      <c r="I1817" s="19" t="s">
        <v>78</v>
      </c>
      <c r="J1817" s="19" t="str">
        <f>""</f>
        <v/>
      </c>
      <c r="K1817" s="19" t="str">
        <f>"PFES1162728646_0001"</f>
        <v>PFES1162728646_0001</v>
      </c>
      <c r="L1817" s="19">
        <v>1</v>
      </c>
      <c r="M1817" s="19">
        <v>3</v>
      </c>
    </row>
    <row r="1818" spans="1:13">
      <c r="A1818" s="7">
        <v>43817</v>
      </c>
      <c r="B1818" s="8">
        <v>0.4777777777777778</v>
      </c>
      <c r="C1818" s="19" t="str">
        <f>"FES1162728722"</f>
        <v>FES1162728722</v>
      </c>
      <c r="D1818" s="19" t="s">
        <v>19</v>
      </c>
      <c r="E1818" s="19" t="s">
        <v>260</v>
      </c>
      <c r="F1818" s="19" t="str">
        <f>"2170718441 "</f>
        <v xml:space="preserve">2170718441 </v>
      </c>
      <c r="G1818" s="19" t="str">
        <f>"ON1"</f>
        <v>ON1</v>
      </c>
      <c r="H1818" s="19" t="s">
        <v>21</v>
      </c>
      <c r="I1818" s="19" t="s">
        <v>216</v>
      </c>
      <c r="J1818" s="19" t="str">
        <f>""</f>
        <v/>
      </c>
      <c r="K1818" s="19" t="str">
        <f>"PFES1162728722_0001"</f>
        <v>PFES1162728722_0001</v>
      </c>
      <c r="L1818" s="19">
        <v>1</v>
      </c>
      <c r="M1818" s="19">
        <v>1</v>
      </c>
    </row>
    <row r="1819" spans="1:13">
      <c r="A1819" s="7">
        <v>43817</v>
      </c>
      <c r="B1819" s="8">
        <v>0.4777777777777778</v>
      </c>
      <c r="C1819" s="19" t="str">
        <f>"FES1162728595"</f>
        <v>FES1162728595</v>
      </c>
      <c r="D1819" s="19" t="s">
        <v>19</v>
      </c>
      <c r="E1819" s="19" t="s">
        <v>331</v>
      </c>
      <c r="F1819" s="19" t="str">
        <f>"2170718101 "</f>
        <v xml:space="preserve">2170718101 </v>
      </c>
      <c r="G1819" s="19" t="str">
        <f>"ON1"</f>
        <v>ON1</v>
      </c>
      <c r="H1819" s="19" t="s">
        <v>21</v>
      </c>
      <c r="I1819" s="19" t="s">
        <v>332</v>
      </c>
      <c r="J1819" s="19" t="str">
        <f>""</f>
        <v/>
      </c>
      <c r="K1819" s="19" t="str">
        <f>"PFES1162728595_0001"</f>
        <v>PFES1162728595_0001</v>
      </c>
      <c r="L1819" s="19">
        <v>1</v>
      </c>
      <c r="M1819" s="19">
        <v>9</v>
      </c>
    </row>
    <row r="1820" spans="1:13">
      <c r="A1820" s="7">
        <v>43817</v>
      </c>
      <c r="B1820" s="8">
        <v>0.44444444444444442</v>
      </c>
      <c r="C1820" s="19" t="str">
        <f>"009935712073"</f>
        <v>009935712073</v>
      </c>
      <c r="D1820" s="19" t="s">
        <v>19</v>
      </c>
      <c r="E1820" s="19" t="s">
        <v>828</v>
      </c>
      <c r="F1820" s="19" t="str">
        <f>"BESTTER "</f>
        <v xml:space="preserve">BESTTER </v>
      </c>
      <c r="G1820" s="19" t="str">
        <f>"ON1"</f>
        <v>ON1</v>
      </c>
      <c r="H1820" s="19" t="s">
        <v>21</v>
      </c>
      <c r="I1820" s="19" t="s">
        <v>829</v>
      </c>
      <c r="J1820" s="19" t="str">
        <f>"HOLD FOR COLLECTION"</f>
        <v>HOLD FOR COLLECTION</v>
      </c>
      <c r="K1820" s="19" t="str">
        <f>"P009935712073_0001"</f>
        <v>P009935712073_0001</v>
      </c>
      <c r="L1820" s="19">
        <v>1</v>
      </c>
      <c r="M1820" s="19">
        <v>1</v>
      </c>
    </row>
  </sheetData>
  <mergeCells count="1">
    <mergeCell ref="C1:E1"/>
  </mergeCells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2019-12-05T07:01:25Z</dcterms:created>
  <dcterms:modified xsi:type="dcterms:W3CDTF">2019-12-19T06:50:51Z</dcterms:modified>
</cp:coreProperties>
</file>