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C89C5D5-8B53-49E6-B739-21A90A143642}" xr6:coauthVersionLast="47" xr6:coauthVersionMax="47" xr10:uidLastSave="{00000000-0000-0000-0000-000000000000}"/>
  <bookViews>
    <workbookView xWindow="28680" yWindow="-120" windowWidth="20730" windowHeight="11040" xr2:uid="{6968C9A1-4E6A-4B13-B887-956C65ABE1B3}"/>
  </bookViews>
  <sheets>
    <sheet name="sdrascd3-425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7" i="1" l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<sst xmlns="http://schemas.openxmlformats.org/spreadsheetml/2006/main" count="5341" uniqueCount="569">
  <si>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</si>
  <si>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</si>
  <si>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</si>
  <si>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</si>
  <si>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</si>
  <si>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</si>
  <si>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</si>
  <si>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</si>
  <si>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</si>
  <si>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</si>
  <si>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</si>
  <si>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</si>
  <si>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</si>
  <si>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</si>
  <si>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</si>
  <si>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</si>
  <si>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</si>
  <si>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</si>
  <si>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</si>
  <si>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</si>
  <si>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</si>
  <si>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</si>
  <si>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</si>
  <si>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</si>
  <si>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</si>
  <si>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</si>
  <si>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</si>
  <si>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</si>
  <si>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</si>
  <si>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</si>
  <si>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</si>
  <si>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</si>
  <si>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</si>
  <si>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</si>
  <si>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</si>
  <si>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</si>
  <si>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</si>
  <si>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</si>
  <si>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</si>
  <si>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</si>
  <si>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</si>
  <si>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</si>
  <si>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</si>
  <si>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</si>
  <si>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</si>
  <si>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</si>
  <si>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</si>
  <si>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</si>
  <si>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</si>
  <si>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</si>
  <si>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</si>
  <si>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</si>
  <si>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</si>
  <si>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</si>
  <si>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</si>
  <si>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</si>
  <si>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</si>
  <si>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</si>
  <si>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</si>
  <si>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</si>
  <si>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</si>
  <si>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</si>
  <si>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</si>
  <si>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</si>
  <si>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</si>
  <si>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</si>
  <si>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</si>
  <si>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</si>
  <si>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</si>
  <si>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</si>
  <si>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</si>
  <si>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</si>
  <si>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</si>
  <si>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>MOVE ANALYTICS CC - ATM ACCOUNTS</t>
  </si>
  <si>
    <t>WAY</t>
  </si>
  <si>
    <t>GEORG</t>
  </si>
  <si>
    <t>GEORGE</t>
  </si>
  <si>
    <t>ATM  SOLUTIONS</t>
  </si>
  <si>
    <t>JOHAN</t>
  </si>
  <si>
    <t>JOHANNESBURG</t>
  </si>
  <si>
    <t>ATM SOLUTIONS</t>
  </si>
  <si>
    <t>DBC</t>
  </si>
  <si>
    <t>HARRI</t>
  </si>
  <si>
    <t>yes</t>
  </si>
  <si>
    <t>FUE / doc</t>
  </si>
  <si>
    <t>PARCEL</t>
  </si>
  <si>
    <t>KLERK</t>
  </si>
  <si>
    <t>KLERKSDORP</t>
  </si>
  <si>
    <t>RUSTE</t>
  </si>
  <si>
    <t>RUSTENBURG</t>
  </si>
  <si>
    <t>WANER</t>
  </si>
  <si>
    <t>KAGISO</t>
  </si>
  <si>
    <t>Walter</t>
  </si>
  <si>
    <t>POD received from cell 0632354890 M</t>
  </si>
  <si>
    <t>PIET2</t>
  </si>
  <si>
    <t>PIETERSBURG</t>
  </si>
  <si>
    <t>SANDT</t>
  </si>
  <si>
    <t>SANDTON</t>
  </si>
  <si>
    <t>LOKS STORES</t>
  </si>
  <si>
    <t>KHUTSO</t>
  </si>
  <si>
    <t xml:space="preserve">Duan                          </t>
  </si>
  <si>
    <t xml:space="preserve">POD received from cell 0671217407 M     </t>
  </si>
  <si>
    <t>LOUIS</t>
  </si>
  <si>
    <t>LOUIS TRICHARDT</t>
  </si>
  <si>
    <t>FIDELITY CASH SERVICE</t>
  </si>
  <si>
    <t>ON1</t>
  </si>
  <si>
    <t>R MALULELEKE</t>
  </si>
  <si>
    <t>MORATUMA PHOTOLO</t>
  </si>
  <si>
    <t>tshifhiwa</t>
  </si>
  <si>
    <t>no</t>
  </si>
  <si>
    <t>FUE / DOC</t>
  </si>
  <si>
    <t>POD received from cell 0839546952 M</t>
  </si>
  <si>
    <t>BLOE1</t>
  </si>
  <si>
    <t>BLOEMFONTEIN</t>
  </si>
  <si>
    <t>HEIN</t>
  </si>
  <si>
    <t>NA</t>
  </si>
  <si>
    <t>liandra</t>
  </si>
  <si>
    <t>NICO</t>
  </si>
  <si>
    <t>WIKUS</t>
  </si>
  <si>
    <t>DURBA</t>
  </si>
  <si>
    <t>DURBAN</t>
  </si>
  <si>
    <t>CHANTELLE MANIE</t>
  </si>
  <si>
    <t>karuna</t>
  </si>
  <si>
    <t>POD received from cell 0848255037 M</t>
  </si>
  <si>
    <t>SAMANTHA</t>
  </si>
  <si>
    <t>PIET1</t>
  </si>
  <si>
    <t>PIETERMARITZBURG</t>
  </si>
  <si>
    <t>ATM SOLTUINS</t>
  </si>
  <si>
    <t>MERULEN REDDY</t>
  </si>
  <si>
    <t>SAM</t>
  </si>
  <si>
    <t>MERVLYN</t>
  </si>
  <si>
    <t>BURG1</t>
  </si>
  <si>
    <t>BURGERSFORT</t>
  </si>
  <si>
    <t>LOWRENDCE MADIKA</t>
  </si>
  <si>
    <t>moses</t>
  </si>
  <si>
    <t>POD received from cell 0762402177 M</t>
  </si>
  <si>
    <t>MIDD2</t>
  </si>
  <si>
    <t>MIDDELBURG (Mpumalanga)</t>
  </si>
  <si>
    <t>JONATHAN</t>
  </si>
  <si>
    <t>deliwe</t>
  </si>
  <si>
    <t>POD received from cell 0793866786 M</t>
  </si>
  <si>
    <t>MMABA</t>
  </si>
  <si>
    <t>MMABATHO</t>
  </si>
  <si>
    <t>PETER LETSOALO</t>
  </si>
  <si>
    <t>SAMNATHA</t>
  </si>
  <si>
    <t>?</t>
  </si>
  <si>
    <t>HND / FUE / DOC</t>
  </si>
  <si>
    <t>CAPET</t>
  </si>
  <si>
    <t>CAPE TOWN</t>
  </si>
  <si>
    <t>CHANTELLE MARIE</t>
  </si>
  <si>
    <t>ATM SOLUTIONS WITBANK</t>
  </si>
  <si>
    <t>MIDRA</t>
  </si>
  <si>
    <t>MIDRAND</t>
  </si>
  <si>
    <t>ALL CASH TECHNOLOGIES</t>
  </si>
  <si>
    <t>ELLEN MNTAMBO</t>
  </si>
  <si>
    <t>LONCO</t>
  </si>
  <si>
    <t>lydia</t>
  </si>
  <si>
    <t>POD received from cell 0692133137 M</t>
  </si>
  <si>
    <t>NEWCA</t>
  </si>
  <si>
    <t>NEWCASTLE</t>
  </si>
  <si>
    <t>LINDO</t>
  </si>
  <si>
    <t>lindo</t>
  </si>
  <si>
    <t>RICHA</t>
  </si>
  <si>
    <t>RICHARDS BAY</t>
  </si>
  <si>
    <t>RHILANI MABUNZA</t>
  </si>
  <si>
    <t>CALVIN</t>
  </si>
  <si>
    <t>ATM SOLUTIONS RUSTENBURG</t>
  </si>
  <si>
    <t>STORES</t>
  </si>
  <si>
    <t>GERHARD</t>
  </si>
  <si>
    <t>Duan</t>
  </si>
  <si>
    <t>POD received from cell 0671217407 M</t>
  </si>
  <si>
    <t>VRYBU</t>
  </si>
  <si>
    <t>VRYBURG</t>
  </si>
  <si>
    <t>PIETER</t>
  </si>
  <si>
    <t>peter</t>
  </si>
  <si>
    <t>CSH / FUE / doc</t>
  </si>
  <si>
    <t>POD received from cell 0787450977 M</t>
  </si>
  <si>
    <t>BOX</t>
  </si>
  <si>
    <t>NELSP</t>
  </si>
  <si>
    <t>NELSPRUIT</t>
  </si>
  <si>
    <t>JOIHAN MULLER</t>
  </si>
  <si>
    <t>john</t>
  </si>
  <si>
    <t>POD received from cell 0798493113 M</t>
  </si>
  <si>
    <t>ATM SAOLUTIONS</t>
  </si>
  <si>
    <t>MA</t>
  </si>
  <si>
    <t>Johannes</t>
  </si>
  <si>
    <t>PORT3</t>
  </si>
  <si>
    <t>PORT ELIZABETH</t>
  </si>
  <si>
    <t>J Ferreira</t>
  </si>
  <si>
    <t>POD received from cell 0843582707 M</t>
  </si>
  <si>
    <t>STORAGE COMPANY</t>
  </si>
  <si>
    <t>JOHAN MARX</t>
  </si>
  <si>
    <t>JEREMY</t>
  </si>
  <si>
    <t>MAHMOOD</t>
  </si>
  <si>
    <t>mahmood</t>
  </si>
  <si>
    <t>POD received from cell 0738748251 M</t>
  </si>
  <si>
    <t>KERSHEN</t>
  </si>
  <si>
    <t>Sbangani</t>
  </si>
  <si>
    <t>POD received from cell 0783860265 M</t>
  </si>
  <si>
    <t>BETHL</t>
  </si>
  <si>
    <t>BETHLEHEM</t>
  </si>
  <si>
    <t>KELSO</t>
  </si>
  <si>
    <t>KETSO</t>
  </si>
  <si>
    <t>JOIHAN MARX</t>
  </si>
  <si>
    <t>LOWERENCE MODIKA</t>
  </si>
  <si>
    <t>TZANE</t>
  </si>
  <si>
    <t>TZANEEN</t>
  </si>
  <si>
    <t>ATM SOLUTIONS HEAD OFFICE</t>
  </si>
  <si>
    <t>ANN</t>
  </si>
  <si>
    <t>KHUTSO RAMALOBELA</t>
  </si>
  <si>
    <t>Noma</t>
  </si>
  <si>
    <t>POD received from cell 0849783185 M</t>
  </si>
  <si>
    <t>RANDB</t>
  </si>
  <si>
    <t>RANDBURG</t>
  </si>
  <si>
    <t>UNILOCK MANUF CC</t>
  </si>
  <si>
    <t>CHANTEL PIETER</t>
  </si>
  <si>
    <t>chantal</t>
  </si>
  <si>
    <t>POD received from cell 0769347056 M</t>
  </si>
  <si>
    <t>linco</t>
  </si>
  <si>
    <t>GYS POTGIETER</t>
  </si>
  <si>
    <t>APHELELE MONANGO</t>
  </si>
  <si>
    <t>EUGENE</t>
  </si>
  <si>
    <t>APHELELE MANANGER</t>
  </si>
  <si>
    <t>yashen</t>
  </si>
  <si>
    <t>siboniso</t>
  </si>
  <si>
    <t>PORT4</t>
  </si>
  <si>
    <t>PORT SHEPSTONE</t>
  </si>
  <si>
    <t>KISHAL HARI</t>
  </si>
  <si>
    <t>Kishal</t>
  </si>
  <si>
    <t>POD received from cell 0782434988 M</t>
  </si>
  <si>
    <t>SBONISO</t>
  </si>
  <si>
    <t>HOTAZ</t>
  </si>
  <si>
    <t>HOTAZEL</t>
  </si>
  <si>
    <t>JERRY</t>
  </si>
  <si>
    <t>ATM</t>
  </si>
  <si>
    <t>dion</t>
  </si>
  <si>
    <t>BRAKP</t>
  </si>
  <si>
    <t>BRAKPAN</t>
  </si>
  <si>
    <t>martha</t>
  </si>
  <si>
    <t>POD received from cell 0734137793 M</t>
  </si>
  <si>
    <t>M CLAASSENS</t>
  </si>
  <si>
    <t>UNILOCK MANUFACTURING CC</t>
  </si>
  <si>
    <t>DEBRA</t>
  </si>
  <si>
    <t>CHANTELL OLWAGE   PIOTR</t>
  </si>
  <si>
    <t>Flyer</t>
  </si>
  <si>
    <t>MAHMOOD BREY</t>
  </si>
  <si>
    <t>monique</t>
  </si>
  <si>
    <t>POD received from cell 0672990214 M</t>
  </si>
  <si>
    <t>ATM SOLUTIONS MIDDELBURGH</t>
  </si>
  <si>
    <t>CARIKA</t>
  </si>
  <si>
    <t>CARIKA KASSELMAN</t>
  </si>
  <si>
    <t>NATASHA OLDS</t>
  </si>
  <si>
    <t>carika</t>
  </si>
  <si>
    <t>ATM SOLURIONS</t>
  </si>
  <si>
    <t>JOE</t>
  </si>
  <si>
    <t>POD received from cell 0729194064 M</t>
  </si>
  <si>
    <t>nolwazi</t>
  </si>
  <si>
    <t>portia</t>
  </si>
  <si>
    <t>POD received from cell 0664288120 M</t>
  </si>
  <si>
    <t>MONIQUE</t>
  </si>
  <si>
    <t>WARRE</t>
  </si>
  <si>
    <t>WARRENTON</t>
  </si>
  <si>
    <t>ATM SOLUTION</t>
  </si>
  <si>
    <t>PIET</t>
  </si>
  <si>
    <t>DEBRA EMILE</t>
  </si>
  <si>
    <t>piet</t>
  </si>
  <si>
    <t>UMTAT</t>
  </si>
  <si>
    <t>UMTATA</t>
  </si>
  <si>
    <t>ZINGILE NKOSI</t>
  </si>
  <si>
    <t>YABANTU</t>
  </si>
  <si>
    <t>POD received from cell 0764958693 M</t>
  </si>
  <si>
    <t>nicodemas</t>
  </si>
  <si>
    <t>XLINK</t>
  </si>
  <si>
    <t>DUM VAN MERWE</t>
  </si>
  <si>
    <t>CHANTELLE MONE</t>
  </si>
  <si>
    <t>angelique</t>
  </si>
  <si>
    <t>POD received from cell 0813088358 M</t>
  </si>
  <si>
    <t>MHMOOD</t>
  </si>
  <si>
    <t>Eugene</t>
  </si>
  <si>
    <t>CHANTELL PIOTR</t>
  </si>
  <si>
    <t>chantall</t>
  </si>
  <si>
    <t>PETER</t>
  </si>
  <si>
    <t>MORATUWA</t>
  </si>
  <si>
    <t>ATM SOLUTIONS DURBAN</t>
  </si>
  <si>
    <t>KARUNA</t>
  </si>
  <si>
    <t>REGINALD LEGODI</t>
  </si>
  <si>
    <t>Hendrich</t>
  </si>
  <si>
    <t>POD received from cell 0813693772 M</t>
  </si>
  <si>
    <t>GEORGE CENTRAL STORAGE COMPANY</t>
  </si>
  <si>
    <t>POD received from cell 0659814186 M</t>
  </si>
  <si>
    <t>MERVLEN REDDY</t>
  </si>
  <si>
    <t>CHANTELLE-MARIE</t>
  </si>
  <si>
    <t>mervlen</t>
  </si>
  <si>
    <t>Liandra</t>
  </si>
  <si>
    <t>CALVIN KHOZA</t>
  </si>
  <si>
    <t>dan roderick</t>
  </si>
  <si>
    <t>HND / FUE / doc</t>
  </si>
  <si>
    <t>GEORGE CETRAL STORAGE COMPANY</t>
  </si>
  <si>
    <t>JOHAN MARXC</t>
  </si>
  <si>
    <t>bj desport</t>
  </si>
  <si>
    <t>MUSA</t>
  </si>
  <si>
    <t>LAWRENCE</t>
  </si>
  <si>
    <t>handrik</t>
  </si>
  <si>
    <t>WELKO</t>
  </si>
  <si>
    <t>WELKOM</t>
  </si>
  <si>
    <t>DIVAN</t>
  </si>
  <si>
    <t>WALTER</t>
  </si>
  <si>
    <t>AMT SOLUTIONS</t>
  </si>
  <si>
    <t>d ngcobo</t>
  </si>
  <si>
    <t>APHELELE MONANGA</t>
  </si>
  <si>
    <t>PHILANI MABUZA</t>
  </si>
  <si>
    <t>philoni</t>
  </si>
  <si>
    <t>sibangani</t>
  </si>
  <si>
    <t>kholofelo</t>
  </si>
  <si>
    <t>POD received from cell 0766992819 M</t>
  </si>
  <si>
    <t>ATM SOLUTIONS PORTSHEPSTONE</t>
  </si>
  <si>
    <t>CHANTELL OLWAGE / PIOTR</t>
  </si>
  <si>
    <t>FEDILITY VADH SERVICES</t>
  </si>
  <si>
    <t>REGIMAL</t>
  </si>
  <si>
    <t>DIVEN GOOZEN</t>
  </si>
  <si>
    <t>LOWRENCE</t>
  </si>
  <si>
    <t>Marcia</t>
  </si>
  <si>
    <t>POD received from cell 0663247194 M</t>
  </si>
  <si>
    <t>ATM SOLUTIONA</t>
  </si>
  <si>
    <t>LINDO KHUMALO</t>
  </si>
  <si>
    <t>JENAY</t>
  </si>
  <si>
    <t>ethienn</t>
  </si>
  <si>
    <t>ATM SOLTIONS</t>
  </si>
  <si>
    <t>KURUM</t>
  </si>
  <si>
    <t>KURUMAN</t>
  </si>
  <si>
    <t>MOTATUMA PHOTOLO</t>
  </si>
  <si>
    <t>SKYNET KLEKRSDORP</t>
  </si>
  <si>
    <t>NOCO</t>
  </si>
  <si>
    <t>ATM SOLUTIONS MAKHADO</t>
  </si>
  <si>
    <t>A T M SOLUTIONS</t>
  </si>
  <si>
    <t>MUSA STORES</t>
  </si>
  <si>
    <t>R MALULEKE</t>
  </si>
  <si>
    <t>doc</t>
  </si>
  <si>
    <t>magmood</t>
  </si>
  <si>
    <t>DOC</t>
  </si>
  <si>
    <t>MARATUMA PHOTOLO</t>
  </si>
  <si>
    <t>eugene</t>
  </si>
  <si>
    <t>doc / FUE</t>
  </si>
  <si>
    <t>musa</t>
  </si>
  <si>
    <t>JONTHAN</t>
  </si>
  <si>
    <t>POD received from cell 0721927500 M</t>
  </si>
  <si>
    <t>GEORGE CENTRAL STRAGE COMPANY</t>
  </si>
  <si>
    <t>JOHAN MARK</t>
  </si>
  <si>
    <t>m claassens</t>
  </si>
  <si>
    <t>DIVEN GOOSEN</t>
  </si>
  <si>
    <t>HND / doc</t>
  </si>
  <si>
    <t>kafuna</t>
  </si>
  <si>
    <t>SAMANHTHA</t>
  </si>
  <si>
    <t>HND / DOC / FUE</t>
  </si>
  <si>
    <t>ATM SOOLUTIONS</t>
  </si>
  <si>
    <t>GEORGES</t>
  </si>
  <si>
    <t>isaac</t>
  </si>
  <si>
    <t>POD received from cell 0646961472 M</t>
  </si>
  <si>
    <t>KARSHEN</t>
  </si>
  <si>
    <t>kershan</t>
  </si>
  <si>
    <t>MERVILEN</t>
  </si>
  <si>
    <t>ATM SULUTION</t>
  </si>
  <si>
    <t>DOC / FUE</t>
  </si>
  <si>
    <t>MARUTUMA PHOTOLO</t>
  </si>
  <si>
    <t>Musa</t>
  </si>
  <si>
    <t>nthabiseng</t>
  </si>
  <si>
    <t xml:space="preserve">Walter                        </t>
  </si>
  <si>
    <t xml:space="preserve">POD received from cell 0729194064 M     </t>
  </si>
  <si>
    <t>KEISO KHALAKI</t>
  </si>
  <si>
    <t>AAMNATH</t>
  </si>
  <si>
    <t>EAST</t>
  </si>
  <si>
    <t>EAST LONDON</t>
  </si>
  <si>
    <t>JASON</t>
  </si>
  <si>
    <t>POD received from cell 0734775152 M</t>
  </si>
  <si>
    <t>MUSA OR REGINALD</t>
  </si>
  <si>
    <t>KHUTJO</t>
  </si>
  <si>
    <t>WAREHOUSE</t>
  </si>
  <si>
    <t>ZINGILE NKOMENI</t>
  </si>
  <si>
    <t>BOXES</t>
  </si>
  <si>
    <t>LOCKS</t>
  </si>
  <si>
    <t>FLYER</t>
  </si>
  <si>
    <t>ROSE</t>
  </si>
  <si>
    <t>duan</t>
  </si>
  <si>
    <t>ALLCASH TECHNOLOGIES</t>
  </si>
  <si>
    <t>UNILOCK MANUF</t>
  </si>
  <si>
    <t>CHANTELL   PIOTR</t>
  </si>
  <si>
    <t>t carm</t>
  </si>
  <si>
    <t>MORATUMO PHOTOLO</t>
  </si>
  <si>
    <t>igaruna</t>
  </si>
  <si>
    <t>Siboniso</t>
  </si>
  <si>
    <t>MORATUMO PHUTOLO</t>
  </si>
  <si>
    <t>ATMN</t>
  </si>
  <si>
    <t>DUAN</t>
  </si>
  <si>
    <t>ATM SOLUTIONS GEORGE CENTRAL</t>
  </si>
  <si>
    <t>ATM SOLLOCKS</t>
  </si>
  <si>
    <t>Moratuwa</t>
  </si>
  <si>
    <t>LINCOCK MANUFACTURING</t>
  </si>
  <si>
    <t>CHANTEL PIOTR</t>
  </si>
  <si>
    <t>SATM SOLUTIONS</t>
  </si>
  <si>
    <t>APHELELE MANANGO</t>
  </si>
  <si>
    <t>JOHN MULLER</t>
  </si>
  <si>
    <t>APHELELE MENANGA</t>
  </si>
  <si>
    <t>jerry</t>
  </si>
  <si>
    <t>APHELELE MENANYA</t>
  </si>
  <si>
    <t>FIDELOTY CASH SERVICES</t>
  </si>
  <si>
    <t>R MALULULEKE</t>
  </si>
  <si>
    <t>SBOMISO MANQELE</t>
  </si>
  <si>
    <t>FCS NELSPRUIT[FEDELITY]</t>
  </si>
  <si>
    <t>sicelo</t>
  </si>
  <si>
    <t>POD received from cell 0607336702 M</t>
  </si>
  <si>
    <t>ruth</t>
  </si>
  <si>
    <t>MERLEN REDDY</t>
  </si>
  <si>
    <t>Karuna</t>
  </si>
  <si>
    <t>GEORGE CENTRAL STORAGE</t>
  </si>
  <si>
    <t>JENNY</t>
  </si>
  <si>
    <t>ATN=M SOLUTIONS</t>
  </si>
  <si>
    <t>Hein</t>
  </si>
  <si>
    <t>MBONGENI ERNEST</t>
  </si>
  <si>
    <t>KEISA KHALAKI</t>
  </si>
  <si>
    <t>CLIVIANIEKERK</t>
  </si>
  <si>
    <t>REGINAL LEGONDI</t>
  </si>
  <si>
    <t>ON2</t>
  </si>
  <si>
    <t>CHANTELL</t>
  </si>
  <si>
    <t>RAJESH</t>
  </si>
  <si>
    <t>chantell</t>
  </si>
  <si>
    <t>ATM SOLUTIONS JHB</t>
  </si>
  <si>
    <t>anne</t>
  </si>
  <si>
    <t>POD received from cell 0797074161 M</t>
  </si>
  <si>
    <t>MOTATUMA PHOLOLO</t>
  </si>
  <si>
    <t>GULIVAN</t>
  </si>
  <si>
    <t>SAMNTHA</t>
  </si>
  <si>
    <t>kishal</t>
  </si>
  <si>
    <t>KAGISO NTUANE</t>
  </si>
  <si>
    <t>tshepo</t>
  </si>
  <si>
    <t>POD received from cell 0679952741 M</t>
  </si>
  <si>
    <t>TSATSI</t>
  </si>
  <si>
    <t>POD received from cell 0725847551 M</t>
  </si>
  <si>
    <t>RAHUL T</t>
  </si>
  <si>
    <t>ATM SOLUTIONS GEORGE</t>
  </si>
  <si>
    <t>JOHAN MARX   COERT SMIT</t>
  </si>
  <si>
    <t>PAYCORP  - ATM SOLUTIONS HEAD</t>
  </si>
  <si>
    <t>ANN NOMA</t>
  </si>
  <si>
    <t>Anne</t>
  </si>
  <si>
    <t>GULIVAN NAUDE RYDEEN DOUTIE</t>
  </si>
  <si>
    <t>sibonso</t>
  </si>
  <si>
    <t>ATM Solutions</t>
  </si>
  <si>
    <t>Jerome Hein</t>
  </si>
  <si>
    <t>ATM SOL LOCKS</t>
  </si>
  <si>
    <t>PRUDENCE BASSON</t>
  </si>
  <si>
    <t>ROBERT RABULANGANI</t>
  </si>
  <si>
    <t>ARM SOLUTIONS</t>
  </si>
  <si>
    <t>LAWRENCE MODIKA</t>
  </si>
  <si>
    <t>Lawrence</t>
  </si>
  <si>
    <t>R MALULEKA</t>
  </si>
  <si>
    <t>kershen</t>
  </si>
  <si>
    <t>POD received from cell 0796819054 M</t>
  </si>
  <si>
    <t>MERVEN</t>
  </si>
  <si>
    <t>KISHAL</t>
  </si>
  <si>
    <t>LADYS</t>
  </si>
  <si>
    <t>LADYSMITH (NTL)</t>
  </si>
  <si>
    <t>KYLE</t>
  </si>
  <si>
    <t>ELDA</t>
  </si>
  <si>
    <t>POD received from cell 0733056816 M</t>
  </si>
  <si>
    <t>braam</t>
  </si>
  <si>
    <t>MANHMOOD</t>
  </si>
  <si>
    <t>LOCKS ADMIN</t>
  </si>
  <si>
    <t>m classens</t>
  </si>
  <si>
    <t>licon</t>
  </si>
  <si>
    <t>DERBRA EMILE</t>
  </si>
  <si>
    <t>POD received from cell 0665494598 M</t>
  </si>
  <si>
    <t>JASIN</t>
  </si>
  <si>
    <t>POD received from cell 0612041892 M</t>
  </si>
  <si>
    <t>\</t>
  </si>
  <si>
    <t>FCS NELSPRUIT</t>
  </si>
  <si>
    <t>MULLER</t>
  </si>
  <si>
    <t>LINCO</t>
  </si>
  <si>
    <t>blessing</t>
  </si>
  <si>
    <t>POD received from cell 0767078577 M</t>
  </si>
  <si>
    <t>ZINGILE</t>
  </si>
  <si>
    <t xml:space="preserve">zingile                       </t>
  </si>
  <si>
    <t xml:space="preserve">                                        </t>
  </si>
  <si>
    <t xml:space="preserve">PAYCORP  - ATM SOLUTIONS HEAD OFFICE </t>
  </si>
  <si>
    <t>ANN/NOMA</t>
  </si>
  <si>
    <t>7 DELPHI STREET</t>
  </si>
  <si>
    <t>MELVILEN</t>
  </si>
  <si>
    <t>MARVLEN</t>
  </si>
  <si>
    <t>DJ DELPORT</t>
  </si>
  <si>
    <t>fridey</t>
  </si>
  <si>
    <t>YASHEN</t>
  </si>
  <si>
    <t>PETER LETSOLO</t>
  </si>
  <si>
    <t>VERWO</t>
  </si>
  <si>
    <t>CENTURION</t>
  </si>
  <si>
    <t>HIGE CONNECTA</t>
  </si>
  <si>
    <t>ADRI</t>
  </si>
  <si>
    <t>Dwight</t>
  </si>
  <si>
    <t>POD received from cell 0769790129 M</t>
  </si>
  <si>
    <t>X LINK</t>
  </si>
  <si>
    <t>yanga</t>
  </si>
  <si>
    <t>KAGISO NTVANE</t>
  </si>
  <si>
    <t>REGINAL LEGODI</t>
  </si>
  <si>
    <t>KETO</t>
  </si>
  <si>
    <t>ATM SOL</t>
  </si>
  <si>
    <t>ELDA BEAUTY INC</t>
  </si>
  <si>
    <t>POD received from cell 0734787843 M</t>
  </si>
  <si>
    <t>DIVAN GOOSEN</t>
  </si>
  <si>
    <t>nthabeleng</t>
  </si>
  <si>
    <t>POD received from cell 0823051341 M</t>
  </si>
  <si>
    <t>NAMHAMOOD</t>
  </si>
  <si>
    <t>Etthienn</t>
  </si>
  <si>
    <t>sbangani</t>
  </si>
  <si>
    <t>UNIULOCK MANUFACTURING</t>
  </si>
  <si>
    <t>Chantal</t>
  </si>
  <si>
    <t>Casey</t>
  </si>
  <si>
    <t>KEMPT</t>
  </si>
  <si>
    <t>KEMPTON PARK</t>
  </si>
  <si>
    <t>ATM SELUTION</t>
  </si>
  <si>
    <t>BABYLON</t>
  </si>
  <si>
    <t>MORATUMA PHOTHOLO</t>
  </si>
  <si>
    <t>REGINALD</t>
  </si>
  <si>
    <t>CHANTELE MANE</t>
  </si>
  <si>
    <t>moniwue</t>
  </si>
  <si>
    <t>M classens</t>
  </si>
  <si>
    <t>KEISO</t>
  </si>
  <si>
    <t>CHAROZA</t>
  </si>
  <si>
    <t>DIVON</t>
  </si>
  <si>
    <t>UNILOCK MANUFACTURING</t>
  </si>
  <si>
    <t>ATM SOLUTIIONS</t>
  </si>
  <si>
    <t>MUSA REGINALD</t>
  </si>
  <si>
    <t>MORATUMA THOTOLO</t>
  </si>
  <si>
    <t>MBONGENI</t>
  </si>
  <si>
    <t xml:space="preserve">PAYCORP - ATM SOLUTIONS HEAD OFFICE </t>
  </si>
  <si>
    <t>t carr</t>
  </si>
  <si>
    <t xml:space="preserve">ATM SOLUTIONS </t>
  </si>
  <si>
    <t xml:space="preserve">DEBRA </t>
  </si>
  <si>
    <t>PIETER MULLER</t>
  </si>
  <si>
    <t>muller</t>
  </si>
  <si>
    <t>Moses</t>
  </si>
  <si>
    <t>vanessa</t>
  </si>
  <si>
    <t>POD received from cell 0644881838 M</t>
  </si>
  <si>
    <t>ATMS OLUTIONS</t>
  </si>
  <si>
    <t>LEGODI</t>
  </si>
  <si>
    <t>Kagiso</t>
  </si>
  <si>
    <t>Monique</t>
  </si>
  <si>
    <t>CINGLE</t>
  </si>
  <si>
    <t>ATM SOLUTIONS - PE</t>
  </si>
  <si>
    <t>WITKOS</t>
  </si>
  <si>
    <t>A Adams</t>
  </si>
  <si>
    <t>ATT: HERBERT 083 600 7629</t>
  </si>
  <si>
    <t>TRAINING DEPT</t>
  </si>
  <si>
    <t>ELLEN MTAMBO</t>
  </si>
  <si>
    <t>COERT</t>
  </si>
  <si>
    <t>FIELIDITY</t>
  </si>
  <si>
    <t>NTSUABISENG</t>
  </si>
  <si>
    <t>boitumelo</t>
  </si>
  <si>
    <t>POD received from cell 0730208133 M</t>
  </si>
  <si>
    <t>REGINALDS LEGODI</t>
  </si>
  <si>
    <t>moosa</t>
  </si>
  <si>
    <t>POD received from cell 0820855021 M</t>
  </si>
  <si>
    <t>FOS RUSTENBURG</t>
  </si>
  <si>
    <t>NICOLEMUS</t>
  </si>
  <si>
    <t>Tshego</t>
  </si>
  <si>
    <t>POD received from cell 0780871237 M</t>
  </si>
  <si>
    <t>SATORES</t>
  </si>
  <si>
    <t>ATM SOLUTIOMNS</t>
  </si>
  <si>
    <t>MARITA</t>
  </si>
  <si>
    <t>Dion</t>
  </si>
  <si>
    <t>PHOTOLO</t>
  </si>
  <si>
    <t xml:space="preserve">Reginald                      </t>
  </si>
  <si>
    <t xml:space="preserve">POD received from cell 0813693772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</si>
</sst>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B937-7442-43A9-BEFE-DA88CC575D32}">
  <dimension ref="A1:CN297"/>
  <sheetViews>
    <sheetView tabSelected="1" topLeftCell="A287" workbookViewId="0">
      <selection activeCell="A298" sqref="A298:XFD530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"009941857133"</f>
        <v>009941857133</v>
      </c>
      <c r="F2" s="3">
        <v>44827</v>
      </c>
      <c r="G2">
        <v>202306</v>
      </c>
      <c r="H2" t="s">
        <v>75</v>
      </c>
      <c r="I2" t="s">
        <v>76</v>
      </c>
      <c r="J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""</f>
        <v/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176.99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57.7</v>
      </c>
      <c r="BJ2">
        <v>72.7</v>
      </c>
      <c r="BK2">
        <v>73</v>
      </c>
      <c r="BL2">
        <v>467.7</v>
      </c>
      <c r="BM2">
        <v>70.16</v>
      </c>
      <c r="BN2">
        <v>537.86</v>
      </c>
      <c r="BO2">
        <v>537.86</v>
      </c>
      <c r="BR2" t="s">
        <v>78</v>
      </c>
      <c r="BS2" s="3">
        <v>44832</v>
      </c>
      <c r="BT2" s="4">
        <v>0.33819444444444446</v>
      </c>
      <c r="BU2" t="s">
        <v>82</v>
      </c>
      <c r="BV2" t="s">
        <v>83</v>
      </c>
      <c r="BY2">
        <v>363528</v>
      </c>
      <c r="BZ2" t="s">
        <v>84</v>
      </c>
      <c r="CC2" t="s">
        <v>79</v>
      </c>
      <c r="CD2">
        <v>2000</v>
      </c>
      <c r="CE2" t="s">
        <v>85</v>
      </c>
      <c r="CI2">
        <v>3</v>
      </c>
      <c r="CJ2">
        <v>3</v>
      </c>
      <c r="CK2">
        <v>41</v>
      </c>
    </row>
    <row r="3" spans="1:92" x14ac:dyDescent="0.3">
      <c r="A3" t="s">
        <v>72</v>
      </c>
      <c r="B3" t="s">
        <v>73</v>
      </c>
      <c r="C3" t="s">
        <v>74</v>
      </c>
      <c r="E3" t="str">
        <f>"009942569034"</f>
        <v>009942569034</v>
      </c>
      <c r="F3" s="3">
        <v>44830</v>
      </c>
      <c r="G3">
        <v>202306</v>
      </c>
      <c r="H3" t="s">
        <v>86</v>
      </c>
      <c r="I3" t="s">
        <v>87</v>
      </c>
      <c r="J3" t="s">
        <v>80</v>
      </c>
      <c r="L3" t="s">
        <v>88</v>
      </c>
      <c r="M3" t="s">
        <v>89</v>
      </c>
      <c r="N3" t="s">
        <v>80</v>
      </c>
      <c r="O3" t="s">
        <v>81</v>
      </c>
      <c r="P3" t="str">
        <f>""</f>
        <v/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73.63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197.63</v>
      </c>
      <c r="BM3">
        <v>29.64</v>
      </c>
      <c r="BN3">
        <v>227.27</v>
      </c>
      <c r="BO3">
        <v>227.27</v>
      </c>
      <c r="BQ3" t="s">
        <v>90</v>
      </c>
      <c r="BR3" t="s">
        <v>91</v>
      </c>
      <c r="BS3" s="3">
        <v>44831</v>
      </c>
      <c r="BT3" s="4">
        <v>0.56041666666666667</v>
      </c>
      <c r="BU3" t="s">
        <v>92</v>
      </c>
      <c r="BV3" t="s">
        <v>83</v>
      </c>
      <c r="BY3">
        <v>1200</v>
      </c>
      <c r="BZ3" t="s">
        <v>84</v>
      </c>
      <c r="CA3" t="s">
        <v>93</v>
      </c>
      <c r="CC3" t="s">
        <v>89</v>
      </c>
      <c r="CD3">
        <v>300</v>
      </c>
      <c r="CE3" t="s">
        <v>85</v>
      </c>
      <c r="CI3">
        <v>4</v>
      </c>
      <c r="CJ3">
        <v>1</v>
      </c>
      <c r="CK3">
        <v>43</v>
      </c>
    </row>
    <row r="4" spans="1:92" x14ac:dyDescent="0.3">
      <c r="A4" t="s">
        <v>72</v>
      </c>
      <c r="B4" t="s">
        <v>73</v>
      </c>
      <c r="C4" t="s">
        <v>74</v>
      </c>
      <c r="E4" t="str">
        <f>"009941945370"</f>
        <v>009941945370</v>
      </c>
      <c r="F4" s="3">
        <v>44830</v>
      </c>
      <c r="G4">
        <v>202306</v>
      </c>
      <c r="H4" t="s">
        <v>94</v>
      </c>
      <c r="I4" t="s">
        <v>95</v>
      </c>
      <c r="J4" t="s">
        <v>80</v>
      </c>
      <c r="L4" t="s">
        <v>96</v>
      </c>
      <c r="M4" t="s">
        <v>97</v>
      </c>
      <c r="N4" t="s">
        <v>80</v>
      </c>
      <c r="O4" t="s">
        <v>81</v>
      </c>
      <c r="P4" t="str">
        <f>""</f>
        <v/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52.2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7</v>
      </c>
      <c r="BJ4">
        <v>6.5</v>
      </c>
      <c r="BK4">
        <v>7</v>
      </c>
      <c r="BL4">
        <v>141.65</v>
      </c>
      <c r="BM4">
        <v>21.25</v>
      </c>
      <c r="BN4">
        <v>162.9</v>
      </c>
      <c r="BO4">
        <v>162.9</v>
      </c>
      <c r="BQ4" t="s">
        <v>98</v>
      </c>
      <c r="BR4" t="s">
        <v>99</v>
      </c>
      <c r="BS4" s="3">
        <v>44831</v>
      </c>
      <c r="BT4" s="4">
        <v>0.38750000000000001</v>
      </c>
      <c r="BU4" t="s">
        <v>100</v>
      </c>
      <c r="BV4" t="s">
        <v>83</v>
      </c>
      <c r="BY4">
        <v>31200</v>
      </c>
      <c r="BZ4" t="s">
        <v>84</v>
      </c>
      <c r="CA4" t="s">
        <v>101</v>
      </c>
      <c r="CC4" t="s">
        <v>97</v>
      </c>
      <c r="CD4">
        <v>2146</v>
      </c>
      <c r="CE4" t="s">
        <v>85</v>
      </c>
      <c r="CI4">
        <v>3</v>
      </c>
      <c r="CJ4">
        <v>1</v>
      </c>
      <c r="CK4">
        <v>41</v>
      </c>
    </row>
    <row r="5" spans="1:92" x14ac:dyDescent="0.3">
      <c r="A5" t="s">
        <v>72</v>
      </c>
      <c r="B5" t="s">
        <v>73</v>
      </c>
      <c r="C5" t="s">
        <v>74</v>
      </c>
      <c r="E5" t="str">
        <f>"009942131991"</f>
        <v>009942131991</v>
      </c>
      <c r="F5" s="3">
        <v>44830</v>
      </c>
      <c r="G5">
        <v>202306</v>
      </c>
      <c r="H5" t="s">
        <v>96</v>
      </c>
      <c r="I5" t="s">
        <v>97</v>
      </c>
      <c r="J5" t="s">
        <v>80</v>
      </c>
      <c r="L5" t="s">
        <v>102</v>
      </c>
      <c r="M5" t="s">
        <v>103</v>
      </c>
      <c r="N5" t="s">
        <v>104</v>
      </c>
      <c r="O5" t="s">
        <v>105</v>
      </c>
      <c r="P5" t="str">
        <f t="shared" ref="P5:P19" si="0">"LOCKS"</f>
        <v>LOCKS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64.11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0.6</v>
      </c>
      <c r="BJ5">
        <v>2.4</v>
      </c>
      <c r="BK5">
        <v>2.5</v>
      </c>
      <c r="BL5">
        <v>167.52</v>
      </c>
      <c r="BM5">
        <v>25.13</v>
      </c>
      <c r="BN5">
        <v>192.65</v>
      </c>
      <c r="BO5">
        <v>192.65</v>
      </c>
      <c r="BQ5" t="s">
        <v>106</v>
      </c>
      <c r="BR5" t="s">
        <v>107</v>
      </c>
      <c r="BS5" s="3">
        <v>44831</v>
      </c>
      <c r="BT5" s="4">
        <v>0.60486111111111118</v>
      </c>
      <c r="BU5" t="s">
        <v>108</v>
      </c>
      <c r="BV5" t="s">
        <v>109</v>
      </c>
      <c r="BY5">
        <v>11842.61</v>
      </c>
      <c r="BZ5" t="s">
        <v>110</v>
      </c>
      <c r="CA5" t="s">
        <v>111</v>
      </c>
      <c r="CC5" t="s">
        <v>103</v>
      </c>
      <c r="CD5">
        <v>920</v>
      </c>
      <c r="CE5" t="s">
        <v>85</v>
      </c>
      <c r="CI5">
        <v>1</v>
      </c>
      <c r="CJ5">
        <v>1</v>
      </c>
      <c r="CK5">
        <v>23</v>
      </c>
    </row>
    <row r="6" spans="1:92" x14ac:dyDescent="0.3">
      <c r="A6" t="s">
        <v>72</v>
      </c>
      <c r="B6" t="s">
        <v>73</v>
      </c>
      <c r="C6" t="s">
        <v>74</v>
      </c>
      <c r="E6" t="str">
        <f>"009941209306"</f>
        <v>009941209306</v>
      </c>
      <c r="F6" s="3">
        <v>44830</v>
      </c>
      <c r="G6">
        <v>202306</v>
      </c>
      <c r="H6" t="s">
        <v>96</v>
      </c>
      <c r="I6" t="s">
        <v>97</v>
      </c>
      <c r="J6" t="s">
        <v>80</v>
      </c>
      <c r="L6" t="s">
        <v>112</v>
      </c>
      <c r="M6" t="s">
        <v>113</v>
      </c>
      <c r="N6" t="s">
        <v>80</v>
      </c>
      <c r="O6" t="s">
        <v>105</v>
      </c>
      <c r="P6" t="str">
        <f t="shared" si="0"/>
        <v>LOCKS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47.23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1.3</v>
      </c>
      <c r="BJ6">
        <v>3.3</v>
      </c>
      <c r="BK6">
        <v>3.5</v>
      </c>
      <c r="BL6">
        <v>123.41</v>
      </c>
      <c r="BM6">
        <v>18.510000000000002</v>
      </c>
      <c r="BN6">
        <v>141.91999999999999</v>
      </c>
      <c r="BO6">
        <v>141.91999999999999</v>
      </c>
      <c r="BQ6" t="s">
        <v>114</v>
      </c>
      <c r="BR6" t="s">
        <v>115</v>
      </c>
      <c r="BS6" s="3">
        <v>44831</v>
      </c>
      <c r="BT6" s="4">
        <v>0.41944444444444445</v>
      </c>
      <c r="BU6" t="s">
        <v>116</v>
      </c>
      <c r="BV6" t="s">
        <v>83</v>
      </c>
      <c r="BY6">
        <v>16588.64</v>
      </c>
      <c r="BZ6" t="s">
        <v>110</v>
      </c>
      <c r="CC6" t="s">
        <v>113</v>
      </c>
      <c r="CD6">
        <v>9300</v>
      </c>
      <c r="CE6" t="s">
        <v>85</v>
      </c>
      <c r="CI6">
        <v>1</v>
      </c>
      <c r="CJ6">
        <v>1</v>
      </c>
      <c r="CK6">
        <v>21</v>
      </c>
    </row>
    <row r="7" spans="1:92" x14ac:dyDescent="0.3">
      <c r="A7" t="s">
        <v>72</v>
      </c>
      <c r="B7" t="s">
        <v>73</v>
      </c>
      <c r="C7" t="s">
        <v>74</v>
      </c>
      <c r="E7" t="str">
        <f>"009941310032"</f>
        <v>009941310032</v>
      </c>
      <c r="F7" s="3">
        <v>44830</v>
      </c>
      <c r="G7">
        <v>202306</v>
      </c>
      <c r="H7" t="s">
        <v>96</v>
      </c>
      <c r="I7" t="s">
        <v>97</v>
      </c>
      <c r="J7" t="s">
        <v>80</v>
      </c>
      <c r="L7" t="s">
        <v>88</v>
      </c>
      <c r="M7" t="s">
        <v>89</v>
      </c>
      <c r="N7" t="s">
        <v>80</v>
      </c>
      <c r="O7" t="s">
        <v>105</v>
      </c>
      <c r="P7" t="str">
        <f t="shared" si="0"/>
        <v>LOCKS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87.74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1.3</v>
      </c>
      <c r="BJ7">
        <v>3.5</v>
      </c>
      <c r="BK7">
        <v>3.5</v>
      </c>
      <c r="BL7">
        <v>229.25</v>
      </c>
      <c r="BM7">
        <v>34.39</v>
      </c>
      <c r="BN7">
        <v>263.64</v>
      </c>
      <c r="BO7">
        <v>263.64</v>
      </c>
      <c r="BQ7" t="s">
        <v>117</v>
      </c>
      <c r="BR7" t="s">
        <v>115</v>
      </c>
      <c r="BS7" s="3">
        <v>44831</v>
      </c>
      <c r="BT7" s="4">
        <v>0.375</v>
      </c>
      <c r="BU7" t="s">
        <v>118</v>
      </c>
      <c r="BV7" t="s">
        <v>83</v>
      </c>
      <c r="BY7">
        <v>17427.599999999999</v>
      </c>
      <c r="BZ7" t="s">
        <v>110</v>
      </c>
      <c r="CC7" t="s">
        <v>89</v>
      </c>
      <c r="CD7">
        <v>300</v>
      </c>
      <c r="CE7" t="s">
        <v>85</v>
      </c>
      <c r="CI7">
        <v>1</v>
      </c>
      <c r="CJ7">
        <v>1</v>
      </c>
      <c r="CK7">
        <v>23</v>
      </c>
    </row>
    <row r="8" spans="1:92" x14ac:dyDescent="0.3">
      <c r="A8" t="s">
        <v>72</v>
      </c>
      <c r="B8" t="s">
        <v>73</v>
      </c>
      <c r="C8" t="s">
        <v>74</v>
      </c>
      <c r="E8" t="str">
        <f>"009941310251"</f>
        <v>009941310251</v>
      </c>
      <c r="F8" s="3">
        <v>44830</v>
      </c>
      <c r="G8">
        <v>202306</v>
      </c>
      <c r="H8" t="s">
        <v>96</v>
      </c>
      <c r="I8" t="s">
        <v>97</v>
      </c>
      <c r="J8" t="s">
        <v>80</v>
      </c>
      <c r="L8" t="s">
        <v>119</v>
      </c>
      <c r="M8" t="s">
        <v>120</v>
      </c>
      <c r="N8" t="s">
        <v>80</v>
      </c>
      <c r="O8" t="s">
        <v>105</v>
      </c>
      <c r="P8" t="str">
        <f t="shared" si="0"/>
        <v>LOCKS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26.99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0.9</v>
      </c>
      <c r="BJ8">
        <v>1.8</v>
      </c>
      <c r="BK8">
        <v>2</v>
      </c>
      <c r="BL8">
        <v>70.53</v>
      </c>
      <c r="BM8">
        <v>10.58</v>
      </c>
      <c r="BN8">
        <v>81.11</v>
      </c>
      <c r="BO8">
        <v>81.11</v>
      </c>
      <c r="BQ8" t="s">
        <v>115</v>
      </c>
      <c r="BR8" t="s">
        <v>121</v>
      </c>
      <c r="BS8" s="3">
        <v>44831</v>
      </c>
      <c r="BT8" s="4">
        <v>0.39930555555555558</v>
      </c>
      <c r="BU8" t="s">
        <v>122</v>
      </c>
      <c r="BV8" t="s">
        <v>83</v>
      </c>
      <c r="BY8">
        <v>9078.2999999999993</v>
      </c>
      <c r="BZ8" t="s">
        <v>110</v>
      </c>
      <c r="CA8" t="s">
        <v>123</v>
      </c>
      <c r="CC8" t="s">
        <v>120</v>
      </c>
      <c r="CD8">
        <v>4091</v>
      </c>
      <c r="CE8" t="s">
        <v>85</v>
      </c>
      <c r="CI8">
        <v>1</v>
      </c>
      <c r="CJ8">
        <v>1</v>
      </c>
      <c r="CK8">
        <v>21</v>
      </c>
    </row>
    <row r="9" spans="1:92" x14ac:dyDescent="0.3">
      <c r="A9" t="s">
        <v>72</v>
      </c>
      <c r="B9" t="s">
        <v>73</v>
      </c>
      <c r="C9" t="s">
        <v>74</v>
      </c>
      <c r="E9" t="str">
        <f>"009941618594"</f>
        <v>009941618594</v>
      </c>
      <c r="F9" s="3">
        <v>44830</v>
      </c>
      <c r="G9">
        <v>202306</v>
      </c>
      <c r="H9" t="s">
        <v>96</v>
      </c>
      <c r="I9" t="s">
        <v>97</v>
      </c>
      <c r="J9" t="s">
        <v>80</v>
      </c>
      <c r="L9" t="s">
        <v>88</v>
      </c>
      <c r="M9" t="s">
        <v>89</v>
      </c>
      <c r="N9" t="s">
        <v>80</v>
      </c>
      <c r="O9" t="s">
        <v>105</v>
      </c>
      <c r="P9" t="str">
        <f t="shared" si="0"/>
        <v>LOCKS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75.930000000000007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1.4</v>
      </c>
      <c r="BJ9">
        <v>3</v>
      </c>
      <c r="BK9">
        <v>3</v>
      </c>
      <c r="BL9">
        <v>198.39</v>
      </c>
      <c r="BM9">
        <v>29.76</v>
      </c>
      <c r="BN9">
        <v>228.15</v>
      </c>
      <c r="BO9">
        <v>228.15</v>
      </c>
      <c r="BQ9" t="s">
        <v>117</v>
      </c>
      <c r="BR9" t="s">
        <v>124</v>
      </c>
      <c r="BS9" s="3">
        <v>44831</v>
      </c>
      <c r="BT9" s="4">
        <v>0.375</v>
      </c>
      <c r="BU9" t="s">
        <v>118</v>
      </c>
      <c r="BV9" t="s">
        <v>83</v>
      </c>
      <c r="BY9">
        <v>15145.04</v>
      </c>
      <c r="BZ9" t="s">
        <v>110</v>
      </c>
      <c r="CC9" t="s">
        <v>89</v>
      </c>
      <c r="CD9">
        <v>300</v>
      </c>
      <c r="CE9" t="s">
        <v>85</v>
      </c>
      <c r="CI9">
        <v>1</v>
      </c>
      <c r="CJ9">
        <v>1</v>
      </c>
      <c r="CK9">
        <v>23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"009941735734"</f>
        <v>009941735734</v>
      </c>
      <c r="F10" s="3">
        <v>44830</v>
      </c>
      <c r="G10">
        <v>202306</v>
      </c>
      <c r="H10" t="s">
        <v>96</v>
      </c>
      <c r="I10" t="s">
        <v>97</v>
      </c>
      <c r="J10" t="s">
        <v>80</v>
      </c>
      <c r="L10" t="s">
        <v>125</v>
      </c>
      <c r="M10" t="s">
        <v>126</v>
      </c>
      <c r="N10" t="s">
        <v>127</v>
      </c>
      <c r="O10" t="s">
        <v>105</v>
      </c>
      <c r="P10" t="str">
        <f t="shared" si="0"/>
        <v>LOCKS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26.99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70.53</v>
      </c>
      <c r="BM10">
        <v>10.58</v>
      </c>
      <c r="BN10">
        <v>81.11</v>
      </c>
      <c r="BO10">
        <v>81.11</v>
      </c>
      <c r="BQ10" t="s">
        <v>128</v>
      </c>
      <c r="BR10" t="s">
        <v>129</v>
      </c>
      <c r="BS10" s="3">
        <v>44832</v>
      </c>
      <c r="BT10" s="4">
        <v>0.34097222222222223</v>
      </c>
      <c r="BU10" t="s">
        <v>130</v>
      </c>
      <c r="BV10" t="s">
        <v>109</v>
      </c>
      <c r="BY10">
        <v>1200</v>
      </c>
      <c r="BZ10" t="s">
        <v>110</v>
      </c>
      <c r="CC10" t="s">
        <v>126</v>
      </c>
      <c r="CD10">
        <v>3200</v>
      </c>
      <c r="CE10" t="s">
        <v>85</v>
      </c>
      <c r="CI10">
        <v>1</v>
      </c>
      <c r="CJ10">
        <v>2</v>
      </c>
      <c r="CK10">
        <v>21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"009942600889"</f>
        <v>009942600889</v>
      </c>
      <c r="F11" s="3">
        <v>44830</v>
      </c>
      <c r="G11">
        <v>202306</v>
      </c>
      <c r="H11" t="s">
        <v>96</v>
      </c>
      <c r="I11" t="s">
        <v>97</v>
      </c>
      <c r="J11" t="s">
        <v>80</v>
      </c>
      <c r="L11" t="s">
        <v>131</v>
      </c>
      <c r="M11" t="s">
        <v>132</v>
      </c>
      <c r="N11" t="s">
        <v>80</v>
      </c>
      <c r="O11" t="s">
        <v>105</v>
      </c>
      <c r="P11" t="str">
        <f t="shared" si="0"/>
        <v>LOCKS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75.930000000000007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</v>
      </c>
      <c r="BJ11">
        <v>2.9</v>
      </c>
      <c r="BK11">
        <v>3</v>
      </c>
      <c r="BL11">
        <v>198.39</v>
      </c>
      <c r="BM11">
        <v>29.76</v>
      </c>
      <c r="BN11">
        <v>228.15</v>
      </c>
      <c r="BO11">
        <v>228.15</v>
      </c>
      <c r="BQ11" t="s">
        <v>133</v>
      </c>
      <c r="BR11" t="s">
        <v>107</v>
      </c>
      <c r="BS11" s="3">
        <v>44831</v>
      </c>
      <c r="BT11" s="4">
        <v>0.67013888888888884</v>
      </c>
      <c r="BU11" t="s">
        <v>134</v>
      </c>
      <c r="BV11" t="s">
        <v>83</v>
      </c>
      <c r="BY11">
        <v>14395.39</v>
      </c>
      <c r="BZ11" t="s">
        <v>110</v>
      </c>
      <c r="CA11" t="s">
        <v>135</v>
      </c>
      <c r="CC11" t="s">
        <v>132</v>
      </c>
      <c r="CD11">
        <v>1150</v>
      </c>
      <c r="CE11" t="s">
        <v>85</v>
      </c>
      <c r="CI11">
        <v>1</v>
      </c>
      <c r="CJ11">
        <v>1</v>
      </c>
      <c r="CK11">
        <v>23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"009941618881"</f>
        <v>009941618881</v>
      </c>
      <c r="F12" s="3">
        <v>44810</v>
      </c>
      <c r="G12">
        <v>202306</v>
      </c>
      <c r="H12" t="s">
        <v>96</v>
      </c>
      <c r="I12" t="s">
        <v>97</v>
      </c>
      <c r="J12" t="s">
        <v>80</v>
      </c>
      <c r="L12" t="s">
        <v>136</v>
      </c>
      <c r="M12" t="s">
        <v>137</v>
      </c>
      <c r="N12" t="s">
        <v>80</v>
      </c>
      <c r="O12" t="s">
        <v>105</v>
      </c>
      <c r="P12" t="str">
        <f t="shared" si="0"/>
        <v>LOCKS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60.32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0.5</v>
      </c>
      <c r="BK12">
        <v>1</v>
      </c>
      <c r="BL12">
        <v>144.68</v>
      </c>
      <c r="BM12">
        <v>21.7</v>
      </c>
      <c r="BN12">
        <v>166.38</v>
      </c>
      <c r="BO12">
        <v>166.38</v>
      </c>
      <c r="BQ12" t="s">
        <v>138</v>
      </c>
      <c r="BR12" t="s">
        <v>124</v>
      </c>
      <c r="BS12" s="3">
        <v>44811</v>
      </c>
      <c r="BT12" s="4">
        <v>0.40138888888888885</v>
      </c>
      <c r="BU12" t="s">
        <v>139</v>
      </c>
      <c r="BV12" t="s">
        <v>83</v>
      </c>
      <c r="BY12">
        <v>2400</v>
      </c>
      <c r="BZ12" t="s">
        <v>110</v>
      </c>
      <c r="CA12" t="s">
        <v>140</v>
      </c>
      <c r="CC12" t="s">
        <v>137</v>
      </c>
      <c r="CD12">
        <v>1034</v>
      </c>
      <c r="CE12" t="s">
        <v>85</v>
      </c>
      <c r="CI12">
        <v>1</v>
      </c>
      <c r="CJ12">
        <v>1</v>
      </c>
      <c r="CK12">
        <v>23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"009941567839"</f>
        <v>009941567839</v>
      </c>
      <c r="F13" s="3">
        <v>44831</v>
      </c>
      <c r="G13">
        <v>202306</v>
      </c>
      <c r="H13" t="s">
        <v>96</v>
      </c>
      <c r="I13" t="s">
        <v>97</v>
      </c>
      <c r="J13" t="s">
        <v>80</v>
      </c>
      <c r="L13" t="s">
        <v>141</v>
      </c>
      <c r="M13" t="s">
        <v>142</v>
      </c>
      <c r="N13" t="s">
        <v>80</v>
      </c>
      <c r="O13" t="s">
        <v>105</v>
      </c>
      <c r="P13" t="str">
        <f t="shared" si="0"/>
        <v>LOCKS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229.47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9.5</v>
      </c>
      <c r="BJ13">
        <v>1.9</v>
      </c>
      <c r="BK13">
        <v>9.5</v>
      </c>
      <c r="BL13">
        <v>614.58000000000004</v>
      </c>
      <c r="BM13">
        <v>92.19</v>
      </c>
      <c r="BN13">
        <v>706.77</v>
      </c>
      <c r="BO13">
        <v>706.77</v>
      </c>
      <c r="BQ13" t="s">
        <v>143</v>
      </c>
      <c r="BR13" t="s">
        <v>144</v>
      </c>
      <c r="BS13" t="s">
        <v>145</v>
      </c>
      <c r="BY13">
        <v>9724.0499999999993</v>
      </c>
      <c r="BZ13" t="s">
        <v>146</v>
      </c>
      <c r="CC13" t="s">
        <v>142</v>
      </c>
      <c r="CD13">
        <v>2745</v>
      </c>
      <c r="CE13" t="s">
        <v>85</v>
      </c>
      <c r="CI13">
        <v>1</v>
      </c>
      <c r="CJ13" t="s">
        <v>145</v>
      </c>
      <c r="CK13">
        <v>23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"009941291467"</f>
        <v>009941291467</v>
      </c>
      <c r="F14" s="3">
        <v>44831</v>
      </c>
      <c r="G14">
        <v>202306</v>
      </c>
      <c r="H14" t="s">
        <v>96</v>
      </c>
      <c r="I14" t="s">
        <v>97</v>
      </c>
      <c r="J14" t="s">
        <v>80</v>
      </c>
      <c r="L14" t="s">
        <v>147</v>
      </c>
      <c r="M14" t="s">
        <v>148</v>
      </c>
      <c r="N14" t="s">
        <v>80</v>
      </c>
      <c r="O14" t="s">
        <v>81</v>
      </c>
      <c r="P14" t="str">
        <f t="shared" si="0"/>
        <v>LOCKS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67.260000000000005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10.7</v>
      </c>
      <c r="BJ14">
        <v>21.2</v>
      </c>
      <c r="BK14">
        <v>22</v>
      </c>
      <c r="BL14">
        <v>181</v>
      </c>
      <c r="BM14">
        <v>27.15</v>
      </c>
      <c r="BN14">
        <v>208.15</v>
      </c>
      <c r="BO14">
        <v>208.15</v>
      </c>
      <c r="BQ14" t="s">
        <v>115</v>
      </c>
      <c r="BR14" t="s">
        <v>149</v>
      </c>
      <c r="BS14" t="s">
        <v>145</v>
      </c>
      <c r="BY14">
        <v>106036.65</v>
      </c>
      <c r="BZ14" t="s">
        <v>84</v>
      </c>
      <c r="CC14" t="s">
        <v>148</v>
      </c>
      <c r="CD14">
        <v>8000</v>
      </c>
      <c r="CE14" t="s">
        <v>85</v>
      </c>
      <c r="CI14">
        <v>3</v>
      </c>
      <c r="CJ14" t="s">
        <v>145</v>
      </c>
      <c r="CK14">
        <v>41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"009941332859"</f>
        <v>009941332859</v>
      </c>
      <c r="F15" s="3">
        <v>44831</v>
      </c>
      <c r="G15">
        <v>202306</v>
      </c>
      <c r="H15" t="s">
        <v>96</v>
      </c>
      <c r="I15" t="s">
        <v>97</v>
      </c>
      <c r="J15" t="s">
        <v>80</v>
      </c>
      <c r="L15" t="s">
        <v>119</v>
      </c>
      <c r="M15" t="s">
        <v>120</v>
      </c>
      <c r="N15" t="s">
        <v>80</v>
      </c>
      <c r="O15" t="s">
        <v>81</v>
      </c>
      <c r="P15" t="str">
        <f t="shared" si="0"/>
        <v>LOCKS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56.51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12.4</v>
      </c>
      <c r="BJ15">
        <v>16.2</v>
      </c>
      <c r="BK15">
        <v>17</v>
      </c>
      <c r="BL15">
        <v>152.9</v>
      </c>
      <c r="BM15">
        <v>22.94</v>
      </c>
      <c r="BN15">
        <v>175.84</v>
      </c>
      <c r="BO15">
        <v>175.84</v>
      </c>
      <c r="BQ15" t="s">
        <v>115</v>
      </c>
      <c r="BS15" s="3">
        <v>44832</v>
      </c>
      <c r="BT15" s="4">
        <v>0.40208333333333335</v>
      </c>
      <c r="BU15" t="s">
        <v>122</v>
      </c>
      <c r="BV15" t="s">
        <v>83</v>
      </c>
      <c r="BY15">
        <v>81034.240000000005</v>
      </c>
      <c r="BZ15" t="s">
        <v>84</v>
      </c>
      <c r="CA15" t="s">
        <v>123</v>
      </c>
      <c r="CC15" t="s">
        <v>120</v>
      </c>
      <c r="CD15">
        <v>4091</v>
      </c>
      <c r="CE15" t="s">
        <v>85</v>
      </c>
      <c r="CI15">
        <v>4</v>
      </c>
      <c r="CJ15">
        <v>1</v>
      </c>
      <c r="CK15">
        <v>41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"009941675379"</f>
        <v>009941675379</v>
      </c>
      <c r="F16" s="3">
        <v>44831</v>
      </c>
      <c r="G16">
        <v>202306</v>
      </c>
      <c r="H16" t="s">
        <v>136</v>
      </c>
      <c r="I16" t="s">
        <v>137</v>
      </c>
      <c r="J16" t="s">
        <v>150</v>
      </c>
      <c r="L16" t="s">
        <v>151</v>
      </c>
      <c r="M16" t="s">
        <v>152</v>
      </c>
      <c r="N16" t="s">
        <v>153</v>
      </c>
      <c r="O16" t="s">
        <v>81</v>
      </c>
      <c r="P16" t="str">
        <f t="shared" si="0"/>
        <v>LOCKS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73.63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197.63</v>
      </c>
      <c r="BM16">
        <v>29.64</v>
      </c>
      <c r="BN16">
        <v>227.27</v>
      </c>
      <c r="BO16">
        <v>227.27</v>
      </c>
      <c r="BQ16" t="s">
        <v>154</v>
      </c>
      <c r="BR16" t="s">
        <v>155</v>
      </c>
      <c r="BS16" s="3">
        <v>44832</v>
      </c>
      <c r="BT16" s="4">
        <v>0.39930555555555558</v>
      </c>
      <c r="BU16" t="s">
        <v>156</v>
      </c>
      <c r="BV16" t="s">
        <v>83</v>
      </c>
      <c r="BY16">
        <v>1200</v>
      </c>
      <c r="BZ16" t="s">
        <v>84</v>
      </c>
      <c r="CA16" t="s">
        <v>157</v>
      </c>
      <c r="CC16" t="s">
        <v>152</v>
      </c>
      <c r="CD16">
        <v>1682</v>
      </c>
      <c r="CE16" t="s">
        <v>85</v>
      </c>
      <c r="CI16">
        <v>0</v>
      </c>
      <c r="CJ16">
        <v>0</v>
      </c>
      <c r="CK16">
        <v>43</v>
      </c>
    </row>
    <row r="17" spans="1:89" x14ac:dyDescent="0.3">
      <c r="A17" t="s">
        <v>72</v>
      </c>
      <c r="B17" t="s">
        <v>73</v>
      </c>
      <c r="C17" t="s">
        <v>74</v>
      </c>
      <c r="E17" t="str">
        <f>"009942724035"</f>
        <v>009942724035</v>
      </c>
      <c r="F17" s="3">
        <v>44831</v>
      </c>
      <c r="G17">
        <v>202306</v>
      </c>
      <c r="H17" t="s">
        <v>96</v>
      </c>
      <c r="I17" t="s">
        <v>97</v>
      </c>
      <c r="J17" t="s">
        <v>80</v>
      </c>
      <c r="L17" t="s">
        <v>158</v>
      </c>
      <c r="M17" t="s">
        <v>159</v>
      </c>
      <c r="N17" t="s">
        <v>80</v>
      </c>
      <c r="O17" t="s">
        <v>81</v>
      </c>
      <c r="P17" t="str">
        <f t="shared" si="0"/>
        <v>LOCKS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73.63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6.2</v>
      </c>
      <c r="BJ17">
        <v>10.3</v>
      </c>
      <c r="BK17">
        <v>11</v>
      </c>
      <c r="BL17">
        <v>197.63</v>
      </c>
      <c r="BM17">
        <v>29.64</v>
      </c>
      <c r="BN17">
        <v>227.27</v>
      </c>
      <c r="BO17">
        <v>227.27</v>
      </c>
      <c r="BQ17" t="s">
        <v>160</v>
      </c>
      <c r="BR17" t="s">
        <v>107</v>
      </c>
      <c r="BS17" s="3">
        <v>44832</v>
      </c>
      <c r="BT17" s="4">
        <v>0.34722222222222227</v>
      </c>
      <c r="BU17" t="s">
        <v>161</v>
      </c>
      <c r="BV17" t="s">
        <v>83</v>
      </c>
      <c r="BY17">
        <v>51377.4</v>
      </c>
      <c r="BZ17" t="s">
        <v>84</v>
      </c>
      <c r="CC17" t="s">
        <v>159</v>
      </c>
      <c r="CD17">
        <v>2940</v>
      </c>
      <c r="CE17" t="s">
        <v>85</v>
      </c>
      <c r="CI17">
        <v>4</v>
      </c>
      <c r="CJ17">
        <v>1</v>
      </c>
      <c r="CK17">
        <v>43</v>
      </c>
    </row>
    <row r="18" spans="1:89" x14ac:dyDescent="0.3">
      <c r="A18" t="s">
        <v>72</v>
      </c>
      <c r="B18" t="s">
        <v>73</v>
      </c>
      <c r="C18" t="s">
        <v>74</v>
      </c>
      <c r="E18" t="str">
        <f>"009942724034"</f>
        <v>009942724034</v>
      </c>
      <c r="F18" s="3">
        <v>44831</v>
      </c>
      <c r="G18">
        <v>202306</v>
      </c>
      <c r="H18" t="s">
        <v>96</v>
      </c>
      <c r="I18" t="s">
        <v>97</v>
      </c>
      <c r="J18" t="s">
        <v>80</v>
      </c>
      <c r="L18" t="s">
        <v>162</v>
      </c>
      <c r="M18" t="s">
        <v>163</v>
      </c>
      <c r="N18" t="s">
        <v>80</v>
      </c>
      <c r="O18" t="s">
        <v>81</v>
      </c>
      <c r="P18" t="str">
        <f t="shared" si="0"/>
        <v>LOCKS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52.2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8.3000000000000007</v>
      </c>
      <c r="BJ18">
        <v>14</v>
      </c>
      <c r="BK18">
        <v>14</v>
      </c>
      <c r="BL18">
        <v>141.65</v>
      </c>
      <c r="BM18">
        <v>21.25</v>
      </c>
      <c r="BN18">
        <v>162.9</v>
      </c>
      <c r="BO18">
        <v>162.9</v>
      </c>
      <c r="BQ18" t="s">
        <v>164</v>
      </c>
      <c r="BR18" t="s">
        <v>107</v>
      </c>
      <c r="BS18" s="3">
        <v>44834</v>
      </c>
      <c r="BT18" s="4">
        <v>0.70833333333333337</v>
      </c>
      <c r="BU18" t="s">
        <v>165</v>
      </c>
      <c r="BV18" t="s">
        <v>83</v>
      </c>
      <c r="BY18">
        <v>69758.64</v>
      </c>
      <c r="BZ18" t="s">
        <v>84</v>
      </c>
      <c r="CC18" t="s">
        <v>163</v>
      </c>
      <c r="CD18">
        <v>3900</v>
      </c>
      <c r="CE18" t="s">
        <v>85</v>
      </c>
      <c r="CI18">
        <v>3</v>
      </c>
      <c r="CJ18">
        <v>3</v>
      </c>
      <c r="CK18">
        <v>41</v>
      </c>
    </row>
    <row r="19" spans="1:89" x14ac:dyDescent="0.3">
      <c r="A19" t="s">
        <v>72</v>
      </c>
      <c r="B19" t="s">
        <v>73</v>
      </c>
      <c r="C19" t="s">
        <v>74</v>
      </c>
      <c r="E19" t="str">
        <f>"009941332858"</f>
        <v>009941332858</v>
      </c>
      <c r="F19" s="3">
        <v>44831</v>
      </c>
      <c r="G19">
        <v>202306</v>
      </c>
      <c r="H19" t="s">
        <v>96</v>
      </c>
      <c r="I19" t="s">
        <v>97</v>
      </c>
      <c r="J19" t="s">
        <v>80</v>
      </c>
      <c r="L19" t="s">
        <v>119</v>
      </c>
      <c r="M19" t="s">
        <v>120</v>
      </c>
      <c r="N19" t="s">
        <v>80</v>
      </c>
      <c r="O19" t="s">
        <v>105</v>
      </c>
      <c r="P19" t="str">
        <f t="shared" si="0"/>
        <v>LOCKS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26.99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1.8</v>
      </c>
      <c r="BK19">
        <v>2</v>
      </c>
      <c r="BL19">
        <v>70.53</v>
      </c>
      <c r="BM19">
        <v>10.58</v>
      </c>
      <c r="BN19">
        <v>81.11</v>
      </c>
      <c r="BO19">
        <v>81.11</v>
      </c>
      <c r="BQ19" t="s">
        <v>115</v>
      </c>
      <c r="BR19" t="s">
        <v>115</v>
      </c>
      <c r="BS19" s="3">
        <v>44832</v>
      </c>
      <c r="BT19" s="4">
        <v>0.40138888888888885</v>
      </c>
      <c r="BU19" t="s">
        <v>122</v>
      </c>
      <c r="BV19" t="s">
        <v>83</v>
      </c>
      <c r="BY19">
        <v>9137.7000000000007</v>
      </c>
      <c r="BZ19" t="s">
        <v>110</v>
      </c>
      <c r="CA19" t="s">
        <v>123</v>
      </c>
      <c r="CC19" t="s">
        <v>120</v>
      </c>
      <c r="CD19">
        <v>4091</v>
      </c>
      <c r="CE19" t="s">
        <v>85</v>
      </c>
      <c r="CI19">
        <v>1</v>
      </c>
      <c r="CJ19">
        <v>1</v>
      </c>
      <c r="CK19">
        <v>21</v>
      </c>
    </row>
    <row r="20" spans="1:89" x14ac:dyDescent="0.3">
      <c r="A20" t="s">
        <v>72</v>
      </c>
      <c r="B20" t="s">
        <v>73</v>
      </c>
      <c r="C20" t="s">
        <v>74</v>
      </c>
      <c r="E20" t="str">
        <f>"009941108141"</f>
        <v>009941108141</v>
      </c>
      <c r="F20" s="3">
        <v>44806</v>
      </c>
      <c r="G20">
        <v>202306</v>
      </c>
      <c r="H20" t="s">
        <v>88</v>
      </c>
      <c r="I20" t="s">
        <v>89</v>
      </c>
      <c r="J20" t="s">
        <v>166</v>
      </c>
      <c r="L20" t="s">
        <v>78</v>
      </c>
      <c r="M20" t="s">
        <v>79</v>
      </c>
      <c r="N20" t="s">
        <v>80</v>
      </c>
      <c r="O20" t="s">
        <v>81</v>
      </c>
      <c r="P20" t="str">
        <f>"PARTS"</f>
        <v>PARTS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353.99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2</v>
      </c>
      <c r="BI20">
        <v>41</v>
      </c>
      <c r="BJ20">
        <v>76.3</v>
      </c>
      <c r="BK20">
        <v>77</v>
      </c>
      <c r="BL20">
        <v>854.33</v>
      </c>
      <c r="BM20">
        <v>128.15</v>
      </c>
      <c r="BN20">
        <v>982.48</v>
      </c>
      <c r="BO20">
        <v>982.48</v>
      </c>
      <c r="BQ20" t="s">
        <v>167</v>
      </c>
      <c r="BR20" t="s">
        <v>168</v>
      </c>
      <c r="BS20" s="3">
        <v>44809</v>
      </c>
      <c r="BT20" s="4">
        <v>0.56041666666666667</v>
      </c>
      <c r="BU20" t="s">
        <v>169</v>
      </c>
      <c r="BV20" t="s">
        <v>83</v>
      </c>
      <c r="BY20">
        <v>190836</v>
      </c>
      <c r="BZ20" t="s">
        <v>110</v>
      </c>
      <c r="CA20" t="s">
        <v>170</v>
      </c>
      <c r="CC20" t="s">
        <v>79</v>
      </c>
      <c r="CD20">
        <v>2196</v>
      </c>
      <c r="CE20" t="s">
        <v>85</v>
      </c>
      <c r="CI20">
        <v>3</v>
      </c>
      <c r="CJ20">
        <v>1</v>
      </c>
      <c r="CK20">
        <v>43</v>
      </c>
    </row>
    <row r="21" spans="1:89" x14ac:dyDescent="0.3">
      <c r="A21" t="s">
        <v>72</v>
      </c>
      <c r="B21" t="s">
        <v>73</v>
      </c>
      <c r="C21" t="s">
        <v>74</v>
      </c>
      <c r="E21" t="str">
        <f>"009941310219"</f>
        <v>009941310219</v>
      </c>
      <c r="F21" s="3">
        <v>44831</v>
      </c>
      <c r="G21">
        <v>202306</v>
      </c>
      <c r="H21" t="s">
        <v>96</v>
      </c>
      <c r="I21" t="s">
        <v>97</v>
      </c>
      <c r="J21" t="s">
        <v>80</v>
      </c>
      <c r="L21" t="s">
        <v>119</v>
      </c>
      <c r="M21" t="s">
        <v>120</v>
      </c>
      <c r="N21" t="s">
        <v>80</v>
      </c>
      <c r="O21" t="s">
        <v>105</v>
      </c>
      <c r="P21" t="str">
        <f>"LOCKS"</f>
        <v>LOCKS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26.99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</v>
      </c>
      <c r="BJ21">
        <v>0.4</v>
      </c>
      <c r="BK21">
        <v>2</v>
      </c>
      <c r="BL21">
        <v>70.53</v>
      </c>
      <c r="BM21">
        <v>10.58</v>
      </c>
      <c r="BN21">
        <v>81.11</v>
      </c>
      <c r="BO21">
        <v>81.11</v>
      </c>
      <c r="BQ21" t="s">
        <v>115</v>
      </c>
      <c r="BR21" t="s">
        <v>124</v>
      </c>
      <c r="BS21" s="3">
        <v>44832</v>
      </c>
      <c r="BT21" s="4">
        <v>0.39930555555555558</v>
      </c>
      <c r="BU21" t="s">
        <v>122</v>
      </c>
      <c r="BV21" t="s">
        <v>83</v>
      </c>
      <c r="BY21">
        <v>1800</v>
      </c>
      <c r="BZ21" t="s">
        <v>110</v>
      </c>
      <c r="CA21" t="s">
        <v>123</v>
      </c>
      <c r="CC21" t="s">
        <v>120</v>
      </c>
      <c r="CD21">
        <v>4091</v>
      </c>
      <c r="CE21" t="s">
        <v>85</v>
      </c>
      <c r="CI21">
        <v>1</v>
      </c>
      <c r="CJ21">
        <v>1</v>
      </c>
      <c r="CK21">
        <v>21</v>
      </c>
    </row>
    <row r="22" spans="1:89" x14ac:dyDescent="0.3">
      <c r="A22" t="s">
        <v>72</v>
      </c>
      <c r="B22" t="s">
        <v>73</v>
      </c>
      <c r="C22" t="s">
        <v>74</v>
      </c>
      <c r="E22" t="str">
        <f>"009941108147"</f>
        <v>009941108147</v>
      </c>
      <c r="F22" s="3">
        <v>44811</v>
      </c>
      <c r="G22">
        <v>202306</v>
      </c>
      <c r="H22" t="s">
        <v>141</v>
      </c>
      <c r="I22" t="s">
        <v>142</v>
      </c>
      <c r="J22" t="s">
        <v>80</v>
      </c>
      <c r="L22" t="s">
        <v>171</v>
      </c>
      <c r="M22" t="s">
        <v>172</v>
      </c>
      <c r="N22" t="s">
        <v>80</v>
      </c>
      <c r="O22" t="s">
        <v>81</v>
      </c>
      <c r="P22" t="str">
        <f>""</f>
        <v/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15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57.65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</v>
      </c>
      <c r="BJ22">
        <v>3</v>
      </c>
      <c r="BK22">
        <v>4</v>
      </c>
      <c r="BL22">
        <v>170.89</v>
      </c>
      <c r="BM22">
        <v>25.63</v>
      </c>
      <c r="BN22">
        <v>196.52</v>
      </c>
      <c r="BO22">
        <v>196.52</v>
      </c>
      <c r="BQ22" t="s">
        <v>173</v>
      </c>
      <c r="BS22" s="3">
        <v>44813</v>
      </c>
      <c r="BT22" s="4">
        <v>0.70416666666666661</v>
      </c>
      <c r="BU22" t="s">
        <v>174</v>
      </c>
      <c r="BV22" t="s">
        <v>109</v>
      </c>
      <c r="BY22">
        <v>15120</v>
      </c>
      <c r="BZ22" t="s">
        <v>175</v>
      </c>
      <c r="CA22" t="s">
        <v>176</v>
      </c>
      <c r="CC22" t="s">
        <v>172</v>
      </c>
      <c r="CD22">
        <v>8600</v>
      </c>
      <c r="CE22" t="s">
        <v>177</v>
      </c>
      <c r="CI22">
        <v>4</v>
      </c>
      <c r="CJ22">
        <v>2</v>
      </c>
      <c r="CK22">
        <v>44</v>
      </c>
    </row>
    <row r="23" spans="1:89" x14ac:dyDescent="0.3">
      <c r="A23" t="s">
        <v>72</v>
      </c>
      <c r="B23" t="s">
        <v>73</v>
      </c>
      <c r="C23" t="s">
        <v>74</v>
      </c>
      <c r="E23" t="str">
        <f>"009942724033"</f>
        <v>009942724033</v>
      </c>
      <c r="F23" s="3">
        <v>44830</v>
      </c>
      <c r="G23">
        <v>202306</v>
      </c>
      <c r="H23" t="s">
        <v>96</v>
      </c>
      <c r="I23" t="s">
        <v>97</v>
      </c>
      <c r="J23" t="s">
        <v>80</v>
      </c>
      <c r="L23" t="s">
        <v>178</v>
      </c>
      <c r="M23" t="s">
        <v>179</v>
      </c>
      <c r="N23" t="s">
        <v>80</v>
      </c>
      <c r="O23" t="s">
        <v>105</v>
      </c>
      <c r="P23" t="str">
        <f t="shared" ref="P23:P32" si="1">"LOCKS"</f>
        <v>LOCKS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593.63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44</v>
      </c>
      <c r="BJ23">
        <v>13.7</v>
      </c>
      <c r="BK23">
        <v>44</v>
      </c>
      <c r="BL23">
        <v>1551.09</v>
      </c>
      <c r="BM23">
        <v>232.66</v>
      </c>
      <c r="BN23">
        <v>1783.75</v>
      </c>
      <c r="BO23">
        <v>1783.75</v>
      </c>
      <c r="BQ23" t="s">
        <v>180</v>
      </c>
      <c r="BR23" t="s">
        <v>107</v>
      </c>
      <c r="BS23" s="3">
        <v>44831</v>
      </c>
      <c r="BT23" s="4">
        <v>0.61736111111111114</v>
      </c>
      <c r="BU23" t="s">
        <v>181</v>
      </c>
      <c r="BV23" t="s">
        <v>109</v>
      </c>
      <c r="BY23">
        <v>68250</v>
      </c>
      <c r="BZ23" t="s">
        <v>110</v>
      </c>
      <c r="CA23" t="s">
        <v>182</v>
      </c>
      <c r="CC23" t="s">
        <v>179</v>
      </c>
      <c r="CD23">
        <v>1200</v>
      </c>
      <c r="CE23" t="s">
        <v>85</v>
      </c>
      <c r="CI23">
        <v>1</v>
      </c>
      <c r="CJ23">
        <v>1</v>
      </c>
      <c r="CK23">
        <v>21</v>
      </c>
    </row>
    <row r="24" spans="1:89" x14ac:dyDescent="0.3">
      <c r="A24" t="s">
        <v>72</v>
      </c>
      <c r="B24" t="s">
        <v>73</v>
      </c>
      <c r="C24" t="s">
        <v>74</v>
      </c>
      <c r="E24" t="str">
        <f>"009941310033"</f>
        <v>009941310033</v>
      </c>
      <c r="F24" s="3">
        <v>44832</v>
      </c>
      <c r="G24">
        <v>202306</v>
      </c>
      <c r="H24" t="s">
        <v>96</v>
      </c>
      <c r="I24" t="s">
        <v>97</v>
      </c>
      <c r="J24" t="s">
        <v>80</v>
      </c>
      <c r="L24" t="s">
        <v>88</v>
      </c>
      <c r="M24" t="s">
        <v>89</v>
      </c>
      <c r="N24" t="s">
        <v>183</v>
      </c>
      <c r="O24" t="s">
        <v>81</v>
      </c>
      <c r="P24" t="str">
        <f t="shared" si="1"/>
        <v>LOCKS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182.76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9.1999999999999993</v>
      </c>
      <c r="BJ24">
        <v>43.7</v>
      </c>
      <c r="BK24">
        <v>44</v>
      </c>
      <c r="BL24">
        <v>482.79</v>
      </c>
      <c r="BM24">
        <v>72.42</v>
      </c>
      <c r="BN24">
        <v>555.21</v>
      </c>
      <c r="BO24">
        <v>555.21</v>
      </c>
      <c r="BQ24" t="s">
        <v>117</v>
      </c>
      <c r="BR24" t="s">
        <v>184</v>
      </c>
      <c r="BS24" s="3">
        <v>44833</v>
      </c>
      <c r="BT24" s="4">
        <v>0.47638888888888892</v>
      </c>
      <c r="BU24" t="s">
        <v>185</v>
      </c>
      <c r="BV24" t="s">
        <v>83</v>
      </c>
      <c r="BY24">
        <v>218684.27</v>
      </c>
      <c r="BZ24" t="s">
        <v>84</v>
      </c>
      <c r="CA24" t="s">
        <v>93</v>
      </c>
      <c r="CC24" t="s">
        <v>89</v>
      </c>
      <c r="CD24">
        <v>300</v>
      </c>
      <c r="CE24" t="s">
        <v>85</v>
      </c>
      <c r="CI24">
        <v>4</v>
      </c>
      <c r="CJ24">
        <v>1</v>
      </c>
      <c r="CK24">
        <v>43</v>
      </c>
    </row>
    <row r="25" spans="1:89" x14ac:dyDescent="0.3">
      <c r="A25" t="s">
        <v>72</v>
      </c>
      <c r="B25" t="s">
        <v>73</v>
      </c>
      <c r="C25" t="s">
        <v>74</v>
      </c>
      <c r="E25" t="str">
        <f>"009942600730"</f>
        <v>009942600730</v>
      </c>
      <c r="F25" s="3">
        <v>44832</v>
      </c>
      <c r="G25">
        <v>202306</v>
      </c>
      <c r="H25" t="s">
        <v>96</v>
      </c>
      <c r="I25" t="s">
        <v>97</v>
      </c>
      <c r="J25" t="s">
        <v>80</v>
      </c>
      <c r="L25" t="s">
        <v>186</v>
      </c>
      <c r="M25" t="s">
        <v>187</v>
      </c>
      <c r="N25" t="s">
        <v>80</v>
      </c>
      <c r="O25" t="s">
        <v>105</v>
      </c>
      <c r="P25" t="str">
        <f t="shared" si="1"/>
        <v>LOCKS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26.99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70.53</v>
      </c>
      <c r="BM25">
        <v>10.58</v>
      </c>
      <c r="BN25">
        <v>81.11</v>
      </c>
      <c r="BO25">
        <v>81.11</v>
      </c>
      <c r="BQ25" t="s">
        <v>115</v>
      </c>
      <c r="BR25" t="s">
        <v>107</v>
      </c>
      <c r="BS25" s="3">
        <v>44833</v>
      </c>
      <c r="BT25" s="4">
        <v>0.42152777777777778</v>
      </c>
      <c r="BU25" t="s">
        <v>188</v>
      </c>
      <c r="BV25" t="s">
        <v>83</v>
      </c>
      <c r="BY25">
        <v>1200</v>
      </c>
      <c r="BZ25" t="s">
        <v>110</v>
      </c>
      <c r="CA25" t="s">
        <v>189</v>
      </c>
      <c r="CC25" t="s">
        <v>187</v>
      </c>
      <c r="CD25">
        <v>6045</v>
      </c>
      <c r="CE25" t="s">
        <v>85</v>
      </c>
      <c r="CI25">
        <v>1</v>
      </c>
      <c r="CJ25">
        <v>1</v>
      </c>
      <c r="CK25">
        <v>21</v>
      </c>
    </row>
    <row r="26" spans="1:89" x14ac:dyDescent="0.3">
      <c r="A26" t="s">
        <v>72</v>
      </c>
      <c r="B26" t="s">
        <v>73</v>
      </c>
      <c r="C26" t="s">
        <v>74</v>
      </c>
      <c r="E26" t="str">
        <f>"009941209442"</f>
        <v>009941209442</v>
      </c>
      <c r="F26" s="3">
        <v>44832</v>
      </c>
      <c r="G26">
        <v>202306</v>
      </c>
      <c r="H26" t="s">
        <v>96</v>
      </c>
      <c r="I26" t="s">
        <v>97</v>
      </c>
      <c r="J26" t="s">
        <v>80</v>
      </c>
      <c r="L26" t="s">
        <v>75</v>
      </c>
      <c r="M26" t="s">
        <v>76</v>
      </c>
      <c r="N26" t="s">
        <v>190</v>
      </c>
      <c r="O26" t="s">
        <v>105</v>
      </c>
      <c r="P26" t="str">
        <f t="shared" si="1"/>
        <v>LOCKS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33.74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0.9</v>
      </c>
      <c r="BJ26">
        <v>2.2000000000000002</v>
      </c>
      <c r="BK26">
        <v>2.5</v>
      </c>
      <c r="BL26">
        <v>88.16</v>
      </c>
      <c r="BM26">
        <v>13.22</v>
      </c>
      <c r="BN26">
        <v>101.38</v>
      </c>
      <c r="BO26">
        <v>101.38</v>
      </c>
      <c r="BQ26" t="s">
        <v>191</v>
      </c>
      <c r="BR26" t="s">
        <v>115</v>
      </c>
      <c r="BS26" s="3">
        <v>44833</v>
      </c>
      <c r="BT26" s="4">
        <v>0.43402777777777773</v>
      </c>
      <c r="BU26" t="s">
        <v>192</v>
      </c>
      <c r="BV26" t="s">
        <v>83</v>
      </c>
      <c r="BY26">
        <v>10797.02</v>
      </c>
      <c r="BZ26" t="s">
        <v>110</v>
      </c>
      <c r="CC26" t="s">
        <v>76</v>
      </c>
      <c r="CD26">
        <v>6536</v>
      </c>
      <c r="CE26" t="s">
        <v>85</v>
      </c>
      <c r="CI26">
        <v>1</v>
      </c>
      <c r="CJ26">
        <v>1</v>
      </c>
      <c r="CK26">
        <v>21</v>
      </c>
    </row>
    <row r="27" spans="1:89" x14ac:dyDescent="0.3">
      <c r="A27" t="s">
        <v>72</v>
      </c>
      <c r="B27" t="s">
        <v>73</v>
      </c>
      <c r="C27" t="s">
        <v>74</v>
      </c>
      <c r="E27" t="str">
        <f>"009941856069"</f>
        <v>009941856069</v>
      </c>
      <c r="F27" s="3">
        <v>44832</v>
      </c>
      <c r="G27">
        <v>202306</v>
      </c>
      <c r="H27" t="s">
        <v>96</v>
      </c>
      <c r="I27" t="s">
        <v>97</v>
      </c>
      <c r="J27" t="s">
        <v>80</v>
      </c>
      <c r="L27" t="s">
        <v>147</v>
      </c>
      <c r="M27" t="s">
        <v>148</v>
      </c>
      <c r="N27" t="s">
        <v>80</v>
      </c>
      <c r="O27" t="s">
        <v>105</v>
      </c>
      <c r="P27" t="str">
        <f t="shared" si="1"/>
        <v>LOCKS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40.49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0.8</v>
      </c>
      <c r="BJ27">
        <v>3</v>
      </c>
      <c r="BK27">
        <v>3</v>
      </c>
      <c r="BL27">
        <v>105.79</v>
      </c>
      <c r="BM27">
        <v>15.87</v>
      </c>
      <c r="BN27">
        <v>121.66</v>
      </c>
      <c r="BO27">
        <v>121.66</v>
      </c>
      <c r="BQ27" t="s">
        <v>193</v>
      </c>
      <c r="BR27" t="s">
        <v>107</v>
      </c>
      <c r="BS27" s="3">
        <v>44833</v>
      </c>
      <c r="BT27" s="4">
        <v>0.34722222222222227</v>
      </c>
      <c r="BU27" t="s">
        <v>194</v>
      </c>
      <c r="BV27" t="s">
        <v>83</v>
      </c>
      <c r="BY27">
        <v>15009.78</v>
      </c>
      <c r="BZ27" t="s">
        <v>110</v>
      </c>
      <c r="CA27" t="s">
        <v>195</v>
      </c>
      <c r="CC27" t="s">
        <v>148</v>
      </c>
      <c r="CD27">
        <v>7925</v>
      </c>
      <c r="CE27" t="s">
        <v>85</v>
      </c>
      <c r="CI27">
        <v>1</v>
      </c>
      <c r="CJ27">
        <v>1</v>
      </c>
      <c r="CK27">
        <v>21</v>
      </c>
    </row>
    <row r="28" spans="1:89" x14ac:dyDescent="0.3">
      <c r="A28" t="s">
        <v>72</v>
      </c>
      <c r="B28" t="s">
        <v>73</v>
      </c>
      <c r="C28" t="s">
        <v>74</v>
      </c>
      <c r="E28" t="str">
        <f>"009941332857"</f>
        <v>009941332857</v>
      </c>
      <c r="F28" s="3">
        <v>44832</v>
      </c>
      <c r="G28">
        <v>202306</v>
      </c>
      <c r="H28" t="s">
        <v>96</v>
      </c>
      <c r="I28" t="s">
        <v>97</v>
      </c>
      <c r="J28" t="s">
        <v>80</v>
      </c>
      <c r="L28" t="s">
        <v>119</v>
      </c>
      <c r="M28" t="s">
        <v>120</v>
      </c>
      <c r="N28" t="s">
        <v>80</v>
      </c>
      <c r="O28" t="s">
        <v>81</v>
      </c>
      <c r="P28" t="str">
        <f t="shared" si="1"/>
        <v>LOCKS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84.48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15.7</v>
      </c>
      <c r="BJ28">
        <v>30</v>
      </c>
      <c r="BK28">
        <v>30</v>
      </c>
      <c r="BL28">
        <v>225.98</v>
      </c>
      <c r="BM28">
        <v>33.9</v>
      </c>
      <c r="BN28">
        <v>259.88</v>
      </c>
      <c r="BO28">
        <v>259.88</v>
      </c>
      <c r="BQ28" t="s">
        <v>196</v>
      </c>
      <c r="BR28" t="s">
        <v>115</v>
      </c>
      <c r="BS28" s="3">
        <v>44833</v>
      </c>
      <c r="BT28" s="4">
        <v>0.60416666666666663</v>
      </c>
      <c r="BU28" t="s">
        <v>197</v>
      </c>
      <c r="BV28" t="s">
        <v>83</v>
      </c>
      <c r="BY28">
        <v>150249.17000000001</v>
      </c>
      <c r="BZ28" t="s">
        <v>84</v>
      </c>
      <c r="CA28" t="s">
        <v>198</v>
      </c>
      <c r="CC28" t="s">
        <v>120</v>
      </c>
      <c r="CD28">
        <v>4091</v>
      </c>
      <c r="CE28" t="s">
        <v>85</v>
      </c>
      <c r="CI28">
        <v>4</v>
      </c>
      <c r="CJ28">
        <v>1</v>
      </c>
      <c r="CK28">
        <v>41</v>
      </c>
    </row>
    <row r="29" spans="1:89" x14ac:dyDescent="0.3">
      <c r="A29" t="s">
        <v>72</v>
      </c>
      <c r="B29" t="s">
        <v>73</v>
      </c>
      <c r="C29" t="s">
        <v>74</v>
      </c>
      <c r="E29" t="str">
        <f>"009942724036"</f>
        <v>009942724036</v>
      </c>
      <c r="F29" s="3">
        <v>44832</v>
      </c>
      <c r="G29">
        <v>202306</v>
      </c>
      <c r="H29" t="s">
        <v>96</v>
      </c>
      <c r="I29" t="s">
        <v>97</v>
      </c>
      <c r="J29" t="s">
        <v>80</v>
      </c>
      <c r="L29" t="s">
        <v>199</v>
      </c>
      <c r="M29" t="s">
        <v>200</v>
      </c>
      <c r="N29" t="s">
        <v>80</v>
      </c>
      <c r="O29" t="s">
        <v>81</v>
      </c>
      <c r="P29" t="str">
        <f t="shared" si="1"/>
        <v>LOCKS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175.24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7.8</v>
      </c>
      <c r="BJ29">
        <v>41.8</v>
      </c>
      <c r="BK29">
        <v>42</v>
      </c>
      <c r="BL29">
        <v>463.13</v>
      </c>
      <c r="BM29">
        <v>69.47</v>
      </c>
      <c r="BN29">
        <v>532.6</v>
      </c>
      <c r="BO29">
        <v>532.6</v>
      </c>
      <c r="BQ29" t="s">
        <v>201</v>
      </c>
      <c r="BR29" t="s">
        <v>107</v>
      </c>
      <c r="BS29" s="3">
        <v>44833</v>
      </c>
      <c r="BT29" s="4">
        <v>0.61875000000000002</v>
      </c>
      <c r="BU29" t="s">
        <v>202</v>
      </c>
      <c r="BV29" t="s">
        <v>83</v>
      </c>
      <c r="BY29">
        <v>209072.72</v>
      </c>
      <c r="BZ29" t="s">
        <v>84</v>
      </c>
      <c r="CC29" t="s">
        <v>200</v>
      </c>
      <c r="CD29">
        <v>9700</v>
      </c>
      <c r="CE29" t="s">
        <v>85</v>
      </c>
      <c r="CI29">
        <v>4</v>
      </c>
      <c r="CJ29">
        <v>1</v>
      </c>
      <c r="CK29">
        <v>43</v>
      </c>
    </row>
    <row r="30" spans="1:89" x14ac:dyDescent="0.3">
      <c r="A30" t="s">
        <v>72</v>
      </c>
      <c r="B30" t="s">
        <v>73</v>
      </c>
      <c r="C30" t="s">
        <v>74</v>
      </c>
      <c r="E30" t="str">
        <f>"009941856160"</f>
        <v>009941856160</v>
      </c>
      <c r="F30" s="3">
        <v>44832</v>
      </c>
      <c r="G30">
        <v>202306</v>
      </c>
      <c r="H30" t="s">
        <v>96</v>
      </c>
      <c r="I30" t="s">
        <v>97</v>
      </c>
      <c r="J30" t="s">
        <v>80</v>
      </c>
      <c r="L30" t="s">
        <v>75</v>
      </c>
      <c r="M30" t="s">
        <v>76</v>
      </c>
      <c r="N30" t="s">
        <v>190</v>
      </c>
      <c r="O30" t="s">
        <v>105</v>
      </c>
      <c r="P30" t="str">
        <f t="shared" si="1"/>
        <v>LOCKS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40.49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0.6</v>
      </c>
      <c r="BJ30">
        <v>2.7</v>
      </c>
      <c r="BK30">
        <v>3</v>
      </c>
      <c r="BL30">
        <v>105.79</v>
      </c>
      <c r="BM30">
        <v>15.87</v>
      </c>
      <c r="BN30">
        <v>121.66</v>
      </c>
      <c r="BO30">
        <v>121.66</v>
      </c>
      <c r="BQ30" t="s">
        <v>203</v>
      </c>
      <c r="BR30" t="s">
        <v>107</v>
      </c>
      <c r="BS30" s="3">
        <v>44833</v>
      </c>
      <c r="BT30" s="4">
        <v>0.43402777777777773</v>
      </c>
      <c r="BU30" t="s">
        <v>192</v>
      </c>
      <c r="BV30" t="s">
        <v>83</v>
      </c>
      <c r="BY30">
        <v>13465.82</v>
      </c>
      <c r="BZ30" t="s">
        <v>110</v>
      </c>
      <c r="CC30" t="s">
        <v>76</v>
      </c>
      <c r="CD30">
        <v>6530</v>
      </c>
      <c r="CE30" t="s">
        <v>85</v>
      </c>
      <c r="CI30">
        <v>1</v>
      </c>
      <c r="CJ30">
        <v>1</v>
      </c>
      <c r="CK30">
        <v>21</v>
      </c>
    </row>
    <row r="31" spans="1:89" x14ac:dyDescent="0.3">
      <c r="A31" t="s">
        <v>72</v>
      </c>
      <c r="B31" t="s">
        <v>73</v>
      </c>
      <c r="C31" t="s">
        <v>74</v>
      </c>
      <c r="E31" t="str">
        <f>"009941291466"</f>
        <v>009941291466</v>
      </c>
      <c r="F31" s="3">
        <v>44832</v>
      </c>
      <c r="G31">
        <v>202306</v>
      </c>
      <c r="H31" t="s">
        <v>96</v>
      </c>
      <c r="I31" t="s">
        <v>97</v>
      </c>
      <c r="J31" t="s">
        <v>80</v>
      </c>
      <c r="L31" t="s">
        <v>147</v>
      </c>
      <c r="M31" t="s">
        <v>148</v>
      </c>
      <c r="N31" t="s">
        <v>80</v>
      </c>
      <c r="O31" t="s">
        <v>81</v>
      </c>
      <c r="P31" t="str">
        <f t="shared" si="1"/>
        <v>LOCKS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118.9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21.2</v>
      </c>
      <c r="BJ31">
        <v>45.8</v>
      </c>
      <c r="BK31">
        <v>46</v>
      </c>
      <c r="BL31">
        <v>315.92</v>
      </c>
      <c r="BM31">
        <v>47.39</v>
      </c>
      <c r="BN31">
        <v>363.31</v>
      </c>
      <c r="BO31">
        <v>363.31</v>
      </c>
      <c r="BQ31" t="s">
        <v>115</v>
      </c>
      <c r="BR31" t="s">
        <v>115</v>
      </c>
      <c r="BS31" t="s">
        <v>145</v>
      </c>
      <c r="BY31">
        <v>229001</v>
      </c>
      <c r="BZ31" t="s">
        <v>84</v>
      </c>
      <c r="CC31" t="s">
        <v>148</v>
      </c>
      <c r="CD31">
        <v>8000</v>
      </c>
      <c r="CE31" t="s">
        <v>85</v>
      </c>
      <c r="CI31">
        <v>3</v>
      </c>
      <c r="CJ31" t="s">
        <v>145</v>
      </c>
      <c r="CK31">
        <v>41</v>
      </c>
    </row>
    <row r="32" spans="1:89" x14ac:dyDescent="0.3">
      <c r="A32" t="s">
        <v>72</v>
      </c>
      <c r="B32" t="s">
        <v>73</v>
      </c>
      <c r="C32" t="s">
        <v>74</v>
      </c>
      <c r="E32" t="str">
        <f>"009942724002"</f>
        <v>009942724002</v>
      </c>
      <c r="F32" s="3">
        <v>44833</v>
      </c>
      <c r="G32">
        <v>202306</v>
      </c>
      <c r="H32" t="s">
        <v>96</v>
      </c>
      <c r="I32" t="s">
        <v>97</v>
      </c>
      <c r="J32" t="s">
        <v>80</v>
      </c>
      <c r="L32" t="s">
        <v>131</v>
      </c>
      <c r="M32" t="s">
        <v>132</v>
      </c>
      <c r="N32" t="s">
        <v>80</v>
      </c>
      <c r="O32" t="s">
        <v>105</v>
      </c>
      <c r="P32" t="str">
        <f t="shared" si="1"/>
        <v>LOCKS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75.930000000000007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2.9</v>
      </c>
      <c r="BK32">
        <v>3</v>
      </c>
      <c r="BL32">
        <v>198.39</v>
      </c>
      <c r="BM32">
        <v>29.76</v>
      </c>
      <c r="BN32">
        <v>228.15</v>
      </c>
      <c r="BO32">
        <v>228.15</v>
      </c>
      <c r="BQ32" t="s">
        <v>204</v>
      </c>
      <c r="BR32" t="s">
        <v>107</v>
      </c>
      <c r="BS32" t="s">
        <v>145</v>
      </c>
      <c r="BY32">
        <v>14711.7</v>
      </c>
      <c r="BZ32" t="s">
        <v>110</v>
      </c>
      <c r="CC32" t="s">
        <v>132</v>
      </c>
      <c r="CD32">
        <v>1150</v>
      </c>
      <c r="CE32" t="s">
        <v>85</v>
      </c>
      <c r="CI32">
        <v>1</v>
      </c>
      <c r="CJ32" t="s">
        <v>145</v>
      </c>
      <c r="CK32">
        <v>23</v>
      </c>
    </row>
    <row r="33" spans="1:89" x14ac:dyDescent="0.3">
      <c r="A33" t="s">
        <v>72</v>
      </c>
      <c r="B33" t="s">
        <v>73</v>
      </c>
      <c r="C33" t="s">
        <v>74</v>
      </c>
      <c r="E33" t="str">
        <f>"009941945369"</f>
        <v>009941945369</v>
      </c>
      <c r="F33" s="3">
        <v>44833</v>
      </c>
      <c r="G33">
        <v>202306</v>
      </c>
      <c r="H33" t="s">
        <v>205</v>
      </c>
      <c r="I33" t="s">
        <v>206</v>
      </c>
      <c r="J33" t="s">
        <v>80</v>
      </c>
      <c r="L33" t="s">
        <v>78</v>
      </c>
      <c r="M33" t="s">
        <v>79</v>
      </c>
      <c r="N33" t="s">
        <v>207</v>
      </c>
      <c r="O33" t="s">
        <v>81</v>
      </c>
      <c r="P33" t="str">
        <f>""</f>
        <v/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73.63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197.63</v>
      </c>
      <c r="BM33">
        <v>29.64</v>
      </c>
      <c r="BN33">
        <v>227.27</v>
      </c>
      <c r="BO33">
        <v>227.27</v>
      </c>
      <c r="BQ33" t="s">
        <v>208</v>
      </c>
      <c r="BR33" t="s">
        <v>209</v>
      </c>
      <c r="BS33" s="3">
        <v>44834</v>
      </c>
      <c r="BT33" s="4">
        <v>0.40069444444444446</v>
      </c>
      <c r="BU33" t="s">
        <v>210</v>
      </c>
      <c r="BV33" t="s">
        <v>83</v>
      </c>
      <c r="BY33">
        <v>1200</v>
      </c>
      <c r="BZ33" t="s">
        <v>84</v>
      </c>
      <c r="CA33" t="s">
        <v>211</v>
      </c>
      <c r="CC33" t="s">
        <v>79</v>
      </c>
      <c r="CD33">
        <v>2031</v>
      </c>
      <c r="CE33" t="s">
        <v>85</v>
      </c>
      <c r="CI33">
        <v>3</v>
      </c>
      <c r="CJ33">
        <v>1</v>
      </c>
      <c r="CK33">
        <v>43</v>
      </c>
    </row>
    <row r="34" spans="1:89" x14ac:dyDescent="0.3">
      <c r="A34" t="s">
        <v>72</v>
      </c>
      <c r="B34" t="s">
        <v>73</v>
      </c>
      <c r="C34" t="s">
        <v>74</v>
      </c>
      <c r="E34" t="str">
        <f>"009942167148"</f>
        <v>009942167148</v>
      </c>
      <c r="F34" s="3">
        <v>44833</v>
      </c>
      <c r="G34">
        <v>202306</v>
      </c>
      <c r="H34" t="s">
        <v>147</v>
      </c>
      <c r="I34" t="s">
        <v>148</v>
      </c>
      <c r="J34" t="s">
        <v>80</v>
      </c>
      <c r="L34" t="s">
        <v>212</v>
      </c>
      <c r="M34" t="s">
        <v>213</v>
      </c>
      <c r="N34" t="s">
        <v>214</v>
      </c>
      <c r="O34" t="s">
        <v>105</v>
      </c>
      <c r="P34" t="str">
        <f>""</f>
        <v/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26.99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1.9</v>
      </c>
      <c r="BK34">
        <v>2</v>
      </c>
      <c r="BL34">
        <v>70.53</v>
      </c>
      <c r="BM34">
        <v>10.58</v>
      </c>
      <c r="BN34">
        <v>81.11</v>
      </c>
      <c r="BO34">
        <v>81.11</v>
      </c>
      <c r="BQ34" t="s">
        <v>215</v>
      </c>
      <c r="BR34" t="s">
        <v>193</v>
      </c>
      <c r="BS34" s="3">
        <v>44834</v>
      </c>
      <c r="BT34" s="4">
        <v>0.3</v>
      </c>
      <c r="BU34" t="s">
        <v>216</v>
      </c>
      <c r="BV34" t="s">
        <v>83</v>
      </c>
      <c r="BY34">
        <v>9284.5499999999993</v>
      </c>
      <c r="BZ34" t="s">
        <v>110</v>
      </c>
      <c r="CA34" t="s">
        <v>217</v>
      </c>
      <c r="CC34" t="s">
        <v>213</v>
      </c>
      <c r="CD34">
        <v>2194</v>
      </c>
      <c r="CE34" t="s">
        <v>85</v>
      </c>
      <c r="CI34">
        <v>1</v>
      </c>
      <c r="CJ34">
        <v>1</v>
      </c>
      <c r="CK34">
        <v>21</v>
      </c>
    </row>
    <row r="35" spans="1:89" x14ac:dyDescent="0.3">
      <c r="A35" t="s">
        <v>72</v>
      </c>
      <c r="B35" t="s">
        <v>73</v>
      </c>
      <c r="C35" t="s">
        <v>74</v>
      </c>
      <c r="E35" t="str">
        <f>"009941737422"</f>
        <v>009941737422</v>
      </c>
      <c r="F35" s="3">
        <v>44833</v>
      </c>
      <c r="G35">
        <v>202306</v>
      </c>
      <c r="H35" t="s">
        <v>96</v>
      </c>
      <c r="I35" t="s">
        <v>97</v>
      </c>
      <c r="J35" t="s">
        <v>80</v>
      </c>
      <c r="L35" t="s">
        <v>136</v>
      </c>
      <c r="M35" t="s">
        <v>137</v>
      </c>
      <c r="N35" t="s">
        <v>80</v>
      </c>
      <c r="O35" t="s">
        <v>81</v>
      </c>
      <c r="P35" t="str">
        <f>"SMALL SPOES"</f>
        <v>SMALL SPOES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73.63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1.9</v>
      </c>
      <c r="BK35">
        <v>2</v>
      </c>
      <c r="BL35">
        <v>197.63</v>
      </c>
      <c r="BM35">
        <v>29.64</v>
      </c>
      <c r="BN35">
        <v>227.27</v>
      </c>
      <c r="BO35">
        <v>227.27</v>
      </c>
      <c r="BQ35" t="s">
        <v>138</v>
      </c>
      <c r="BR35" t="s">
        <v>115</v>
      </c>
      <c r="BS35" s="3">
        <v>44834</v>
      </c>
      <c r="BT35" s="4">
        <v>0.37222222222222223</v>
      </c>
      <c r="BU35" t="s">
        <v>218</v>
      </c>
      <c r="BV35" t="s">
        <v>83</v>
      </c>
      <c r="BY35">
        <v>9542.9</v>
      </c>
      <c r="BZ35" t="s">
        <v>84</v>
      </c>
      <c r="CA35" t="s">
        <v>140</v>
      </c>
      <c r="CC35" t="s">
        <v>137</v>
      </c>
      <c r="CD35">
        <v>1034</v>
      </c>
      <c r="CE35" t="s">
        <v>85</v>
      </c>
      <c r="CI35">
        <v>4</v>
      </c>
      <c r="CJ35">
        <v>1</v>
      </c>
      <c r="CK35">
        <v>43</v>
      </c>
    </row>
    <row r="36" spans="1:89" x14ac:dyDescent="0.3">
      <c r="A36" t="s">
        <v>72</v>
      </c>
      <c r="B36" t="s">
        <v>73</v>
      </c>
      <c r="C36" t="s">
        <v>74</v>
      </c>
      <c r="E36" t="str">
        <f>"009940231961"</f>
        <v>009940231961</v>
      </c>
      <c r="F36" s="3">
        <v>44833</v>
      </c>
      <c r="G36">
        <v>202306</v>
      </c>
      <c r="H36" t="s">
        <v>96</v>
      </c>
      <c r="I36" t="s">
        <v>97</v>
      </c>
      <c r="J36" t="s">
        <v>80</v>
      </c>
      <c r="L36" t="s">
        <v>136</v>
      </c>
      <c r="M36" t="s">
        <v>137</v>
      </c>
      <c r="N36" t="s">
        <v>80</v>
      </c>
      <c r="O36" t="s">
        <v>105</v>
      </c>
      <c r="P36" t="str">
        <f>"LOCKS"</f>
        <v>LOCKS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87.74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0.7</v>
      </c>
      <c r="BJ36">
        <v>3.3</v>
      </c>
      <c r="BK36">
        <v>3.5</v>
      </c>
      <c r="BL36">
        <v>229.25</v>
      </c>
      <c r="BM36">
        <v>34.39</v>
      </c>
      <c r="BN36">
        <v>263.64</v>
      </c>
      <c r="BO36">
        <v>263.64</v>
      </c>
      <c r="BQ36" t="s">
        <v>219</v>
      </c>
      <c r="BR36" t="s">
        <v>220</v>
      </c>
      <c r="BS36" s="3">
        <v>44834</v>
      </c>
      <c r="BT36" s="4">
        <v>0.37291666666666662</v>
      </c>
      <c r="BU36" t="s">
        <v>218</v>
      </c>
      <c r="BV36" t="s">
        <v>83</v>
      </c>
      <c r="BY36">
        <v>16452.07</v>
      </c>
      <c r="BZ36" t="s">
        <v>110</v>
      </c>
      <c r="CA36" t="s">
        <v>140</v>
      </c>
      <c r="CC36" t="s">
        <v>137</v>
      </c>
      <c r="CD36">
        <v>1034</v>
      </c>
      <c r="CE36" t="s">
        <v>85</v>
      </c>
      <c r="CI36">
        <v>1</v>
      </c>
      <c r="CJ36">
        <v>1</v>
      </c>
      <c r="CK36">
        <v>23</v>
      </c>
    </row>
    <row r="37" spans="1:89" x14ac:dyDescent="0.3">
      <c r="A37" t="s">
        <v>72</v>
      </c>
      <c r="B37" t="s">
        <v>73</v>
      </c>
      <c r="C37" t="s">
        <v>74</v>
      </c>
      <c r="E37" t="str">
        <f>"009942600698"</f>
        <v>009942600698</v>
      </c>
      <c r="F37" s="3">
        <v>44833</v>
      </c>
      <c r="G37">
        <v>202306</v>
      </c>
      <c r="H37" t="s">
        <v>96</v>
      </c>
      <c r="I37" t="s">
        <v>97</v>
      </c>
      <c r="J37" t="s">
        <v>80</v>
      </c>
      <c r="L37" t="s">
        <v>186</v>
      </c>
      <c r="M37" t="s">
        <v>187</v>
      </c>
      <c r="N37" t="s">
        <v>80</v>
      </c>
      <c r="O37" t="s">
        <v>105</v>
      </c>
      <c r="P37" t="str">
        <f>"LOCKS"</f>
        <v>LOCKS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60.72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0.7</v>
      </c>
      <c r="BJ37">
        <v>4.2</v>
      </c>
      <c r="BK37">
        <v>4.5</v>
      </c>
      <c r="BL37">
        <v>158.66</v>
      </c>
      <c r="BM37">
        <v>23.8</v>
      </c>
      <c r="BN37">
        <v>182.46</v>
      </c>
      <c r="BO37">
        <v>182.46</v>
      </c>
      <c r="BQ37" t="s">
        <v>221</v>
      </c>
      <c r="BR37" t="s">
        <v>107</v>
      </c>
      <c r="BS37" t="s">
        <v>145</v>
      </c>
      <c r="BY37">
        <v>21125.16</v>
      </c>
      <c r="BZ37" t="s">
        <v>110</v>
      </c>
      <c r="CC37" t="s">
        <v>187</v>
      </c>
      <c r="CD37">
        <v>6045</v>
      </c>
      <c r="CE37" t="s">
        <v>85</v>
      </c>
      <c r="CI37">
        <v>1</v>
      </c>
      <c r="CJ37" t="s">
        <v>145</v>
      </c>
      <c r="CK37">
        <v>21</v>
      </c>
    </row>
    <row r="38" spans="1:89" x14ac:dyDescent="0.3">
      <c r="A38" t="s">
        <v>72</v>
      </c>
      <c r="B38" t="s">
        <v>73</v>
      </c>
      <c r="C38" t="s">
        <v>74</v>
      </c>
      <c r="E38" t="str">
        <f>"009941310220"</f>
        <v>009941310220</v>
      </c>
      <c r="F38" s="3">
        <v>44833</v>
      </c>
      <c r="G38">
        <v>202306</v>
      </c>
      <c r="H38" t="s">
        <v>96</v>
      </c>
      <c r="I38" t="s">
        <v>97</v>
      </c>
      <c r="J38" t="s">
        <v>80</v>
      </c>
      <c r="L38" t="s">
        <v>119</v>
      </c>
      <c r="M38" t="s">
        <v>120</v>
      </c>
      <c r="N38" t="s">
        <v>80</v>
      </c>
      <c r="O38" t="s">
        <v>105</v>
      </c>
      <c r="P38" t="str">
        <f>"LOCKS"</f>
        <v>LOCKS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26.99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70.53</v>
      </c>
      <c r="BM38">
        <v>10.58</v>
      </c>
      <c r="BN38">
        <v>81.11</v>
      </c>
      <c r="BO38">
        <v>81.11</v>
      </c>
      <c r="BQ38" t="s">
        <v>196</v>
      </c>
      <c r="BR38" t="s">
        <v>222</v>
      </c>
      <c r="BS38" s="3">
        <v>44834</v>
      </c>
      <c r="BT38" s="4">
        <v>0.46111111111111108</v>
      </c>
      <c r="BU38" t="s">
        <v>223</v>
      </c>
      <c r="BV38" t="s">
        <v>83</v>
      </c>
      <c r="BY38">
        <v>1200</v>
      </c>
      <c r="BZ38" t="s">
        <v>110</v>
      </c>
      <c r="CA38" t="s">
        <v>123</v>
      </c>
      <c r="CC38" t="s">
        <v>120</v>
      </c>
      <c r="CD38">
        <v>4091</v>
      </c>
      <c r="CE38" t="s">
        <v>85</v>
      </c>
      <c r="CI38">
        <v>1</v>
      </c>
      <c r="CJ38">
        <v>1</v>
      </c>
      <c r="CK38">
        <v>21</v>
      </c>
    </row>
    <row r="39" spans="1:89" x14ac:dyDescent="0.3">
      <c r="A39" t="s">
        <v>72</v>
      </c>
      <c r="B39" t="s">
        <v>73</v>
      </c>
      <c r="C39" t="s">
        <v>74</v>
      </c>
      <c r="E39" t="str">
        <f>"009941291464"</f>
        <v>009941291464</v>
      </c>
      <c r="F39" s="3">
        <v>44833</v>
      </c>
      <c r="G39">
        <v>202306</v>
      </c>
      <c r="H39" t="s">
        <v>96</v>
      </c>
      <c r="I39" t="s">
        <v>97</v>
      </c>
      <c r="J39" t="s">
        <v>80</v>
      </c>
      <c r="L39" t="s">
        <v>147</v>
      </c>
      <c r="M39" t="s">
        <v>148</v>
      </c>
      <c r="N39" t="s">
        <v>80</v>
      </c>
      <c r="O39" t="s">
        <v>105</v>
      </c>
      <c r="P39" t="str">
        <f>"SMALL SPARES"</f>
        <v>SMALL SPARES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26.99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70.53</v>
      </c>
      <c r="BM39">
        <v>10.58</v>
      </c>
      <c r="BN39">
        <v>81.11</v>
      </c>
      <c r="BO39">
        <v>81.11</v>
      </c>
      <c r="BQ39" t="s">
        <v>193</v>
      </c>
      <c r="BR39" t="s">
        <v>115</v>
      </c>
      <c r="BS39" s="3">
        <v>44834</v>
      </c>
      <c r="BT39" s="4">
        <v>0.39861111111111108</v>
      </c>
      <c r="BU39" t="s">
        <v>224</v>
      </c>
      <c r="BV39" t="s">
        <v>83</v>
      </c>
      <c r="BY39">
        <v>1200</v>
      </c>
      <c r="BZ39" t="s">
        <v>110</v>
      </c>
      <c r="CA39" t="s">
        <v>195</v>
      </c>
      <c r="CC39" t="s">
        <v>148</v>
      </c>
      <c r="CD39">
        <v>8000</v>
      </c>
      <c r="CE39" t="s">
        <v>85</v>
      </c>
      <c r="CI39">
        <v>1</v>
      </c>
      <c r="CJ39">
        <v>1</v>
      </c>
      <c r="CK39">
        <v>21</v>
      </c>
    </row>
    <row r="40" spans="1:89" x14ac:dyDescent="0.3">
      <c r="A40" t="s">
        <v>72</v>
      </c>
      <c r="B40" t="s">
        <v>73</v>
      </c>
      <c r="C40" t="s">
        <v>74</v>
      </c>
      <c r="E40" t="str">
        <f>"009941291465"</f>
        <v>009941291465</v>
      </c>
      <c r="F40" s="3">
        <v>44833</v>
      </c>
      <c r="G40">
        <v>202306</v>
      </c>
      <c r="H40" t="s">
        <v>96</v>
      </c>
      <c r="I40" t="s">
        <v>97</v>
      </c>
      <c r="J40" t="s">
        <v>80</v>
      </c>
      <c r="L40" t="s">
        <v>147</v>
      </c>
      <c r="M40" t="s">
        <v>148</v>
      </c>
      <c r="N40" t="s">
        <v>80</v>
      </c>
      <c r="O40" t="s">
        <v>105</v>
      </c>
      <c r="P40" t="str">
        <f>"STORES"</f>
        <v>STORES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40.49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0.6</v>
      </c>
      <c r="BJ40">
        <v>2.8</v>
      </c>
      <c r="BK40">
        <v>3</v>
      </c>
      <c r="BL40">
        <v>105.79</v>
      </c>
      <c r="BM40">
        <v>15.87</v>
      </c>
      <c r="BN40">
        <v>121.66</v>
      </c>
      <c r="BO40">
        <v>121.66</v>
      </c>
      <c r="BQ40" t="s">
        <v>193</v>
      </c>
      <c r="BR40" t="s">
        <v>115</v>
      </c>
      <c r="BS40" s="3">
        <v>44834</v>
      </c>
      <c r="BT40" s="4">
        <v>0.39861111111111108</v>
      </c>
      <c r="BU40" t="s">
        <v>224</v>
      </c>
      <c r="BV40" t="s">
        <v>83</v>
      </c>
      <c r="BY40">
        <v>13952.7</v>
      </c>
      <c r="BZ40" t="s">
        <v>110</v>
      </c>
      <c r="CA40" t="s">
        <v>195</v>
      </c>
      <c r="CC40" t="s">
        <v>148</v>
      </c>
      <c r="CD40">
        <v>8000</v>
      </c>
      <c r="CE40" t="s">
        <v>85</v>
      </c>
      <c r="CI40">
        <v>1</v>
      </c>
      <c r="CJ40">
        <v>1</v>
      </c>
      <c r="CK40">
        <v>21</v>
      </c>
    </row>
    <row r="41" spans="1:89" x14ac:dyDescent="0.3">
      <c r="A41" t="s">
        <v>72</v>
      </c>
      <c r="B41" t="s">
        <v>73</v>
      </c>
      <c r="C41" t="s">
        <v>74</v>
      </c>
      <c r="E41" t="str">
        <f>"009941735733"</f>
        <v>009941735733</v>
      </c>
      <c r="F41" s="3">
        <v>44833</v>
      </c>
      <c r="G41">
        <v>202306</v>
      </c>
      <c r="H41" t="s">
        <v>96</v>
      </c>
      <c r="I41" t="s">
        <v>97</v>
      </c>
      <c r="J41" t="s">
        <v>80</v>
      </c>
      <c r="L41" t="s">
        <v>225</v>
      </c>
      <c r="M41" t="s">
        <v>226</v>
      </c>
      <c r="N41" t="s">
        <v>80</v>
      </c>
      <c r="O41" t="s">
        <v>105</v>
      </c>
      <c r="P41" t="str">
        <f>"LOCKS"</f>
        <v>LOCKS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75.930000000000007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1.3</v>
      </c>
      <c r="BJ41">
        <v>2.6</v>
      </c>
      <c r="BK41">
        <v>3</v>
      </c>
      <c r="BL41">
        <v>198.39</v>
      </c>
      <c r="BM41">
        <v>29.76</v>
      </c>
      <c r="BN41">
        <v>228.15</v>
      </c>
      <c r="BO41">
        <v>228.15</v>
      </c>
      <c r="BQ41" t="s">
        <v>227</v>
      </c>
      <c r="BR41" t="s">
        <v>124</v>
      </c>
      <c r="BS41" s="3">
        <v>44834</v>
      </c>
      <c r="BT41" s="4">
        <v>0.44930555555555557</v>
      </c>
      <c r="BU41" t="s">
        <v>228</v>
      </c>
      <c r="BV41" t="s">
        <v>83</v>
      </c>
      <c r="BY41">
        <v>12867.12</v>
      </c>
      <c r="BZ41" t="s">
        <v>110</v>
      </c>
      <c r="CA41" t="s">
        <v>229</v>
      </c>
      <c r="CC41" t="s">
        <v>226</v>
      </c>
      <c r="CD41">
        <v>4240</v>
      </c>
      <c r="CE41" t="s">
        <v>85</v>
      </c>
      <c r="CI41">
        <v>1</v>
      </c>
      <c r="CJ41">
        <v>1</v>
      </c>
      <c r="CK41">
        <v>23</v>
      </c>
    </row>
    <row r="42" spans="1:89" x14ac:dyDescent="0.3">
      <c r="A42" t="s">
        <v>72</v>
      </c>
      <c r="B42" t="s">
        <v>73</v>
      </c>
      <c r="C42" t="s">
        <v>74</v>
      </c>
      <c r="E42" t="str">
        <f>"009942724037"</f>
        <v>009942724037</v>
      </c>
      <c r="F42" s="3">
        <v>44833</v>
      </c>
      <c r="G42">
        <v>202306</v>
      </c>
      <c r="H42" t="s">
        <v>96</v>
      </c>
      <c r="I42" t="s">
        <v>97</v>
      </c>
      <c r="J42" t="s">
        <v>80</v>
      </c>
      <c r="L42" t="s">
        <v>162</v>
      </c>
      <c r="M42" t="s">
        <v>163</v>
      </c>
      <c r="N42" t="s">
        <v>80</v>
      </c>
      <c r="O42" t="s">
        <v>81</v>
      </c>
      <c r="P42" t="str">
        <f>"LOCKS"</f>
        <v>LOCKS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52.2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6.4</v>
      </c>
      <c r="BK42">
        <v>7</v>
      </c>
      <c r="BL42">
        <v>141.65</v>
      </c>
      <c r="BM42">
        <v>21.25</v>
      </c>
      <c r="BN42">
        <v>162.9</v>
      </c>
      <c r="BO42">
        <v>162.9</v>
      </c>
      <c r="BQ42" t="s">
        <v>230</v>
      </c>
      <c r="BR42" t="s">
        <v>107</v>
      </c>
      <c r="BS42" t="s">
        <v>145</v>
      </c>
      <c r="BY42">
        <v>31966.67</v>
      </c>
      <c r="BZ42" t="s">
        <v>84</v>
      </c>
      <c r="CC42" t="s">
        <v>163</v>
      </c>
      <c r="CD42">
        <v>3900</v>
      </c>
      <c r="CE42" t="s">
        <v>85</v>
      </c>
      <c r="CI42">
        <v>3</v>
      </c>
      <c r="CJ42" t="s">
        <v>145</v>
      </c>
      <c r="CK42">
        <v>41</v>
      </c>
    </row>
    <row r="43" spans="1:89" x14ac:dyDescent="0.3">
      <c r="A43" t="s">
        <v>72</v>
      </c>
      <c r="B43" t="s">
        <v>73</v>
      </c>
      <c r="C43" t="s">
        <v>74</v>
      </c>
      <c r="E43" t="str">
        <f>"009942282909"</f>
        <v>009942282909</v>
      </c>
      <c r="F43" s="3">
        <v>44816</v>
      </c>
      <c r="G43">
        <v>202306</v>
      </c>
      <c r="H43" t="s">
        <v>231</v>
      </c>
      <c r="I43" t="s">
        <v>232</v>
      </c>
      <c r="J43" t="s">
        <v>233</v>
      </c>
      <c r="L43" t="s">
        <v>78</v>
      </c>
      <c r="M43" t="s">
        <v>79</v>
      </c>
      <c r="N43" t="s">
        <v>234</v>
      </c>
      <c r="O43" t="s">
        <v>105</v>
      </c>
      <c r="P43" t="str">
        <f>""</f>
        <v/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52.3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136.66</v>
      </c>
      <c r="BM43">
        <v>20.5</v>
      </c>
      <c r="BN43">
        <v>157.16</v>
      </c>
      <c r="BO43">
        <v>157.16</v>
      </c>
      <c r="BS43" s="3">
        <v>44817</v>
      </c>
      <c r="BT43" s="4">
        <v>0.4597222222222222</v>
      </c>
      <c r="BU43" t="s">
        <v>235</v>
      </c>
      <c r="BV43" t="s">
        <v>109</v>
      </c>
      <c r="BY43">
        <v>1200</v>
      </c>
      <c r="BZ43" t="s">
        <v>110</v>
      </c>
      <c r="CA43" t="s">
        <v>170</v>
      </c>
      <c r="CC43" t="s">
        <v>79</v>
      </c>
      <c r="CD43">
        <v>2196</v>
      </c>
      <c r="CE43" t="s">
        <v>85</v>
      </c>
      <c r="CI43">
        <v>2</v>
      </c>
      <c r="CJ43">
        <v>1</v>
      </c>
      <c r="CK43">
        <v>23</v>
      </c>
    </row>
    <row r="44" spans="1:89" x14ac:dyDescent="0.3">
      <c r="A44" t="s">
        <v>72</v>
      </c>
      <c r="B44" t="s">
        <v>73</v>
      </c>
      <c r="C44" t="s">
        <v>74</v>
      </c>
      <c r="E44" t="str">
        <f>"009942282980"</f>
        <v>009942282980</v>
      </c>
      <c r="F44" s="3">
        <v>44816</v>
      </c>
      <c r="G44">
        <v>202306</v>
      </c>
      <c r="H44" t="s">
        <v>231</v>
      </c>
      <c r="I44" t="s">
        <v>232</v>
      </c>
      <c r="J44" t="s">
        <v>233</v>
      </c>
      <c r="L44" t="s">
        <v>236</v>
      </c>
      <c r="M44" t="s">
        <v>237</v>
      </c>
      <c r="N44" t="s">
        <v>234</v>
      </c>
      <c r="O44" t="s">
        <v>105</v>
      </c>
      <c r="P44" t="str">
        <f>""</f>
        <v/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52.3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136.66</v>
      </c>
      <c r="BM44">
        <v>20.5</v>
      </c>
      <c r="BN44">
        <v>157.16</v>
      </c>
      <c r="BO44">
        <v>157.16</v>
      </c>
      <c r="BS44" s="3">
        <v>44817</v>
      </c>
      <c r="BT44" s="4">
        <v>0.39999999999999997</v>
      </c>
      <c r="BU44" t="s">
        <v>238</v>
      </c>
      <c r="BV44" t="s">
        <v>83</v>
      </c>
      <c r="BY44">
        <v>1200</v>
      </c>
      <c r="BZ44" t="s">
        <v>110</v>
      </c>
      <c r="CA44" t="s">
        <v>239</v>
      </c>
      <c r="CC44" t="s">
        <v>237</v>
      </c>
      <c r="CD44">
        <v>1549</v>
      </c>
      <c r="CE44" t="s">
        <v>85</v>
      </c>
      <c r="CI44">
        <v>2</v>
      </c>
      <c r="CJ44">
        <v>1</v>
      </c>
      <c r="CK44">
        <v>23</v>
      </c>
    </row>
    <row r="45" spans="1:89" x14ac:dyDescent="0.3">
      <c r="A45" t="s">
        <v>72</v>
      </c>
      <c r="B45" t="s">
        <v>73</v>
      </c>
      <c r="C45" t="s">
        <v>74</v>
      </c>
      <c r="E45" t="str">
        <f>"009942815002"</f>
        <v>009942815002</v>
      </c>
      <c r="F45" s="3">
        <v>44833</v>
      </c>
      <c r="G45">
        <v>202306</v>
      </c>
      <c r="H45" t="s">
        <v>199</v>
      </c>
      <c r="I45" t="s">
        <v>200</v>
      </c>
      <c r="J45" t="s">
        <v>80</v>
      </c>
      <c r="L45" t="s">
        <v>112</v>
      </c>
      <c r="M45" t="s">
        <v>113</v>
      </c>
      <c r="N45" t="s">
        <v>80</v>
      </c>
      <c r="O45" t="s">
        <v>81</v>
      </c>
      <c r="P45" t="str">
        <f>""</f>
        <v/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52.2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141.65</v>
      </c>
      <c r="BM45">
        <v>21.25</v>
      </c>
      <c r="BN45">
        <v>162.9</v>
      </c>
      <c r="BO45">
        <v>162.9</v>
      </c>
      <c r="BQ45" t="s">
        <v>240</v>
      </c>
      <c r="BR45" t="s">
        <v>202</v>
      </c>
      <c r="BS45" t="s">
        <v>145</v>
      </c>
      <c r="BV45" t="s">
        <v>109</v>
      </c>
      <c r="BY45">
        <v>1200</v>
      </c>
      <c r="BZ45" t="s">
        <v>84</v>
      </c>
      <c r="CC45" t="s">
        <v>113</v>
      </c>
      <c r="CD45">
        <v>9300</v>
      </c>
      <c r="CE45" t="s">
        <v>85</v>
      </c>
      <c r="CI45">
        <v>3</v>
      </c>
      <c r="CJ45" t="s">
        <v>145</v>
      </c>
      <c r="CK45">
        <v>41</v>
      </c>
    </row>
    <row r="46" spans="1:89" x14ac:dyDescent="0.3">
      <c r="A46" t="s">
        <v>72</v>
      </c>
      <c r="B46" t="s">
        <v>73</v>
      </c>
      <c r="C46" t="s">
        <v>74</v>
      </c>
      <c r="E46" t="str">
        <f>"080010578435"</f>
        <v>080010578435</v>
      </c>
      <c r="F46" s="3">
        <v>44805</v>
      </c>
      <c r="G46">
        <v>202306</v>
      </c>
      <c r="H46" t="s">
        <v>212</v>
      </c>
      <c r="I46" t="s">
        <v>213</v>
      </c>
      <c r="J46" t="s">
        <v>241</v>
      </c>
      <c r="L46" t="s">
        <v>78</v>
      </c>
      <c r="M46" t="s">
        <v>79</v>
      </c>
      <c r="N46" t="s">
        <v>242</v>
      </c>
      <c r="O46" t="s">
        <v>105</v>
      </c>
      <c r="P46" t="str">
        <f>"-"</f>
        <v>-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24.32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2.8</v>
      </c>
      <c r="BK46">
        <v>3</v>
      </c>
      <c r="BL46">
        <v>58.33</v>
      </c>
      <c r="BM46">
        <v>8.75</v>
      </c>
      <c r="BN46">
        <v>67.08</v>
      </c>
      <c r="BO46">
        <v>67.08</v>
      </c>
      <c r="BP46" t="s">
        <v>145</v>
      </c>
      <c r="BQ46" t="s">
        <v>242</v>
      </c>
      <c r="BR46" t="s">
        <v>243</v>
      </c>
      <c r="BS46" s="3">
        <v>44806</v>
      </c>
      <c r="BT46" s="4">
        <v>0.4375</v>
      </c>
      <c r="BU46" t="s">
        <v>169</v>
      </c>
      <c r="BV46" t="s">
        <v>83</v>
      </c>
      <c r="BY46">
        <v>14144.7</v>
      </c>
      <c r="BZ46" t="s">
        <v>110</v>
      </c>
      <c r="CA46" t="s">
        <v>211</v>
      </c>
      <c r="CC46" t="s">
        <v>79</v>
      </c>
      <c r="CD46">
        <v>2196</v>
      </c>
      <c r="CE46" t="s">
        <v>244</v>
      </c>
      <c r="CI46">
        <v>1</v>
      </c>
      <c r="CJ46">
        <v>1</v>
      </c>
      <c r="CK46">
        <v>22</v>
      </c>
    </row>
    <row r="47" spans="1:89" x14ac:dyDescent="0.3">
      <c r="A47" t="s">
        <v>72</v>
      </c>
      <c r="B47" t="s">
        <v>73</v>
      </c>
      <c r="C47" t="s">
        <v>74</v>
      </c>
      <c r="E47" t="str">
        <f>"080010579071"</f>
        <v>080010579071</v>
      </c>
      <c r="F47" s="3">
        <v>44805</v>
      </c>
      <c r="G47">
        <v>202306</v>
      </c>
      <c r="H47" t="s">
        <v>212</v>
      </c>
      <c r="I47" t="s">
        <v>213</v>
      </c>
      <c r="J47" t="s">
        <v>241</v>
      </c>
      <c r="L47" t="s">
        <v>147</v>
      </c>
      <c r="M47" t="s">
        <v>148</v>
      </c>
      <c r="N47" t="s">
        <v>245</v>
      </c>
      <c r="O47" t="s">
        <v>105</v>
      </c>
      <c r="P47" t="str">
        <f>"-"</f>
        <v>-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31.13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74.67</v>
      </c>
      <c r="BM47">
        <v>11.2</v>
      </c>
      <c r="BN47">
        <v>85.87</v>
      </c>
      <c r="BO47">
        <v>85.87</v>
      </c>
      <c r="BP47" t="s">
        <v>145</v>
      </c>
      <c r="BQ47" t="s">
        <v>245</v>
      </c>
      <c r="BR47" t="s">
        <v>243</v>
      </c>
      <c r="BS47" s="3">
        <v>44806</v>
      </c>
      <c r="BT47" s="4">
        <v>0.35138888888888892</v>
      </c>
      <c r="BU47" t="s">
        <v>246</v>
      </c>
      <c r="BV47" t="s">
        <v>83</v>
      </c>
      <c r="BY47">
        <v>1200</v>
      </c>
      <c r="BZ47" t="s">
        <v>110</v>
      </c>
      <c r="CA47" t="s">
        <v>247</v>
      </c>
      <c r="CC47" t="s">
        <v>148</v>
      </c>
      <c r="CD47">
        <v>7700</v>
      </c>
      <c r="CE47" t="s">
        <v>244</v>
      </c>
      <c r="CI47">
        <v>1</v>
      </c>
      <c r="CJ47">
        <v>1</v>
      </c>
      <c r="CK47">
        <v>21</v>
      </c>
    </row>
    <row r="48" spans="1:89" x14ac:dyDescent="0.3">
      <c r="A48" t="s">
        <v>72</v>
      </c>
      <c r="B48" t="s">
        <v>73</v>
      </c>
      <c r="C48" t="s">
        <v>74</v>
      </c>
      <c r="E48" t="str">
        <f>"009941399035"</f>
        <v>009941399035</v>
      </c>
      <c r="F48" s="3">
        <v>44805</v>
      </c>
      <c r="G48">
        <v>202306</v>
      </c>
      <c r="H48" t="s">
        <v>136</v>
      </c>
      <c r="I48" t="s">
        <v>137</v>
      </c>
      <c r="J48" t="s">
        <v>248</v>
      </c>
      <c r="L48" t="s">
        <v>178</v>
      </c>
      <c r="M48" t="s">
        <v>179</v>
      </c>
      <c r="N48" t="s">
        <v>249</v>
      </c>
      <c r="O48" t="s">
        <v>105</v>
      </c>
      <c r="P48" t="str">
        <f>""</f>
        <v/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60.32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144.68</v>
      </c>
      <c r="BM48">
        <v>21.7</v>
      </c>
      <c r="BN48">
        <v>166.38</v>
      </c>
      <c r="BO48">
        <v>166.38</v>
      </c>
      <c r="BQ48" t="s">
        <v>250</v>
      </c>
      <c r="BR48" t="s">
        <v>251</v>
      </c>
      <c r="BS48" s="3">
        <v>44806</v>
      </c>
      <c r="BT48" s="4">
        <v>0.42083333333333334</v>
      </c>
      <c r="BU48" t="s">
        <v>252</v>
      </c>
      <c r="BV48" t="s">
        <v>83</v>
      </c>
      <c r="BY48">
        <v>1200</v>
      </c>
      <c r="BZ48" t="s">
        <v>110</v>
      </c>
      <c r="CC48" t="s">
        <v>179</v>
      </c>
      <c r="CD48">
        <v>1200</v>
      </c>
      <c r="CE48" t="s">
        <v>85</v>
      </c>
      <c r="CI48">
        <v>2</v>
      </c>
      <c r="CJ48">
        <v>1</v>
      </c>
      <c r="CK48">
        <v>23</v>
      </c>
    </row>
    <row r="49" spans="1:89" x14ac:dyDescent="0.3">
      <c r="A49" t="s">
        <v>72</v>
      </c>
      <c r="B49" t="s">
        <v>73</v>
      </c>
      <c r="C49" t="s">
        <v>74</v>
      </c>
      <c r="E49" t="str">
        <f>"009941310023"</f>
        <v>009941310023</v>
      </c>
      <c r="F49" s="3">
        <v>44805</v>
      </c>
      <c r="G49">
        <v>202306</v>
      </c>
      <c r="H49" t="s">
        <v>96</v>
      </c>
      <c r="I49" t="s">
        <v>97</v>
      </c>
      <c r="J49" t="s">
        <v>80</v>
      </c>
      <c r="L49" t="s">
        <v>88</v>
      </c>
      <c r="M49" t="s">
        <v>89</v>
      </c>
      <c r="N49" t="s">
        <v>253</v>
      </c>
      <c r="O49" t="s">
        <v>81</v>
      </c>
      <c r="P49" t="str">
        <f>"LOCKS"</f>
        <v>LOCKS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97.93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17.3</v>
      </c>
      <c r="BJ49">
        <v>16.600000000000001</v>
      </c>
      <c r="BK49">
        <v>18</v>
      </c>
      <c r="BL49">
        <v>240.14</v>
      </c>
      <c r="BM49">
        <v>36.020000000000003</v>
      </c>
      <c r="BN49">
        <v>276.16000000000003</v>
      </c>
      <c r="BO49">
        <v>276.16000000000003</v>
      </c>
      <c r="BQ49" t="s">
        <v>117</v>
      </c>
      <c r="BR49" t="s">
        <v>115</v>
      </c>
      <c r="BS49" s="3">
        <v>44806</v>
      </c>
      <c r="BT49" s="4">
        <v>0.5229166666666667</v>
      </c>
      <c r="BU49" t="s">
        <v>254</v>
      </c>
      <c r="BV49" t="s">
        <v>83</v>
      </c>
      <c r="BY49">
        <v>82755.850000000006</v>
      </c>
      <c r="BZ49" t="s">
        <v>84</v>
      </c>
      <c r="CA49" t="s">
        <v>255</v>
      </c>
      <c r="CC49" t="s">
        <v>89</v>
      </c>
      <c r="CD49">
        <v>300</v>
      </c>
      <c r="CE49" t="s">
        <v>85</v>
      </c>
      <c r="CI49">
        <v>4</v>
      </c>
      <c r="CJ49">
        <v>1</v>
      </c>
      <c r="CK49">
        <v>43</v>
      </c>
    </row>
    <row r="50" spans="1:89" x14ac:dyDescent="0.3">
      <c r="A50" t="s">
        <v>72</v>
      </c>
      <c r="B50" t="s">
        <v>73</v>
      </c>
      <c r="C50" t="s">
        <v>74</v>
      </c>
      <c r="E50" t="str">
        <f>"009941618839"</f>
        <v>009941618839</v>
      </c>
      <c r="F50" s="3">
        <v>44805</v>
      </c>
      <c r="G50">
        <v>202306</v>
      </c>
      <c r="H50" t="s">
        <v>96</v>
      </c>
      <c r="I50" t="s">
        <v>97</v>
      </c>
      <c r="J50" t="s">
        <v>80</v>
      </c>
      <c r="L50" t="s">
        <v>136</v>
      </c>
      <c r="M50" t="s">
        <v>137</v>
      </c>
      <c r="N50" t="s">
        <v>80</v>
      </c>
      <c r="O50" t="s">
        <v>81</v>
      </c>
      <c r="P50" t="str">
        <f>"STORE"</f>
        <v>STORE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727.23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162.19999999999999</v>
      </c>
      <c r="BJ50">
        <v>55.2</v>
      </c>
      <c r="BK50">
        <v>163</v>
      </c>
      <c r="BL50">
        <v>1749.59</v>
      </c>
      <c r="BM50">
        <v>262.44</v>
      </c>
      <c r="BN50">
        <v>2012.03</v>
      </c>
      <c r="BO50">
        <v>2012.03</v>
      </c>
      <c r="BQ50" t="s">
        <v>138</v>
      </c>
      <c r="BR50" t="s">
        <v>115</v>
      </c>
      <c r="BS50" s="3">
        <v>44806</v>
      </c>
      <c r="BT50" s="4">
        <v>0.39861111111111108</v>
      </c>
      <c r="BU50" t="s">
        <v>256</v>
      </c>
      <c r="BV50" t="s">
        <v>83</v>
      </c>
      <c r="BY50">
        <v>189392.58</v>
      </c>
      <c r="BZ50" t="s">
        <v>84</v>
      </c>
      <c r="CA50" t="s">
        <v>140</v>
      </c>
      <c r="CC50" t="s">
        <v>137</v>
      </c>
      <c r="CD50">
        <v>1034</v>
      </c>
      <c r="CE50" t="s">
        <v>85</v>
      </c>
      <c r="CI50">
        <v>4</v>
      </c>
      <c r="CJ50">
        <v>1</v>
      </c>
      <c r="CK50">
        <v>43</v>
      </c>
    </row>
    <row r="51" spans="1:89" x14ac:dyDescent="0.3">
      <c r="A51" t="s">
        <v>72</v>
      </c>
      <c r="B51" t="s">
        <v>73</v>
      </c>
      <c r="C51" t="s">
        <v>74</v>
      </c>
      <c r="E51" t="str">
        <f>"009941332876"</f>
        <v>009941332876</v>
      </c>
      <c r="F51" s="3">
        <v>44805</v>
      </c>
      <c r="G51">
        <v>202306</v>
      </c>
      <c r="H51" t="s">
        <v>96</v>
      </c>
      <c r="I51" t="s">
        <v>97</v>
      </c>
      <c r="J51" t="s">
        <v>80</v>
      </c>
      <c r="L51" t="s">
        <v>119</v>
      </c>
      <c r="M51" t="s">
        <v>120</v>
      </c>
      <c r="N51" t="s">
        <v>80</v>
      </c>
      <c r="O51" t="s">
        <v>105</v>
      </c>
      <c r="P51" t="str">
        <f>"STORE"</f>
        <v>STORE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70.03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3.9</v>
      </c>
      <c r="BJ51">
        <v>4.2</v>
      </c>
      <c r="BK51">
        <v>4.5</v>
      </c>
      <c r="BL51">
        <v>167.97</v>
      </c>
      <c r="BM51">
        <v>25.2</v>
      </c>
      <c r="BN51">
        <v>193.17</v>
      </c>
      <c r="BO51">
        <v>193.17</v>
      </c>
      <c r="BQ51" t="s">
        <v>115</v>
      </c>
      <c r="BR51" t="s">
        <v>115</v>
      </c>
      <c r="BS51" s="3">
        <v>44806</v>
      </c>
      <c r="BT51" s="4">
        <v>0.40625</v>
      </c>
      <c r="BU51" t="s">
        <v>257</v>
      </c>
      <c r="BV51" t="s">
        <v>83</v>
      </c>
      <c r="BY51">
        <v>20931.599999999999</v>
      </c>
      <c r="BZ51" t="s">
        <v>110</v>
      </c>
      <c r="CA51" t="s">
        <v>123</v>
      </c>
      <c r="CC51" t="s">
        <v>120</v>
      </c>
      <c r="CD51">
        <v>4091</v>
      </c>
      <c r="CE51" t="s">
        <v>85</v>
      </c>
      <c r="CI51">
        <v>1</v>
      </c>
      <c r="CJ51">
        <v>1</v>
      </c>
      <c r="CK51">
        <v>21</v>
      </c>
    </row>
    <row r="52" spans="1:89" x14ac:dyDescent="0.3">
      <c r="A52" t="s">
        <v>72</v>
      </c>
      <c r="B52" t="s">
        <v>73</v>
      </c>
      <c r="C52" t="s">
        <v>74</v>
      </c>
      <c r="E52" t="str">
        <f>"009941618879"</f>
        <v>009941618879</v>
      </c>
      <c r="F52" s="3">
        <v>44805</v>
      </c>
      <c r="G52">
        <v>202306</v>
      </c>
      <c r="H52" t="s">
        <v>96</v>
      </c>
      <c r="I52" t="s">
        <v>97</v>
      </c>
      <c r="J52" t="s">
        <v>80</v>
      </c>
      <c r="L52" t="s">
        <v>136</v>
      </c>
      <c r="M52" t="s">
        <v>137</v>
      </c>
      <c r="N52" t="s">
        <v>253</v>
      </c>
      <c r="O52" t="s">
        <v>105</v>
      </c>
      <c r="P52" t="str">
        <f>"LOCKS"</f>
        <v>LOCKS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73.94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2.5</v>
      </c>
      <c r="BK52">
        <v>2.5</v>
      </c>
      <c r="BL52">
        <v>177.35</v>
      </c>
      <c r="BM52">
        <v>26.6</v>
      </c>
      <c r="BN52">
        <v>203.95</v>
      </c>
      <c r="BO52">
        <v>203.95</v>
      </c>
      <c r="BQ52" t="s">
        <v>115</v>
      </c>
      <c r="BR52" t="s">
        <v>124</v>
      </c>
      <c r="BS52" s="3">
        <v>44806</v>
      </c>
      <c r="BT52" s="4">
        <v>0.3979166666666667</v>
      </c>
      <c r="BU52" t="s">
        <v>256</v>
      </c>
      <c r="BV52" t="s">
        <v>83</v>
      </c>
      <c r="BY52">
        <v>12542.17</v>
      </c>
      <c r="BZ52" t="s">
        <v>110</v>
      </c>
      <c r="CA52" t="s">
        <v>140</v>
      </c>
      <c r="CC52" t="s">
        <v>137</v>
      </c>
      <c r="CD52">
        <v>1034</v>
      </c>
      <c r="CE52" t="s">
        <v>85</v>
      </c>
      <c r="CI52">
        <v>1</v>
      </c>
      <c r="CJ52">
        <v>1</v>
      </c>
      <c r="CK52">
        <v>23</v>
      </c>
    </row>
    <row r="53" spans="1:89" x14ac:dyDescent="0.3">
      <c r="A53" t="s">
        <v>72</v>
      </c>
      <c r="B53" t="s">
        <v>73</v>
      </c>
      <c r="C53" t="s">
        <v>74</v>
      </c>
      <c r="E53" t="str">
        <f>"009941209315"</f>
        <v>009941209315</v>
      </c>
      <c r="F53" s="3">
        <v>44805</v>
      </c>
      <c r="G53">
        <v>202306</v>
      </c>
      <c r="H53" t="s">
        <v>96</v>
      </c>
      <c r="I53" t="s">
        <v>97</v>
      </c>
      <c r="J53" t="s">
        <v>80</v>
      </c>
      <c r="L53" t="s">
        <v>112</v>
      </c>
      <c r="M53" t="s">
        <v>113</v>
      </c>
      <c r="N53" t="s">
        <v>253</v>
      </c>
      <c r="O53" t="s">
        <v>81</v>
      </c>
      <c r="P53" t="str">
        <f>"LOCKS"</f>
        <v>LOCKS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60.2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1.7</v>
      </c>
      <c r="BJ53">
        <v>3.5</v>
      </c>
      <c r="BK53">
        <v>4</v>
      </c>
      <c r="BL53">
        <v>149.65</v>
      </c>
      <c r="BM53">
        <v>22.45</v>
      </c>
      <c r="BN53">
        <v>172.1</v>
      </c>
      <c r="BO53">
        <v>172.1</v>
      </c>
      <c r="BQ53" t="s">
        <v>114</v>
      </c>
      <c r="BR53" t="s">
        <v>115</v>
      </c>
      <c r="BS53" s="3">
        <v>44811</v>
      </c>
      <c r="BT53" s="4">
        <v>0.47638888888888892</v>
      </c>
      <c r="BU53" t="s">
        <v>116</v>
      </c>
      <c r="BV53" t="s">
        <v>109</v>
      </c>
      <c r="BY53">
        <v>17648.939999999999</v>
      </c>
      <c r="BZ53" t="s">
        <v>84</v>
      </c>
      <c r="CA53" t="s">
        <v>258</v>
      </c>
      <c r="CC53" t="s">
        <v>113</v>
      </c>
      <c r="CD53">
        <v>9300</v>
      </c>
      <c r="CE53" t="s">
        <v>85</v>
      </c>
      <c r="CI53">
        <v>3</v>
      </c>
      <c r="CJ53">
        <v>4</v>
      </c>
      <c r="CK53">
        <v>41</v>
      </c>
    </row>
    <row r="54" spans="1:89" x14ac:dyDescent="0.3">
      <c r="A54" t="s">
        <v>72</v>
      </c>
      <c r="B54" t="s">
        <v>73</v>
      </c>
      <c r="C54" t="s">
        <v>74</v>
      </c>
      <c r="E54" t="str">
        <f>"009941291484"</f>
        <v>009941291484</v>
      </c>
      <c r="F54" s="3">
        <v>44805</v>
      </c>
      <c r="G54">
        <v>202306</v>
      </c>
      <c r="H54" t="s">
        <v>96</v>
      </c>
      <c r="I54" t="s">
        <v>97</v>
      </c>
      <c r="J54" t="s">
        <v>80</v>
      </c>
      <c r="L54" t="s">
        <v>147</v>
      </c>
      <c r="M54" t="s">
        <v>148</v>
      </c>
      <c r="N54" t="s">
        <v>253</v>
      </c>
      <c r="O54" t="s">
        <v>105</v>
      </c>
      <c r="P54" t="str">
        <f>"LOCKS"</f>
        <v>LOCKS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93.36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1.8</v>
      </c>
      <c r="BJ54">
        <v>5.7</v>
      </c>
      <c r="BK54">
        <v>6</v>
      </c>
      <c r="BL54">
        <v>223.94</v>
      </c>
      <c r="BM54">
        <v>33.590000000000003</v>
      </c>
      <c r="BN54">
        <v>257.52999999999997</v>
      </c>
      <c r="BO54">
        <v>257.52999999999997</v>
      </c>
      <c r="BQ54" t="s">
        <v>115</v>
      </c>
      <c r="BR54" t="s">
        <v>115</v>
      </c>
      <c r="BS54" s="3">
        <v>44806</v>
      </c>
      <c r="BT54" s="4">
        <v>0.35069444444444442</v>
      </c>
      <c r="BU54" t="s">
        <v>259</v>
      </c>
      <c r="BV54" t="s">
        <v>83</v>
      </c>
      <c r="BY54">
        <v>28417.55</v>
      </c>
      <c r="BZ54" t="s">
        <v>110</v>
      </c>
      <c r="CC54" t="s">
        <v>148</v>
      </c>
      <c r="CD54">
        <v>8000</v>
      </c>
      <c r="CE54" t="s">
        <v>85</v>
      </c>
      <c r="CI54">
        <v>1</v>
      </c>
      <c r="CJ54">
        <v>1</v>
      </c>
      <c r="CK54">
        <v>21</v>
      </c>
    </row>
    <row r="55" spans="1:89" x14ac:dyDescent="0.3">
      <c r="A55" t="s">
        <v>72</v>
      </c>
      <c r="B55" t="s">
        <v>73</v>
      </c>
      <c r="C55" t="s">
        <v>74</v>
      </c>
      <c r="E55" t="str">
        <f>"009935989276"</f>
        <v>009935989276</v>
      </c>
      <c r="F55" s="3">
        <v>44806</v>
      </c>
      <c r="G55">
        <v>202306</v>
      </c>
      <c r="H55" t="s">
        <v>96</v>
      </c>
      <c r="I55" t="s">
        <v>97</v>
      </c>
      <c r="J55" t="s">
        <v>80</v>
      </c>
      <c r="L55" t="s">
        <v>260</v>
      </c>
      <c r="M55" t="s">
        <v>261</v>
      </c>
      <c r="N55" t="s">
        <v>262</v>
      </c>
      <c r="O55" t="s">
        <v>81</v>
      </c>
      <c r="P55" t="str">
        <f>"STORE"</f>
        <v>STORE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84.91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9.5</v>
      </c>
      <c r="BJ55">
        <v>9.6999999999999993</v>
      </c>
      <c r="BK55">
        <v>10</v>
      </c>
      <c r="BL55">
        <v>208.91</v>
      </c>
      <c r="BM55">
        <v>31.34</v>
      </c>
      <c r="BN55">
        <v>240.25</v>
      </c>
      <c r="BO55">
        <v>240.25</v>
      </c>
      <c r="BQ55" t="s">
        <v>263</v>
      </c>
      <c r="BR55" t="s">
        <v>264</v>
      </c>
      <c r="BS55" s="3">
        <v>44809</v>
      </c>
      <c r="BT55" s="4">
        <v>0.43055555555555558</v>
      </c>
      <c r="BU55" t="s">
        <v>265</v>
      </c>
      <c r="BV55" t="s">
        <v>83</v>
      </c>
      <c r="BY55">
        <v>48525.64</v>
      </c>
      <c r="BZ55" t="s">
        <v>84</v>
      </c>
      <c r="CC55" t="s">
        <v>261</v>
      </c>
      <c r="CD55">
        <v>8530</v>
      </c>
      <c r="CE55" t="s">
        <v>85</v>
      </c>
      <c r="CI55">
        <v>4</v>
      </c>
      <c r="CJ55">
        <v>1</v>
      </c>
      <c r="CK55">
        <v>43</v>
      </c>
    </row>
    <row r="56" spans="1:89" x14ac:dyDescent="0.3">
      <c r="A56" t="s">
        <v>72</v>
      </c>
      <c r="B56" t="s">
        <v>73</v>
      </c>
      <c r="C56" t="s">
        <v>74</v>
      </c>
      <c r="E56" t="str">
        <f>"009941735721"</f>
        <v>009941735721</v>
      </c>
      <c r="F56" s="3">
        <v>44806</v>
      </c>
      <c r="G56">
        <v>202306</v>
      </c>
      <c r="H56" t="s">
        <v>96</v>
      </c>
      <c r="I56" t="s">
        <v>97</v>
      </c>
      <c r="J56" t="s">
        <v>262</v>
      </c>
      <c r="L56" t="s">
        <v>266</v>
      </c>
      <c r="M56" t="s">
        <v>267</v>
      </c>
      <c r="N56" t="s">
        <v>80</v>
      </c>
      <c r="O56" t="s">
        <v>105</v>
      </c>
      <c r="P56" t="str">
        <f>"STORES"</f>
        <v>STORES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73.94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1.9</v>
      </c>
      <c r="BJ56">
        <v>2.1</v>
      </c>
      <c r="BK56">
        <v>2.5</v>
      </c>
      <c r="BL56">
        <v>177.35</v>
      </c>
      <c r="BM56">
        <v>26.6</v>
      </c>
      <c r="BN56">
        <v>203.95</v>
      </c>
      <c r="BO56">
        <v>203.95</v>
      </c>
      <c r="BQ56" t="s">
        <v>268</v>
      </c>
      <c r="BR56" t="s">
        <v>115</v>
      </c>
      <c r="BS56" s="3">
        <v>44810</v>
      </c>
      <c r="BT56" s="4">
        <v>0.41666666666666669</v>
      </c>
      <c r="BU56" t="s">
        <v>269</v>
      </c>
      <c r="BV56" t="s">
        <v>83</v>
      </c>
      <c r="BY56">
        <v>10279.11</v>
      </c>
      <c r="BZ56" t="s">
        <v>110</v>
      </c>
      <c r="CC56" t="s">
        <v>267</v>
      </c>
      <c r="CD56">
        <v>5099</v>
      </c>
      <c r="CE56" t="s">
        <v>85</v>
      </c>
      <c r="CI56">
        <v>2</v>
      </c>
      <c r="CJ56">
        <v>2</v>
      </c>
      <c r="CK56">
        <v>23</v>
      </c>
    </row>
    <row r="57" spans="1:89" x14ac:dyDescent="0.3">
      <c r="A57" t="s">
        <v>72</v>
      </c>
      <c r="B57" t="s">
        <v>73</v>
      </c>
      <c r="C57" t="s">
        <v>74</v>
      </c>
      <c r="E57" t="str">
        <f>"009941291482"</f>
        <v>009941291482</v>
      </c>
      <c r="F57" s="3">
        <v>44806</v>
      </c>
      <c r="G57">
        <v>202306</v>
      </c>
      <c r="H57" t="s">
        <v>96</v>
      </c>
      <c r="I57" t="s">
        <v>97</v>
      </c>
      <c r="J57" t="s">
        <v>80</v>
      </c>
      <c r="L57" t="s">
        <v>147</v>
      </c>
      <c r="M57" t="s">
        <v>148</v>
      </c>
      <c r="N57" t="s">
        <v>80</v>
      </c>
      <c r="O57" t="s">
        <v>81</v>
      </c>
      <c r="P57" t="str">
        <f>"LOCKS"</f>
        <v>LOCKS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102.38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31.3</v>
      </c>
      <c r="BJ57">
        <v>26.9</v>
      </c>
      <c r="BK57">
        <v>32</v>
      </c>
      <c r="BL57">
        <v>250.82</v>
      </c>
      <c r="BM57">
        <v>37.619999999999997</v>
      </c>
      <c r="BN57">
        <v>288.44</v>
      </c>
      <c r="BO57">
        <v>288.44</v>
      </c>
      <c r="BQ57" t="s">
        <v>193</v>
      </c>
      <c r="BR57" t="s">
        <v>115</v>
      </c>
      <c r="BS57" s="3">
        <v>44809</v>
      </c>
      <c r="BT57" s="4">
        <v>0.38194444444444442</v>
      </c>
      <c r="BU57" t="s">
        <v>193</v>
      </c>
      <c r="BV57" t="s">
        <v>83</v>
      </c>
      <c r="BY57">
        <v>134741.76999999999</v>
      </c>
      <c r="BZ57" t="s">
        <v>84</v>
      </c>
      <c r="CA57" t="s">
        <v>270</v>
      </c>
      <c r="CC57" t="s">
        <v>148</v>
      </c>
      <c r="CD57">
        <v>8000</v>
      </c>
      <c r="CE57" t="s">
        <v>85</v>
      </c>
      <c r="CI57">
        <v>3</v>
      </c>
      <c r="CJ57">
        <v>1</v>
      </c>
      <c r="CK57">
        <v>41</v>
      </c>
    </row>
    <row r="58" spans="1:89" x14ac:dyDescent="0.3">
      <c r="A58" t="s">
        <v>72</v>
      </c>
      <c r="B58" t="s">
        <v>73</v>
      </c>
      <c r="C58" t="s">
        <v>74</v>
      </c>
      <c r="E58" t="str">
        <f>"009941310024"</f>
        <v>009941310024</v>
      </c>
      <c r="F58" s="3">
        <v>44806</v>
      </c>
      <c r="G58">
        <v>202306</v>
      </c>
      <c r="H58" t="s">
        <v>96</v>
      </c>
      <c r="I58" t="s">
        <v>97</v>
      </c>
      <c r="J58" t="s">
        <v>80</v>
      </c>
      <c r="L58" t="s">
        <v>88</v>
      </c>
      <c r="M58" t="s">
        <v>89</v>
      </c>
      <c r="N58" t="s">
        <v>80</v>
      </c>
      <c r="O58" t="s">
        <v>81</v>
      </c>
      <c r="P58" t="str">
        <f>"STORES"</f>
        <v>STORES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176.05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35.9</v>
      </c>
      <c r="BJ58">
        <v>15.5</v>
      </c>
      <c r="BK58">
        <v>36</v>
      </c>
      <c r="BL58">
        <v>427.52</v>
      </c>
      <c r="BM58">
        <v>64.13</v>
      </c>
      <c r="BN58">
        <v>491.65</v>
      </c>
      <c r="BO58">
        <v>491.65</v>
      </c>
      <c r="BQ58" t="s">
        <v>117</v>
      </c>
      <c r="BR58" t="s">
        <v>115</v>
      </c>
      <c r="BS58" s="3">
        <v>44809</v>
      </c>
      <c r="BT58" s="4">
        <v>0.53680555555555554</v>
      </c>
      <c r="BU58" t="s">
        <v>271</v>
      </c>
      <c r="BV58" t="s">
        <v>83</v>
      </c>
      <c r="BY58">
        <v>77302.19</v>
      </c>
      <c r="BZ58" t="s">
        <v>84</v>
      </c>
      <c r="CA58" t="s">
        <v>255</v>
      </c>
      <c r="CC58" t="s">
        <v>89</v>
      </c>
      <c r="CD58">
        <v>300</v>
      </c>
      <c r="CE58" t="s">
        <v>85</v>
      </c>
      <c r="CI58">
        <v>4</v>
      </c>
      <c r="CJ58">
        <v>1</v>
      </c>
      <c r="CK58">
        <v>43</v>
      </c>
    </row>
    <row r="59" spans="1:89" x14ac:dyDescent="0.3">
      <c r="A59" t="s">
        <v>72</v>
      </c>
      <c r="B59" t="s">
        <v>73</v>
      </c>
      <c r="C59" t="s">
        <v>74</v>
      </c>
      <c r="E59" t="str">
        <f>"009941291483"</f>
        <v>009941291483</v>
      </c>
      <c r="F59" s="3">
        <v>44806</v>
      </c>
      <c r="G59">
        <v>202306</v>
      </c>
      <c r="H59" t="s">
        <v>96</v>
      </c>
      <c r="I59" t="s">
        <v>97</v>
      </c>
      <c r="J59" t="s">
        <v>80</v>
      </c>
      <c r="L59" t="s">
        <v>147</v>
      </c>
      <c r="M59" t="s">
        <v>148</v>
      </c>
      <c r="N59" t="s">
        <v>262</v>
      </c>
      <c r="O59" t="s">
        <v>81</v>
      </c>
      <c r="P59" t="str">
        <f>"SMSALL SPARES"</f>
        <v>SMSALL SPARES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60.2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2.4</v>
      </c>
      <c r="BJ59">
        <v>5.9</v>
      </c>
      <c r="BK59">
        <v>6</v>
      </c>
      <c r="BL59">
        <v>149.65</v>
      </c>
      <c r="BM59">
        <v>22.45</v>
      </c>
      <c r="BN59">
        <v>172.1</v>
      </c>
      <c r="BO59">
        <v>172.1</v>
      </c>
      <c r="BQ59" t="s">
        <v>193</v>
      </c>
      <c r="BR59" t="s">
        <v>115</v>
      </c>
      <c r="BS59" s="3">
        <v>44809</v>
      </c>
      <c r="BT59" s="4">
        <v>0.38194444444444442</v>
      </c>
      <c r="BU59" t="s">
        <v>193</v>
      </c>
      <c r="BV59" t="s">
        <v>83</v>
      </c>
      <c r="BY59">
        <v>29700.41</v>
      </c>
      <c r="BZ59" t="s">
        <v>84</v>
      </c>
      <c r="CA59" t="s">
        <v>270</v>
      </c>
      <c r="CC59" t="s">
        <v>148</v>
      </c>
      <c r="CD59">
        <v>8000</v>
      </c>
      <c r="CE59" t="s">
        <v>85</v>
      </c>
      <c r="CI59">
        <v>3</v>
      </c>
      <c r="CJ59">
        <v>1</v>
      </c>
      <c r="CK59">
        <v>41</v>
      </c>
    </row>
    <row r="60" spans="1:89" x14ac:dyDescent="0.3">
      <c r="A60" t="s">
        <v>72</v>
      </c>
      <c r="B60" t="s">
        <v>73</v>
      </c>
      <c r="C60" t="s">
        <v>74</v>
      </c>
      <c r="E60" t="str">
        <f>"009941567840"</f>
        <v>009941567840</v>
      </c>
      <c r="F60" s="3">
        <v>44806</v>
      </c>
      <c r="G60">
        <v>202306</v>
      </c>
      <c r="H60" t="s">
        <v>96</v>
      </c>
      <c r="I60" t="s">
        <v>97</v>
      </c>
      <c r="J60" t="s">
        <v>80</v>
      </c>
      <c r="L60" t="s">
        <v>78</v>
      </c>
      <c r="M60" t="s">
        <v>79</v>
      </c>
      <c r="N60" t="s">
        <v>272</v>
      </c>
      <c r="O60" t="s">
        <v>105</v>
      </c>
      <c r="P60" t="str">
        <f>"LOCKS"</f>
        <v>LOCKS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24.32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1.3</v>
      </c>
      <c r="BJ60">
        <v>3.7</v>
      </c>
      <c r="BK60">
        <v>4</v>
      </c>
      <c r="BL60">
        <v>58.33</v>
      </c>
      <c r="BM60">
        <v>8.75</v>
      </c>
      <c r="BN60">
        <v>67.08</v>
      </c>
      <c r="BO60">
        <v>67.08</v>
      </c>
      <c r="BQ60" t="s">
        <v>273</v>
      </c>
      <c r="BR60" t="s">
        <v>274</v>
      </c>
      <c r="BS60" s="3">
        <v>44809</v>
      </c>
      <c r="BT60" s="4">
        <v>0.39583333333333331</v>
      </c>
      <c r="BU60" t="s">
        <v>275</v>
      </c>
      <c r="BV60" t="s">
        <v>83</v>
      </c>
      <c r="BY60">
        <v>18500.330000000002</v>
      </c>
      <c r="BZ60" t="s">
        <v>110</v>
      </c>
      <c r="CA60" t="s">
        <v>276</v>
      </c>
      <c r="CC60" t="s">
        <v>79</v>
      </c>
      <c r="CD60">
        <v>2196</v>
      </c>
      <c r="CE60" t="s">
        <v>85</v>
      </c>
      <c r="CI60">
        <v>1</v>
      </c>
      <c r="CJ60">
        <v>1</v>
      </c>
      <c r="CK60">
        <v>22</v>
      </c>
    </row>
    <row r="61" spans="1:89" x14ac:dyDescent="0.3">
      <c r="A61" t="s">
        <v>72</v>
      </c>
      <c r="B61" t="s">
        <v>73</v>
      </c>
      <c r="C61" t="s">
        <v>74</v>
      </c>
      <c r="E61" t="str">
        <f>"009941291481"</f>
        <v>009941291481</v>
      </c>
      <c r="F61" s="3">
        <v>44806</v>
      </c>
      <c r="G61">
        <v>202306</v>
      </c>
      <c r="H61" t="s">
        <v>96</v>
      </c>
      <c r="I61" t="s">
        <v>97</v>
      </c>
      <c r="J61" t="s">
        <v>80</v>
      </c>
      <c r="L61" t="s">
        <v>147</v>
      </c>
      <c r="M61" t="s">
        <v>148</v>
      </c>
      <c r="N61" t="s">
        <v>80</v>
      </c>
      <c r="O61" t="s">
        <v>81</v>
      </c>
      <c r="P61" t="str">
        <f>"LOCKS"</f>
        <v>LOCKS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60.2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13.8</v>
      </c>
      <c r="BJ61">
        <v>13.8</v>
      </c>
      <c r="BK61">
        <v>14</v>
      </c>
      <c r="BL61">
        <v>149.65</v>
      </c>
      <c r="BM61">
        <v>22.45</v>
      </c>
      <c r="BN61">
        <v>172.1</v>
      </c>
      <c r="BO61">
        <v>172.1</v>
      </c>
      <c r="BQ61" t="s">
        <v>277</v>
      </c>
      <c r="BR61" t="s">
        <v>115</v>
      </c>
      <c r="BS61" s="3">
        <v>44809</v>
      </c>
      <c r="BT61" s="4">
        <v>0.38194444444444442</v>
      </c>
      <c r="BU61" t="s">
        <v>193</v>
      </c>
      <c r="BV61" t="s">
        <v>83</v>
      </c>
      <c r="BY61">
        <v>69155.86</v>
      </c>
      <c r="BZ61" t="s">
        <v>84</v>
      </c>
      <c r="CA61" t="s">
        <v>270</v>
      </c>
      <c r="CC61" t="s">
        <v>148</v>
      </c>
      <c r="CD61">
        <v>8000</v>
      </c>
      <c r="CE61" t="s">
        <v>85</v>
      </c>
      <c r="CI61">
        <v>3</v>
      </c>
      <c r="CJ61">
        <v>1</v>
      </c>
      <c r="CK61">
        <v>41</v>
      </c>
    </row>
    <row r="62" spans="1:89" x14ac:dyDescent="0.3">
      <c r="A62" t="s">
        <v>72</v>
      </c>
      <c r="B62" t="s">
        <v>73</v>
      </c>
      <c r="C62" t="s">
        <v>74</v>
      </c>
      <c r="E62" t="str">
        <f>"009942600739"</f>
        <v>009942600739</v>
      </c>
      <c r="F62" s="3">
        <v>44806</v>
      </c>
      <c r="G62">
        <v>202306</v>
      </c>
      <c r="H62" t="s">
        <v>96</v>
      </c>
      <c r="I62" t="s">
        <v>97</v>
      </c>
      <c r="J62" t="s">
        <v>80</v>
      </c>
      <c r="L62" t="s">
        <v>186</v>
      </c>
      <c r="M62" t="s">
        <v>187</v>
      </c>
      <c r="N62" t="s">
        <v>262</v>
      </c>
      <c r="O62" t="s">
        <v>81</v>
      </c>
      <c r="P62" t="str">
        <f>"STORES"</f>
        <v>STORES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149.52000000000001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50.1</v>
      </c>
      <c r="BJ62">
        <v>32.299999999999997</v>
      </c>
      <c r="BK62">
        <v>51</v>
      </c>
      <c r="BL62">
        <v>363.89</v>
      </c>
      <c r="BM62">
        <v>54.58</v>
      </c>
      <c r="BN62">
        <v>418.47</v>
      </c>
      <c r="BO62">
        <v>418.47</v>
      </c>
      <c r="BQ62" t="s">
        <v>221</v>
      </c>
      <c r="BR62" t="s">
        <v>107</v>
      </c>
      <c r="BS62" s="3">
        <v>44809</v>
      </c>
      <c r="BT62" s="4">
        <v>0.47222222222222227</v>
      </c>
      <c r="BU62" t="s">
        <v>278</v>
      </c>
      <c r="BV62" t="s">
        <v>83</v>
      </c>
      <c r="BY62">
        <v>161330.4</v>
      </c>
      <c r="BZ62" t="s">
        <v>84</v>
      </c>
      <c r="CA62" t="s">
        <v>189</v>
      </c>
      <c r="CC62" t="s">
        <v>187</v>
      </c>
      <c r="CD62">
        <v>6045</v>
      </c>
      <c r="CE62" t="s">
        <v>85</v>
      </c>
      <c r="CI62">
        <v>3</v>
      </c>
      <c r="CJ62">
        <v>1</v>
      </c>
      <c r="CK62">
        <v>41</v>
      </c>
    </row>
    <row r="63" spans="1:89" x14ac:dyDescent="0.3">
      <c r="A63" t="s">
        <v>72</v>
      </c>
      <c r="B63" t="s">
        <v>73</v>
      </c>
      <c r="C63" t="s">
        <v>74</v>
      </c>
      <c r="E63" t="str">
        <f>"009942167094"</f>
        <v>009942167094</v>
      </c>
      <c r="F63" s="3">
        <v>44806</v>
      </c>
      <c r="G63">
        <v>202306</v>
      </c>
      <c r="H63" t="s">
        <v>147</v>
      </c>
      <c r="I63" t="s">
        <v>148</v>
      </c>
      <c r="J63" t="s">
        <v>80</v>
      </c>
      <c r="L63" t="s">
        <v>212</v>
      </c>
      <c r="M63" t="s">
        <v>213</v>
      </c>
      <c r="N63" t="s">
        <v>241</v>
      </c>
      <c r="O63" t="s">
        <v>105</v>
      </c>
      <c r="P63" t="str">
        <f>""</f>
        <v/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31.13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0.1</v>
      </c>
      <c r="BJ63">
        <v>1.6</v>
      </c>
      <c r="BK63">
        <v>2</v>
      </c>
      <c r="BL63">
        <v>74.67</v>
      </c>
      <c r="BM63">
        <v>11.2</v>
      </c>
      <c r="BN63">
        <v>85.87</v>
      </c>
      <c r="BO63">
        <v>85.87</v>
      </c>
      <c r="BQ63" t="s">
        <v>279</v>
      </c>
      <c r="BR63" t="s">
        <v>193</v>
      </c>
      <c r="BS63" s="3">
        <v>44809</v>
      </c>
      <c r="BT63" s="4">
        <v>0.33124999999999999</v>
      </c>
      <c r="BU63" t="s">
        <v>280</v>
      </c>
      <c r="BV63" t="s">
        <v>83</v>
      </c>
      <c r="BY63">
        <v>8099.96</v>
      </c>
      <c r="BZ63" t="s">
        <v>110</v>
      </c>
      <c r="CA63" t="s">
        <v>217</v>
      </c>
      <c r="CC63" t="s">
        <v>213</v>
      </c>
      <c r="CD63">
        <v>2194</v>
      </c>
      <c r="CE63" t="s">
        <v>85</v>
      </c>
      <c r="CI63">
        <v>1</v>
      </c>
      <c r="CJ63">
        <v>1</v>
      </c>
      <c r="CK63">
        <v>21</v>
      </c>
    </row>
    <row r="64" spans="1:89" x14ac:dyDescent="0.3">
      <c r="A64" t="s">
        <v>72</v>
      </c>
      <c r="B64" t="s">
        <v>73</v>
      </c>
      <c r="C64" t="s">
        <v>74</v>
      </c>
      <c r="E64" t="str">
        <f>"009941108142"</f>
        <v>009941108142</v>
      </c>
      <c r="F64" s="3">
        <v>44806</v>
      </c>
      <c r="G64">
        <v>202306</v>
      </c>
      <c r="H64" t="s">
        <v>88</v>
      </c>
      <c r="I64" t="s">
        <v>89</v>
      </c>
      <c r="J64" t="s">
        <v>166</v>
      </c>
      <c r="L64" t="s">
        <v>141</v>
      </c>
      <c r="M64" t="s">
        <v>142</v>
      </c>
      <c r="N64" t="s">
        <v>80</v>
      </c>
      <c r="O64" t="s">
        <v>105</v>
      </c>
      <c r="P64" t="str">
        <f>"PARTS"</f>
        <v>PARTS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1422.39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3.5</v>
      </c>
      <c r="BJ64">
        <v>51.9</v>
      </c>
      <c r="BK64">
        <v>52</v>
      </c>
      <c r="BL64">
        <v>3426.75</v>
      </c>
      <c r="BM64">
        <v>514.01</v>
      </c>
      <c r="BN64">
        <v>3940.76</v>
      </c>
      <c r="BO64">
        <v>3940.76</v>
      </c>
      <c r="BQ64" t="s">
        <v>281</v>
      </c>
      <c r="BR64" t="s">
        <v>168</v>
      </c>
      <c r="BS64" s="3">
        <v>44810</v>
      </c>
      <c r="BT64" s="4">
        <v>0.50694444444444442</v>
      </c>
      <c r="BU64" t="s">
        <v>281</v>
      </c>
      <c r="BV64" t="s">
        <v>109</v>
      </c>
      <c r="BY64">
        <v>259524</v>
      </c>
      <c r="BZ64" t="s">
        <v>146</v>
      </c>
      <c r="CC64" t="s">
        <v>142</v>
      </c>
      <c r="CD64">
        <v>2745</v>
      </c>
      <c r="CE64" t="s">
        <v>85</v>
      </c>
      <c r="CI64">
        <v>1</v>
      </c>
      <c r="CJ64">
        <v>2</v>
      </c>
      <c r="CK64">
        <v>23</v>
      </c>
    </row>
    <row r="65" spans="1:89" x14ac:dyDescent="0.3">
      <c r="A65" t="s">
        <v>72</v>
      </c>
      <c r="B65" t="s">
        <v>73</v>
      </c>
      <c r="C65" t="s">
        <v>74</v>
      </c>
      <c r="E65" t="str">
        <f>"009942772228"</f>
        <v>009942772228</v>
      </c>
      <c r="F65" s="3">
        <v>44806</v>
      </c>
      <c r="G65">
        <v>202306</v>
      </c>
      <c r="H65" t="s">
        <v>199</v>
      </c>
      <c r="I65" t="s">
        <v>200</v>
      </c>
      <c r="J65" t="s">
        <v>80</v>
      </c>
      <c r="L65" t="s">
        <v>78</v>
      </c>
      <c r="M65" t="s">
        <v>79</v>
      </c>
      <c r="N65" t="s">
        <v>80</v>
      </c>
      <c r="O65" t="s">
        <v>81</v>
      </c>
      <c r="P65" t="str">
        <f>""</f>
        <v/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60.2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149.65</v>
      </c>
      <c r="BM65">
        <v>22.45</v>
      </c>
      <c r="BN65">
        <v>172.1</v>
      </c>
      <c r="BO65">
        <v>172.1</v>
      </c>
      <c r="BQ65" t="s">
        <v>124</v>
      </c>
      <c r="BR65" t="s">
        <v>202</v>
      </c>
      <c r="BS65" s="3">
        <v>44809</v>
      </c>
      <c r="BT65" s="4">
        <v>0.55902777777777779</v>
      </c>
      <c r="BU65" t="s">
        <v>169</v>
      </c>
      <c r="BV65" t="s">
        <v>83</v>
      </c>
      <c r="BY65">
        <v>1200</v>
      </c>
      <c r="BZ65" t="s">
        <v>84</v>
      </c>
      <c r="CA65" t="s">
        <v>170</v>
      </c>
      <c r="CC65" t="s">
        <v>79</v>
      </c>
      <c r="CD65">
        <v>2196</v>
      </c>
      <c r="CE65" t="s">
        <v>85</v>
      </c>
      <c r="CI65">
        <v>3</v>
      </c>
      <c r="CJ65">
        <v>1</v>
      </c>
      <c r="CK65">
        <v>41</v>
      </c>
    </row>
    <row r="66" spans="1:89" x14ac:dyDescent="0.3">
      <c r="A66" t="s">
        <v>72</v>
      </c>
      <c r="B66" t="s">
        <v>73</v>
      </c>
      <c r="C66" t="s">
        <v>74</v>
      </c>
      <c r="E66" t="str">
        <f>"009942772229"</f>
        <v>009942772229</v>
      </c>
      <c r="F66" s="3">
        <v>44806</v>
      </c>
      <c r="G66">
        <v>202306</v>
      </c>
      <c r="H66" t="s">
        <v>199</v>
      </c>
      <c r="I66" t="s">
        <v>200</v>
      </c>
      <c r="J66" t="s">
        <v>80</v>
      </c>
      <c r="L66" t="s">
        <v>78</v>
      </c>
      <c r="M66" t="s">
        <v>79</v>
      </c>
      <c r="N66" t="s">
        <v>80</v>
      </c>
      <c r="O66" t="s">
        <v>81</v>
      </c>
      <c r="P66" t="str">
        <f>""</f>
        <v/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102.38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23</v>
      </c>
      <c r="BJ66">
        <v>31.2</v>
      </c>
      <c r="BK66">
        <v>32</v>
      </c>
      <c r="BL66">
        <v>250.82</v>
      </c>
      <c r="BM66">
        <v>37.619999999999997</v>
      </c>
      <c r="BN66">
        <v>288.44</v>
      </c>
      <c r="BO66">
        <v>288.44</v>
      </c>
      <c r="BQ66" t="s">
        <v>282</v>
      </c>
      <c r="BR66" t="s">
        <v>202</v>
      </c>
      <c r="BS66" s="3">
        <v>44809</v>
      </c>
      <c r="BT66" s="4">
        <v>0.55972222222222223</v>
      </c>
      <c r="BU66" t="s">
        <v>169</v>
      </c>
      <c r="BV66" t="s">
        <v>83</v>
      </c>
      <c r="BY66">
        <v>155884</v>
      </c>
      <c r="BZ66" t="s">
        <v>84</v>
      </c>
      <c r="CA66" t="s">
        <v>170</v>
      </c>
      <c r="CC66" t="s">
        <v>79</v>
      </c>
      <c r="CD66">
        <v>2196</v>
      </c>
      <c r="CE66" t="s">
        <v>85</v>
      </c>
      <c r="CI66">
        <v>3</v>
      </c>
      <c r="CJ66">
        <v>1</v>
      </c>
      <c r="CK66">
        <v>41</v>
      </c>
    </row>
    <row r="67" spans="1:89" x14ac:dyDescent="0.3">
      <c r="A67" t="s">
        <v>72</v>
      </c>
      <c r="B67" t="s">
        <v>73</v>
      </c>
      <c r="C67" t="s">
        <v>74</v>
      </c>
      <c r="E67" t="str">
        <f>"009942616657"</f>
        <v>009942616657</v>
      </c>
      <c r="F67" s="3">
        <v>44809</v>
      </c>
      <c r="G67">
        <v>202306</v>
      </c>
      <c r="H67" t="s">
        <v>119</v>
      </c>
      <c r="I67" t="s">
        <v>120</v>
      </c>
      <c r="J67" t="s">
        <v>283</v>
      </c>
      <c r="L67" t="s">
        <v>78</v>
      </c>
      <c r="M67" t="s">
        <v>79</v>
      </c>
      <c r="N67" t="s">
        <v>80</v>
      </c>
      <c r="O67" t="s">
        <v>81</v>
      </c>
      <c r="P67" t="str">
        <f>""</f>
        <v/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82.53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15.8</v>
      </c>
      <c r="BJ67">
        <v>23.4</v>
      </c>
      <c r="BK67">
        <v>24</v>
      </c>
      <c r="BL67">
        <v>203.21</v>
      </c>
      <c r="BM67">
        <v>30.48</v>
      </c>
      <c r="BN67">
        <v>233.69</v>
      </c>
      <c r="BO67">
        <v>233.69</v>
      </c>
      <c r="BR67" t="s">
        <v>284</v>
      </c>
      <c r="BS67" s="3">
        <v>44810</v>
      </c>
      <c r="BT67" s="4">
        <v>0.36874999999999997</v>
      </c>
      <c r="BU67" t="s">
        <v>169</v>
      </c>
      <c r="BV67" t="s">
        <v>83</v>
      </c>
      <c r="BY67">
        <v>117045</v>
      </c>
      <c r="BZ67" t="s">
        <v>84</v>
      </c>
      <c r="CA67" t="s">
        <v>170</v>
      </c>
      <c r="CC67" t="s">
        <v>79</v>
      </c>
      <c r="CD67">
        <v>2090</v>
      </c>
      <c r="CE67" t="s">
        <v>85</v>
      </c>
      <c r="CI67">
        <v>3</v>
      </c>
      <c r="CJ67">
        <v>1</v>
      </c>
      <c r="CK67">
        <v>41</v>
      </c>
    </row>
    <row r="68" spans="1:89" x14ac:dyDescent="0.3">
      <c r="A68" t="s">
        <v>72</v>
      </c>
      <c r="B68" t="s">
        <v>73</v>
      </c>
      <c r="C68" t="s">
        <v>74</v>
      </c>
      <c r="E68" t="str">
        <f>"009942600810"</f>
        <v>009942600810</v>
      </c>
      <c r="F68" s="3">
        <v>44809</v>
      </c>
      <c r="G68">
        <v>202306</v>
      </c>
      <c r="H68" t="s">
        <v>96</v>
      </c>
      <c r="I68" t="s">
        <v>97</v>
      </c>
      <c r="J68" t="s">
        <v>80</v>
      </c>
      <c r="L68" t="s">
        <v>94</v>
      </c>
      <c r="M68" t="s">
        <v>95</v>
      </c>
      <c r="N68" t="s">
        <v>80</v>
      </c>
      <c r="O68" t="s">
        <v>81</v>
      </c>
      <c r="P68" t="str">
        <f>"STORES"</f>
        <v>STORES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65.17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16.600000000000001</v>
      </c>
      <c r="BJ68">
        <v>7.9</v>
      </c>
      <c r="BK68">
        <v>17</v>
      </c>
      <c r="BL68">
        <v>161.56</v>
      </c>
      <c r="BM68">
        <v>24.23</v>
      </c>
      <c r="BN68">
        <v>185.79</v>
      </c>
      <c r="BO68">
        <v>185.79</v>
      </c>
      <c r="BQ68" t="s">
        <v>285</v>
      </c>
      <c r="BR68" t="s">
        <v>107</v>
      </c>
      <c r="BS68" s="3">
        <v>44810</v>
      </c>
      <c r="BT68" s="4">
        <v>0.4916666666666667</v>
      </c>
      <c r="BU68" t="s">
        <v>286</v>
      </c>
      <c r="BV68" t="s">
        <v>83</v>
      </c>
      <c r="BY68">
        <v>39330.519999999997</v>
      </c>
      <c r="BZ68" t="s">
        <v>84</v>
      </c>
      <c r="CA68" t="s">
        <v>287</v>
      </c>
      <c r="CC68" t="s">
        <v>95</v>
      </c>
      <c r="CD68">
        <v>701</v>
      </c>
      <c r="CE68" t="s">
        <v>85</v>
      </c>
      <c r="CI68">
        <v>4</v>
      </c>
      <c r="CJ68">
        <v>1</v>
      </c>
      <c r="CK68">
        <v>41</v>
      </c>
    </row>
    <row r="69" spans="1:89" x14ac:dyDescent="0.3">
      <c r="A69" t="s">
        <v>72</v>
      </c>
      <c r="B69" t="s">
        <v>73</v>
      </c>
      <c r="C69" t="s">
        <v>74</v>
      </c>
      <c r="E69" t="str">
        <f>"009941209436"</f>
        <v>009941209436</v>
      </c>
      <c r="F69" s="3">
        <v>44809</v>
      </c>
      <c r="G69">
        <v>202306</v>
      </c>
      <c r="H69" t="s">
        <v>96</v>
      </c>
      <c r="I69" t="s">
        <v>97</v>
      </c>
      <c r="J69" t="s">
        <v>80</v>
      </c>
      <c r="L69" t="s">
        <v>75</v>
      </c>
      <c r="M69" t="s">
        <v>76</v>
      </c>
      <c r="N69" t="s">
        <v>288</v>
      </c>
      <c r="O69" t="s">
        <v>81</v>
      </c>
      <c r="P69" t="str">
        <f>"STORES"</f>
        <v>STORES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152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51.2</v>
      </c>
      <c r="BJ69">
        <v>24.1</v>
      </c>
      <c r="BK69">
        <v>52</v>
      </c>
      <c r="BL69">
        <v>369.84</v>
      </c>
      <c r="BM69">
        <v>55.48</v>
      </c>
      <c r="BN69">
        <v>425.32</v>
      </c>
      <c r="BO69">
        <v>425.32</v>
      </c>
      <c r="BQ69" t="s">
        <v>191</v>
      </c>
      <c r="BR69" t="s">
        <v>115</v>
      </c>
      <c r="BS69" s="3">
        <v>44811</v>
      </c>
      <c r="BT69" s="4">
        <v>0.39374999999999999</v>
      </c>
      <c r="BU69" t="s">
        <v>288</v>
      </c>
      <c r="BV69" t="s">
        <v>83</v>
      </c>
      <c r="BY69">
        <v>120263.02</v>
      </c>
      <c r="BZ69" t="s">
        <v>84</v>
      </c>
      <c r="CA69" t="s">
        <v>289</v>
      </c>
      <c r="CC69" t="s">
        <v>76</v>
      </c>
      <c r="CD69">
        <v>6536</v>
      </c>
      <c r="CE69" t="s">
        <v>85</v>
      </c>
      <c r="CI69">
        <v>3</v>
      </c>
      <c r="CJ69">
        <v>2</v>
      </c>
      <c r="CK69">
        <v>41</v>
      </c>
    </row>
    <row r="70" spans="1:89" x14ac:dyDescent="0.3">
      <c r="A70" t="s">
        <v>72</v>
      </c>
      <c r="B70" t="s">
        <v>73</v>
      </c>
      <c r="C70" t="s">
        <v>74</v>
      </c>
      <c r="E70" t="str">
        <f>"009941567833"</f>
        <v>009941567833</v>
      </c>
      <c r="F70" s="3">
        <v>44809</v>
      </c>
      <c r="G70">
        <v>202306</v>
      </c>
      <c r="H70" t="s">
        <v>96</v>
      </c>
      <c r="I70" t="s">
        <v>97</v>
      </c>
      <c r="J70" t="s">
        <v>80</v>
      </c>
      <c r="L70" t="s">
        <v>125</v>
      </c>
      <c r="M70" t="s">
        <v>126</v>
      </c>
      <c r="N70" t="s">
        <v>80</v>
      </c>
      <c r="O70" t="s">
        <v>105</v>
      </c>
      <c r="P70" t="str">
        <f>"LOCKS"</f>
        <v>LOCKS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31.13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74.67</v>
      </c>
      <c r="BM70">
        <v>11.2</v>
      </c>
      <c r="BN70">
        <v>85.87</v>
      </c>
      <c r="BO70">
        <v>85.87</v>
      </c>
      <c r="BQ70" t="s">
        <v>290</v>
      </c>
      <c r="BR70" t="s">
        <v>291</v>
      </c>
      <c r="BS70" s="3">
        <v>44812</v>
      </c>
      <c r="BT70" s="4">
        <v>0.58333333333333337</v>
      </c>
      <c r="BU70" t="s">
        <v>292</v>
      </c>
      <c r="BV70" t="s">
        <v>109</v>
      </c>
      <c r="BY70">
        <v>1200</v>
      </c>
      <c r="BZ70" t="s">
        <v>110</v>
      </c>
      <c r="CC70" t="s">
        <v>126</v>
      </c>
      <c r="CD70">
        <v>3200</v>
      </c>
      <c r="CE70" t="s">
        <v>85</v>
      </c>
      <c r="CI70">
        <v>1</v>
      </c>
      <c r="CJ70">
        <v>3</v>
      </c>
      <c r="CK70">
        <v>21</v>
      </c>
    </row>
    <row r="71" spans="1:89" x14ac:dyDescent="0.3">
      <c r="A71" t="s">
        <v>72</v>
      </c>
      <c r="B71" t="s">
        <v>73</v>
      </c>
      <c r="C71" t="s">
        <v>74</v>
      </c>
      <c r="E71" t="str">
        <f>"009941209313"</f>
        <v>009941209313</v>
      </c>
      <c r="F71" s="3">
        <v>44809</v>
      </c>
      <c r="G71">
        <v>202306</v>
      </c>
      <c r="H71" t="s">
        <v>96</v>
      </c>
      <c r="I71" t="s">
        <v>97</v>
      </c>
      <c r="J71" t="s">
        <v>80</v>
      </c>
      <c r="L71" t="s">
        <v>112</v>
      </c>
      <c r="M71" t="s">
        <v>113</v>
      </c>
      <c r="N71" t="s">
        <v>80</v>
      </c>
      <c r="O71" t="s">
        <v>105</v>
      </c>
      <c r="P71" t="str">
        <f>"STORES"</f>
        <v>STORES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54.47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1.1000000000000001</v>
      </c>
      <c r="BJ71">
        <v>3.2</v>
      </c>
      <c r="BK71">
        <v>3.5</v>
      </c>
      <c r="BL71">
        <v>130.65</v>
      </c>
      <c r="BM71">
        <v>19.600000000000001</v>
      </c>
      <c r="BN71">
        <v>150.25</v>
      </c>
      <c r="BO71">
        <v>150.25</v>
      </c>
      <c r="BQ71" t="s">
        <v>114</v>
      </c>
      <c r="BR71" t="s">
        <v>115</v>
      </c>
      <c r="BS71" s="3">
        <v>44810</v>
      </c>
      <c r="BT71" s="4">
        <v>0.46180555555555558</v>
      </c>
      <c r="BU71" t="s">
        <v>293</v>
      </c>
      <c r="BV71" t="s">
        <v>109</v>
      </c>
      <c r="BY71">
        <v>15956.03</v>
      </c>
      <c r="BZ71" t="s">
        <v>110</v>
      </c>
      <c r="CA71" t="s">
        <v>258</v>
      </c>
      <c r="CC71" t="s">
        <v>113</v>
      </c>
      <c r="CD71">
        <v>9301</v>
      </c>
      <c r="CE71" t="s">
        <v>85</v>
      </c>
      <c r="CI71">
        <v>1</v>
      </c>
      <c r="CJ71">
        <v>1</v>
      </c>
      <c r="CK71">
        <v>21</v>
      </c>
    </row>
    <row r="72" spans="1:89" x14ac:dyDescent="0.3">
      <c r="A72" t="s">
        <v>72</v>
      </c>
      <c r="B72" t="s">
        <v>73</v>
      </c>
      <c r="C72" t="s">
        <v>74</v>
      </c>
      <c r="E72" t="str">
        <f>"009941567835"</f>
        <v>009941567835</v>
      </c>
      <c r="F72" s="3">
        <v>44809</v>
      </c>
      <c r="G72">
        <v>202306</v>
      </c>
      <c r="H72" t="s">
        <v>96</v>
      </c>
      <c r="I72" t="s">
        <v>97</v>
      </c>
      <c r="J72" t="s">
        <v>80</v>
      </c>
      <c r="L72" t="s">
        <v>162</v>
      </c>
      <c r="M72" t="s">
        <v>163</v>
      </c>
      <c r="N72" t="s">
        <v>80</v>
      </c>
      <c r="O72" t="s">
        <v>105</v>
      </c>
      <c r="P72" t="str">
        <f>"LOCKS"</f>
        <v>LOCKS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54.47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1.1000000000000001</v>
      </c>
      <c r="BJ72">
        <v>3.2</v>
      </c>
      <c r="BK72">
        <v>3.5</v>
      </c>
      <c r="BL72">
        <v>130.65</v>
      </c>
      <c r="BM72">
        <v>19.600000000000001</v>
      </c>
      <c r="BN72">
        <v>150.25</v>
      </c>
      <c r="BO72">
        <v>150.25</v>
      </c>
      <c r="BQ72" t="s">
        <v>294</v>
      </c>
      <c r="BR72" t="s">
        <v>124</v>
      </c>
      <c r="BS72" s="3">
        <v>44811</v>
      </c>
      <c r="BT72" s="4">
        <v>0.37152777777777773</v>
      </c>
      <c r="BU72" t="s">
        <v>230</v>
      </c>
      <c r="BV72" t="s">
        <v>109</v>
      </c>
      <c r="BY72">
        <v>15889.63</v>
      </c>
      <c r="BZ72" t="s">
        <v>110</v>
      </c>
      <c r="CC72" t="s">
        <v>163</v>
      </c>
      <c r="CD72">
        <v>3900</v>
      </c>
      <c r="CE72" t="s">
        <v>85</v>
      </c>
      <c r="CI72">
        <v>1</v>
      </c>
      <c r="CJ72">
        <v>2</v>
      </c>
      <c r="CK72">
        <v>21</v>
      </c>
    </row>
    <row r="73" spans="1:89" x14ac:dyDescent="0.3">
      <c r="A73" t="s">
        <v>72</v>
      </c>
      <c r="B73" t="s">
        <v>73</v>
      </c>
      <c r="C73" t="s">
        <v>74</v>
      </c>
      <c r="E73" t="str">
        <f>"009941618880"</f>
        <v>009941618880</v>
      </c>
      <c r="F73" s="3">
        <v>44809</v>
      </c>
      <c r="G73">
        <v>202306</v>
      </c>
      <c r="H73" t="s">
        <v>96</v>
      </c>
      <c r="I73" t="s">
        <v>97</v>
      </c>
      <c r="J73" t="s">
        <v>80</v>
      </c>
      <c r="L73" t="s">
        <v>136</v>
      </c>
      <c r="M73" t="s">
        <v>137</v>
      </c>
      <c r="N73" t="s">
        <v>80</v>
      </c>
      <c r="O73" t="s">
        <v>105</v>
      </c>
      <c r="P73" t="str">
        <f>"LOCKS"</f>
        <v>LOCKS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60.32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144.68</v>
      </c>
      <c r="BM73">
        <v>21.7</v>
      </c>
      <c r="BN73">
        <v>166.38</v>
      </c>
      <c r="BO73">
        <v>166.38</v>
      </c>
      <c r="BQ73" t="s">
        <v>138</v>
      </c>
      <c r="BR73" t="s">
        <v>124</v>
      </c>
      <c r="BS73" s="3">
        <v>44810</v>
      </c>
      <c r="BT73" s="4">
        <v>0.34375</v>
      </c>
      <c r="BU73" t="s">
        <v>295</v>
      </c>
      <c r="BV73" t="s">
        <v>83</v>
      </c>
      <c r="BY73">
        <v>1200</v>
      </c>
      <c r="BZ73" t="s">
        <v>110</v>
      </c>
      <c r="CA73" t="s">
        <v>140</v>
      </c>
      <c r="CC73" t="s">
        <v>137</v>
      </c>
      <c r="CD73">
        <v>1034</v>
      </c>
      <c r="CE73" t="s">
        <v>85</v>
      </c>
      <c r="CI73">
        <v>1</v>
      </c>
      <c r="CJ73">
        <v>1</v>
      </c>
      <c r="CK73">
        <v>23</v>
      </c>
    </row>
    <row r="74" spans="1:89" x14ac:dyDescent="0.3">
      <c r="A74" t="s">
        <v>72</v>
      </c>
      <c r="B74" t="s">
        <v>73</v>
      </c>
      <c r="C74" t="s">
        <v>74</v>
      </c>
      <c r="E74" t="str">
        <f>"009941108144"</f>
        <v>009941108144</v>
      </c>
      <c r="F74" s="3">
        <v>44809</v>
      </c>
      <c r="G74">
        <v>202306</v>
      </c>
      <c r="H74" t="s">
        <v>88</v>
      </c>
      <c r="I74" t="s">
        <v>89</v>
      </c>
      <c r="J74" t="s">
        <v>80</v>
      </c>
      <c r="L74" t="s">
        <v>86</v>
      </c>
      <c r="M74" t="s">
        <v>87</v>
      </c>
      <c r="N74" t="s">
        <v>80</v>
      </c>
      <c r="O74" t="s">
        <v>81</v>
      </c>
      <c r="P74" t="str">
        <f>""</f>
        <v/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84.91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1.2</v>
      </c>
      <c r="BK74">
        <v>2</v>
      </c>
      <c r="BL74">
        <v>208.91</v>
      </c>
      <c r="BM74">
        <v>31.34</v>
      </c>
      <c r="BN74">
        <v>240.25</v>
      </c>
      <c r="BO74">
        <v>240.25</v>
      </c>
      <c r="BQ74" t="s">
        <v>91</v>
      </c>
      <c r="BR74" t="s">
        <v>117</v>
      </c>
      <c r="BS74" s="3">
        <v>44810</v>
      </c>
      <c r="BT74" s="4">
        <v>0.45833333333333331</v>
      </c>
      <c r="BU74" t="s">
        <v>91</v>
      </c>
      <c r="BV74" t="s">
        <v>83</v>
      </c>
      <c r="BY74">
        <v>6000</v>
      </c>
      <c r="BZ74" t="s">
        <v>84</v>
      </c>
      <c r="CC74" t="s">
        <v>87</v>
      </c>
      <c r="CD74">
        <v>2570</v>
      </c>
      <c r="CE74" t="s">
        <v>85</v>
      </c>
      <c r="CI74">
        <v>4</v>
      </c>
      <c r="CJ74">
        <v>1</v>
      </c>
      <c r="CK74">
        <v>43</v>
      </c>
    </row>
    <row r="75" spans="1:89" x14ac:dyDescent="0.3">
      <c r="A75" t="s">
        <v>72</v>
      </c>
      <c r="B75" t="s">
        <v>73</v>
      </c>
      <c r="C75" t="s">
        <v>74</v>
      </c>
      <c r="E75" t="str">
        <f>"009941108145"</f>
        <v>009941108145</v>
      </c>
      <c r="F75" s="3">
        <v>44809</v>
      </c>
      <c r="G75">
        <v>202306</v>
      </c>
      <c r="H75" t="s">
        <v>88</v>
      </c>
      <c r="I75" t="s">
        <v>89</v>
      </c>
      <c r="J75" t="s">
        <v>166</v>
      </c>
      <c r="L75" t="s">
        <v>141</v>
      </c>
      <c r="M75" t="s">
        <v>142</v>
      </c>
      <c r="N75" t="s">
        <v>80</v>
      </c>
      <c r="O75" t="s">
        <v>81</v>
      </c>
      <c r="P75" t="str">
        <f>"PARTS"</f>
        <v>PARTS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228.13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47.1</v>
      </c>
      <c r="BJ75">
        <v>7.7</v>
      </c>
      <c r="BK75">
        <v>48</v>
      </c>
      <c r="BL75">
        <v>567.44000000000005</v>
      </c>
      <c r="BM75">
        <v>85.12</v>
      </c>
      <c r="BN75">
        <v>652.55999999999995</v>
      </c>
      <c r="BO75">
        <v>652.55999999999995</v>
      </c>
      <c r="BQ75" t="s">
        <v>281</v>
      </c>
      <c r="BR75" t="s">
        <v>117</v>
      </c>
      <c r="BS75" s="3">
        <v>44810</v>
      </c>
      <c r="BT75" s="4">
        <v>0.51388888888888895</v>
      </c>
      <c r="BU75" t="s">
        <v>281</v>
      </c>
      <c r="BV75" t="s">
        <v>83</v>
      </c>
      <c r="BY75">
        <v>38590</v>
      </c>
      <c r="BZ75" t="s">
        <v>296</v>
      </c>
      <c r="CC75" t="s">
        <v>142</v>
      </c>
      <c r="CD75">
        <v>2745</v>
      </c>
      <c r="CE75" t="s">
        <v>85</v>
      </c>
      <c r="CI75">
        <v>4</v>
      </c>
      <c r="CJ75">
        <v>1</v>
      </c>
      <c r="CK75">
        <v>43</v>
      </c>
    </row>
    <row r="76" spans="1:89" x14ac:dyDescent="0.3">
      <c r="A76" t="s">
        <v>72</v>
      </c>
      <c r="B76" t="s">
        <v>73</v>
      </c>
      <c r="C76" t="s">
        <v>74</v>
      </c>
      <c r="E76" t="str">
        <f>"009941108143"</f>
        <v>009941108143</v>
      </c>
      <c r="F76" s="3">
        <v>44809</v>
      </c>
      <c r="G76">
        <v>202306</v>
      </c>
      <c r="H76" t="s">
        <v>88</v>
      </c>
      <c r="I76" t="s">
        <v>89</v>
      </c>
      <c r="J76" t="s">
        <v>80</v>
      </c>
      <c r="L76" t="s">
        <v>96</v>
      </c>
      <c r="M76" t="s">
        <v>97</v>
      </c>
      <c r="N76" t="s">
        <v>80</v>
      </c>
      <c r="O76" t="s">
        <v>81</v>
      </c>
      <c r="P76" t="str">
        <f>""</f>
        <v/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432.11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7</v>
      </c>
      <c r="BI76">
        <v>95</v>
      </c>
      <c r="BJ76">
        <v>67.5</v>
      </c>
      <c r="BK76">
        <v>95</v>
      </c>
      <c r="BL76">
        <v>1041.71</v>
      </c>
      <c r="BM76">
        <v>156.26</v>
      </c>
      <c r="BN76">
        <v>1197.97</v>
      </c>
      <c r="BO76">
        <v>1197.97</v>
      </c>
      <c r="BQ76" t="s">
        <v>167</v>
      </c>
      <c r="BR76" t="s">
        <v>117</v>
      </c>
      <c r="BS76" s="3">
        <v>44810</v>
      </c>
      <c r="BT76" s="4">
        <v>0.36736111111111108</v>
      </c>
      <c r="BU76" t="s">
        <v>169</v>
      </c>
      <c r="BV76" t="s">
        <v>83</v>
      </c>
      <c r="BY76">
        <v>147456</v>
      </c>
      <c r="BZ76" t="s">
        <v>84</v>
      </c>
      <c r="CA76" t="s">
        <v>170</v>
      </c>
      <c r="CC76" t="s">
        <v>97</v>
      </c>
      <c r="CD76">
        <v>2146</v>
      </c>
      <c r="CE76" t="s">
        <v>85</v>
      </c>
      <c r="CI76">
        <v>3</v>
      </c>
      <c r="CJ76">
        <v>1</v>
      </c>
      <c r="CK76">
        <v>43</v>
      </c>
    </row>
    <row r="77" spans="1:89" x14ac:dyDescent="0.3">
      <c r="A77" t="s">
        <v>72</v>
      </c>
      <c r="B77" t="s">
        <v>73</v>
      </c>
      <c r="C77" t="s">
        <v>74</v>
      </c>
      <c r="E77" t="str">
        <f>"009941856159"</f>
        <v>009941856159</v>
      </c>
      <c r="F77" s="3">
        <v>44809</v>
      </c>
      <c r="G77">
        <v>202306</v>
      </c>
      <c r="H77" t="s">
        <v>96</v>
      </c>
      <c r="I77" t="s">
        <v>97</v>
      </c>
      <c r="J77" t="s">
        <v>80</v>
      </c>
      <c r="L77" t="s">
        <v>75</v>
      </c>
      <c r="M77" t="s">
        <v>76</v>
      </c>
      <c r="N77" t="s">
        <v>297</v>
      </c>
      <c r="O77" t="s">
        <v>105</v>
      </c>
      <c r="P77" t="str">
        <f>"LOCKS"</f>
        <v>LOCKS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31.13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74.67</v>
      </c>
      <c r="BM77">
        <v>11.2</v>
      </c>
      <c r="BN77">
        <v>85.87</v>
      </c>
      <c r="BO77">
        <v>85.87</v>
      </c>
      <c r="BQ77" t="s">
        <v>298</v>
      </c>
      <c r="BR77" t="s">
        <v>107</v>
      </c>
      <c r="BS77" s="3">
        <v>44810</v>
      </c>
      <c r="BT77" s="4">
        <v>0.54166666666666663</v>
      </c>
      <c r="BU77" t="s">
        <v>299</v>
      </c>
      <c r="BV77" t="s">
        <v>109</v>
      </c>
      <c r="BY77">
        <v>1200</v>
      </c>
      <c r="BZ77" t="s">
        <v>110</v>
      </c>
      <c r="CC77" t="s">
        <v>76</v>
      </c>
      <c r="CD77">
        <v>6536</v>
      </c>
      <c r="CE77" t="s">
        <v>85</v>
      </c>
      <c r="CI77">
        <v>1</v>
      </c>
      <c r="CJ77">
        <v>1</v>
      </c>
      <c r="CK77">
        <v>21</v>
      </c>
    </row>
    <row r="78" spans="1:89" x14ac:dyDescent="0.3">
      <c r="A78" t="s">
        <v>72</v>
      </c>
      <c r="B78" t="s">
        <v>73</v>
      </c>
      <c r="C78" t="s">
        <v>74</v>
      </c>
      <c r="E78" t="str">
        <f>"009940901471"</f>
        <v>009940901471</v>
      </c>
      <c r="F78" s="3">
        <v>44810</v>
      </c>
      <c r="G78">
        <v>202306</v>
      </c>
      <c r="H78" t="s">
        <v>131</v>
      </c>
      <c r="I78" t="s">
        <v>132</v>
      </c>
      <c r="J78" t="s">
        <v>80</v>
      </c>
      <c r="L78" t="s">
        <v>94</v>
      </c>
      <c r="M78" t="s">
        <v>95</v>
      </c>
      <c r="N78" t="s">
        <v>262</v>
      </c>
      <c r="O78" t="s">
        <v>81</v>
      </c>
      <c r="P78" t="str">
        <f>""</f>
        <v/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95.9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15</v>
      </c>
      <c r="BJ78">
        <v>31.2</v>
      </c>
      <c r="BK78">
        <v>32</v>
      </c>
      <c r="BL78">
        <v>235.28</v>
      </c>
      <c r="BM78">
        <v>35.29</v>
      </c>
      <c r="BN78">
        <v>270.57</v>
      </c>
      <c r="BO78">
        <v>270.57</v>
      </c>
      <c r="BQ78" t="s">
        <v>300</v>
      </c>
      <c r="BR78" t="s">
        <v>301</v>
      </c>
      <c r="BS78" s="3">
        <v>44810</v>
      </c>
      <c r="BT78" s="4">
        <v>0.58680555555555558</v>
      </c>
      <c r="BU78" t="s">
        <v>302</v>
      </c>
      <c r="BV78" t="s">
        <v>83</v>
      </c>
      <c r="BY78">
        <v>156000</v>
      </c>
      <c r="BZ78" t="s">
        <v>84</v>
      </c>
      <c r="CA78" t="s">
        <v>287</v>
      </c>
      <c r="CC78" t="s">
        <v>95</v>
      </c>
      <c r="CD78">
        <v>700</v>
      </c>
      <c r="CE78" t="s">
        <v>85</v>
      </c>
      <c r="CI78">
        <v>3</v>
      </c>
      <c r="CJ78">
        <v>0</v>
      </c>
      <c r="CK78">
        <v>44</v>
      </c>
    </row>
    <row r="79" spans="1:89" x14ac:dyDescent="0.3">
      <c r="A79" t="s">
        <v>72</v>
      </c>
      <c r="B79" t="s">
        <v>73</v>
      </c>
      <c r="C79" t="s">
        <v>74</v>
      </c>
      <c r="E79" t="str">
        <f>"009942333471"</f>
        <v>009942333471</v>
      </c>
      <c r="F79" s="3">
        <v>44810</v>
      </c>
      <c r="G79">
        <v>202306</v>
      </c>
      <c r="H79" t="s">
        <v>303</v>
      </c>
      <c r="I79" t="s">
        <v>304</v>
      </c>
      <c r="J79" t="s">
        <v>262</v>
      </c>
      <c r="L79" t="s">
        <v>78</v>
      </c>
      <c r="M79" t="s">
        <v>79</v>
      </c>
      <c r="N79" t="s">
        <v>80</v>
      </c>
      <c r="O79" t="s">
        <v>81</v>
      </c>
      <c r="P79" t="str">
        <f>""</f>
        <v/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129.66999999999999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22</v>
      </c>
      <c r="BJ79">
        <v>42.2</v>
      </c>
      <c r="BK79">
        <v>43</v>
      </c>
      <c r="BL79">
        <v>316.27999999999997</v>
      </c>
      <c r="BM79">
        <v>47.44</v>
      </c>
      <c r="BN79">
        <v>363.72</v>
      </c>
      <c r="BO79">
        <v>363.72</v>
      </c>
      <c r="BR79" t="s">
        <v>305</v>
      </c>
      <c r="BS79" s="3">
        <v>44811</v>
      </c>
      <c r="BT79" s="4">
        <v>0.4201388888888889</v>
      </c>
      <c r="BU79" t="s">
        <v>169</v>
      </c>
      <c r="BV79" t="s">
        <v>83</v>
      </c>
      <c r="BY79">
        <v>211200</v>
      </c>
      <c r="BZ79" t="s">
        <v>84</v>
      </c>
      <c r="CA79" t="s">
        <v>170</v>
      </c>
      <c r="CC79" t="s">
        <v>79</v>
      </c>
      <c r="CD79">
        <v>2090</v>
      </c>
      <c r="CE79" t="s">
        <v>85</v>
      </c>
      <c r="CI79">
        <v>3</v>
      </c>
      <c r="CJ79">
        <v>1</v>
      </c>
      <c r="CK79">
        <v>41</v>
      </c>
    </row>
    <row r="80" spans="1:89" x14ac:dyDescent="0.3">
      <c r="A80" t="s">
        <v>72</v>
      </c>
      <c r="B80" t="s">
        <v>73</v>
      </c>
      <c r="C80" t="s">
        <v>74</v>
      </c>
      <c r="E80" t="str">
        <f>"009941108146"</f>
        <v>009941108146</v>
      </c>
      <c r="F80" s="3">
        <v>44810</v>
      </c>
      <c r="G80">
        <v>202306</v>
      </c>
      <c r="H80" t="s">
        <v>88</v>
      </c>
      <c r="I80" t="s">
        <v>89</v>
      </c>
      <c r="J80" t="s">
        <v>80</v>
      </c>
      <c r="L80" t="s">
        <v>141</v>
      </c>
      <c r="M80" t="s">
        <v>142</v>
      </c>
      <c r="N80" t="s">
        <v>262</v>
      </c>
      <c r="O80" t="s">
        <v>81</v>
      </c>
      <c r="P80" t="str">
        <f>""</f>
        <v/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84.91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223.91</v>
      </c>
      <c r="BM80">
        <v>33.590000000000003</v>
      </c>
      <c r="BN80">
        <v>257.5</v>
      </c>
      <c r="BO80">
        <v>257.5</v>
      </c>
      <c r="BQ80" t="s">
        <v>281</v>
      </c>
      <c r="BR80" t="s">
        <v>306</v>
      </c>
      <c r="BS80" s="3">
        <v>44811</v>
      </c>
      <c r="BT80" s="4">
        <v>0.52083333333333337</v>
      </c>
      <c r="BU80" t="s">
        <v>281</v>
      </c>
      <c r="BV80" t="s">
        <v>83</v>
      </c>
      <c r="BY80">
        <v>1200</v>
      </c>
      <c r="BZ80" t="s">
        <v>296</v>
      </c>
      <c r="CC80" t="s">
        <v>142</v>
      </c>
      <c r="CD80">
        <v>2745</v>
      </c>
      <c r="CE80" t="s">
        <v>85</v>
      </c>
      <c r="CI80">
        <v>4</v>
      </c>
      <c r="CJ80">
        <v>1</v>
      </c>
      <c r="CK80">
        <v>43</v>
      </c>
    </row>
    <row r="81" spans="1:89" x14ac:dyDescent="0.3">
      <c r="A81" t="s">
        <v>72</v>
      </c>
      <c r="B81" t="s">
        <v>73</v>
      </c>
      <c r="C81" t="s">
        <v>74</v>
      </c>
      <c r="E81" t="str">
        <f>"009941332874"</f>
        <v>009941332874</v>
      </c>
      <c r="F81" s="3">
        <v>44809</v>
      </c>
      <c r="G81">
        <v>202306</v>
      </c>
      <c r="H81" t="s">
        <v>96</v>
      </c>
      <c r="I81" t="s">
        <v>97</v>
      </c>
      <c r="J81" t="s">
        <v>80</v>
      </c>
      <c r="L81" t="s">
        <v>119</v>
      </c>
      <c r="M81" t="s">
        <v>120</v>
      </c>
      <c r="N81" t="s">
        <v>307</v>
      </c>
      <c r="O81" t="s">
        <v>81</v>
      </c>
      <c r="P81" t="str">
        <f>"SMALL SPARES"</f>
        <v>SMALL SPARES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60.2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4.2</v>
      </c>
      <c r="BJ81">
        <v>11.7</v>
      </c>
      <c r="BK81">
        <v>12</v>
      </c>
      <c r="BL81">
        <v>149.65</v>
      </c>
      <c r="BM81">
        <v>22.45</v>
      </c>
      <c r="BN81">
        <v>172.1</v>
      </c>
      <c r="BO81">
        <v>172.1</v>
      </c>
      <c r="BQ81" t="s">
        <v>196</v>
      </c>
      <c r="BR81" t="s">
        <v>115</v>
      </c>
      <c r="BS81" s="3">
        <v>44811</v>
      </c>
      <c r="BT81" s="4">
        <v>0.63402777777777775</v>
      </c>
      <c r="BU81" t="s">
        <v>308</v>
      </c>
      <c r="BV81" t="s">
        <v>83</v>
      </c>
      <c r="BY81">
        <v>58526.82</v>
      </c>
      <c r="BZ81" t="s">
        <v>84</v>
      </c>
      <c r="CA81" t="s">
        <v>198</v>
      </c>
      <c r="CC81" t="s">
        <v>120</v>
      </c>
      <c r="CD81">
        <v>4091</v>
      </c>
      <c r="CE81" t="s">
        <v>85</v>
      </c>
      <c r="CI81">
        <v>4</v>
      </c>
      <c r="CJ81">
        <v>1</v>
      </c>
      <c r="CK81">
        <v>41</v>
      </c>
    </row>
    <row r="82" spans="1:89" x14ac:dyDescent="0.3">
      <c r="A82" t="s">
        <v>72</v>
      </c>
      <c r="B82" t="s">
        <v>73</v>
      </c>
      <c r="C82" t="s">
        <v>74</v>
      </c>
      <c r="E82" t="str">
        <f>"009942319806"</f>
        <v>009942319806</v>
      </c>
      <c r="F82" s="3">
        <v>44810</v>
      </c>
      <c r="G82">
        <v>202306</v>
      </c>
      <c r="H82" t="s">
        <v>96</v>
      </c>
      <c r="I82" t="s">
        <v>97</v>
      </c>
      <c r="J82" t="s">
        <v>80</v>
      </c>
      <c r="L82" t="s">
        <v>94</v>
      </c>
      <c r="M82" t="s">
        <v>95</v>
      </c>
      <c r="N82" t="s">
        <v>80</v>
      </c>
      <c r="O82" t="s">
        <v>105</v>
      </c>
      <c r="P82" t="str">
        <f>"LOCKS"</f>
        <v>LOCKS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38.909999999999997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0.6</v>
      </c>
      <c r="BJ82">
        <v>2.2999999999999998</v>
      </c>
      <c r="BK82">
        <v>2.5</v>
      </c>
      <c r="BL82">
        <v>93.33</v>
      </c>
      <c r="BM82">
        <v>14</v>
      </c>
      <c r="BN82">
        <v>107.33</v>
      </c>
      <c r="BO82">
        <v>107.33</v>
      </c>
      <c r="BQ82" t="s">
        <v>115</v>
      </c>
      <c r="BR82" t="s">
        <v>309</v>
      </c>
      <c r="BS82" s="3">
        <v>44811</v>
      </c>
      <c r="BT82" s="4">
        <v>0.4368055555555555</v>
      </c>
      <c r="BU82" t="s">
        <v>300</v>
      </c>
      <c r="BV82" t="s">
        <v>83</v>
      </c>
      <c r="BY82">
        <v>11514.5</v>
      </c>
      <c r="BZ82" t="s">
        <v>110</v>
      </c>
      <c r="CA82" t="s">
        <v>287</v>
      </c>
      <c r="CC82" t="s">
        <v>95</v>
      </c>
      <c r="CD82">
        <v>699</v>
      </c>
      <c r="CE82" t="s">
        <v>85</v>
      </c>
      <c r="CI82">
        <v>1</v>
      </c>
      <c r="CJ82">
        <v>1</v>
      </c>
      <c r="CK82">
        <v>21</v>
      </c>
    </row>
    <row r="83" spans="1:89" x14ac:dyDescent="0.3">
      <c r="A83" t="s">
        <v>72</v>
      </c>
      <c r="B83" t="s">
        <v>73</v>
      </c>
      <c r="C83" t="s">
        <v>74</v>
      </c>
      <c r="E83" t="str">
        <f>"009941735735"</f>
        <v>009941735735</v>
      </c>
      <c r="F83" s="3">
        <v>44810</v>
      </c>
      <c r="G83">
        <v>202306</v>
      </c>
      <c r="H83" t="s">
        <v>96</v>
      </c>
      <c r="I83" t="s">
        <v>97</v>
      </c>
      <c r="J83" t="s">
        <v>80</v>
      </c>
      <c r="L83" t="s">
        <v>162</v>
      </c>
      <c r="M83" t="s">
        <v>163</v>
      </c>
      <c r="N83" t="s">
        <v>80</v>
      </c>
      <c r="O83" t="s">
        <v>81</v>
      </c>
      <c r="P83" t="str">
        <f>"LOCKS"</f>
        <v>LOCKS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60.2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13.9</v>
      </c>
      <c r="BJ83">
        <v>12.3</v>
      </c>
      <c r="BK83">
        <v>14</v>
      </c>
      <c r="BL83">
        <v>149.65</v>
      </c>
      <c r="BM83">
        <v>22.45</v>
      </c>
      <c r="BN83">
        <v>172.1</v>
      </c>
      <c r="BO83">
        <v>172.1</v>
      </c>
      <c r="BQ83" t="s">
        <v>310</v>
      </c>
      <c r="BR83" t="s">
        <v>115</v>
      </c>
      <c r="BS83" s="3">
        <v>44813</v>
      </c>
      <c r="BT83" s="4">
        <v>0.40069444444444446</v>
      </c>
      <c r="BU83" t="s">
        <v>311</v>
      </c>
      <c r="BV83" t="s">
        <v>109</v>
      </c>
      <c r="BY83">
        <v>61554.74</v>
      </c>
      <c r="BZ83" t="s">
        <v>84</v>
      </c>
      <c r="CC83" t="s">
        <v>163</v>
      </c>
      <c r="CD83">
        <v>3900</v>
      </c>
      <c r="CE83" t="s">
        <v>85</v>
      </c>
      <c r="CI83">
        <v>3</v>
      </c>
      <c r="CJ83">
        <v>3</v>
      </c>
      <c r="CK83">
        <v>41</v>
      </c>
    </row>
    <row r="84" spans="1:89" x14ac:dyDescent="0.3">
      <c r="A84" t="s">
        <v>72</v>
      </c>
      <c r="B84" t="s">
        <v>73</v>
      </c>
      <c r="C84" t="s">
        <v>74</v>
      </c>
      <c r="E84" t="str">
        <f>"009941332872"</f>
        <v>009941332872</v>
      </c>
      <c r="F84" s="3">
        <v>44810</v>
      </c>
      <c r="G84">
        <v>202306</v>
      </c>
      <c r="H84" t="s">
        <v>96</v>
      </c>
      <c r="I84" t="s">
        <v>97</v>
      </c>
      <c r="J84" t="s">
        <v>80</v>
      </c>
      <c r="L84" t="s">
        <v>119</v>
      </c>
      <c r="M84" t="s">
        <v>120</v>
      </c>
      <c r="N84" t="s">
        <v>80</v>
      </c>
      <c r="O84" t="s">
        <v>81</v>
      </c>
      <c r="P84" t="str">
        <f>"LOCKS"</f>
        <v>LOCKS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179.29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58.4</v>
      </c>
      <c r="BJ84">
        <v>62.5</v>
      </c>
      <c r="BK84">
        <v>63</v>
      </c>
      <c r="BL84">
        <v>435.3</v>
      </c>
      <c r="BM84">
        <v>65.3</v>
      </c>
      <c r="BN84">
        <v>500.6</v>
      </c>
      <c r="BO84">
        <v>500.6</v>
      </c>
      <c r="BQ84" t="s">
        <v>196</v>
      </c>
      <c r="BR84" t="s">
        <v>115</v>
      </c>
      <c r="BS84" s="3">
        <v>44811</v>
      </c>
      <c r="BT84" s="4">
        <v>0.55069444444444449</v>
      </c>
      <c r="BU84" t="s">
        <v>312</v>
      </c>
      <c r="BV84" t="s">
        <v>83</v>
      </c>
      <c r="BY84">
        <v>312419.25</v>
      </c>
      <c r="BZ84" t="s">
        <v>84</v>
      </c>
      <c r="CA84" t="s">
        <v>198</v>
      </c>
      <c r="CC84" t="s">
        <v>120</v>
      </c>
      <c r="CD84">
        <v>4091</v>
      </c>
      <c r="CE84" t="s">
        <v>85</v>
      </c>
      <c r="CI84">
        <v>4</v>
      </c>
      <c r="CJ84">
        <v>1</v>
      </c>
      <c r="CK84">
        <v>41</v>
      </c>
    </row>
    <row r="85" spans="1:89" x14ac:dyDescent="0.3">
      <c r="A85" t="s">
        <v>72</v>
      </c>
      <c r="B85" t="s">
        <v>73</v>
      </c>
      <c r="C85" t="s">
        <v>74</v>
      </c>
      <c r="E85" t="str">
        <f>"009941330948"</f>
        <v>009941330948</v>
      </c>
      <c r="F85" s="3">
        <v>44810</v>
      </c>
      <c r="G85">
        <v>202306</v>
      </c>
      <c r="H85" t="s">
        <v>96</v>
      </c>
      <c r="I85" t="s">
        <v>97</v>
      </c>
      <c r="J85" t="s">
        <v>80</v>
      </c>
      <c r="L85" t="s">
        <v>205</v>
      </c>
      <c r="M85" t="s">
        <v>206</v>
      </c>
      <c r="N85" t="s">
        <v>80</v>
      </c>
      <c r="O85" t="s">
        <v>105</v>
      </c>
      <c r="P85" t="str">
        <f>"LOCKS"</f>
        <v>LOCKS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73.94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1.6</v>
      </c>
      <c r="BJ85">
        <v>2.5</v>
      </c>
      <c r="BK85">
        <v>2.5</v>
      </c>
      <c r="BL85">
        <v>177.35</v>
      </c>
      <c r="BM85">
        <v>26.6</v>
      </c>
      <c r="BN85">
        <v>203.95</v>
      </c>
      <c r="BO85">
        <v>203.95</v>
      </c>
      <c r="BQ85" t="s">
        <v>99</v>
      </c>
      <c r="BR85" t="s">
        <v>124</v>
      </c>
      <c r="BS85" s="3">
        <v>44811</v>
      </c>
      <c r="BT85" s="4">
        <v>0.61875000000000002</v>
      </c>
      <c r="BU85" t="s">
        <v>313</v>
      </c>
      <c r="BV85" t="s">
        <v>109</v>
      </c>
      <c r="BY85">
        <v>12355.47</v>
      </c>
      <c r="BZ85" t="s">
        <v>110</v>
      </c>
      <c r="CA85" t="s">
        <v>314</v>
      </c>
      <c r="CC85" t="s">
        <v>206</v>
      </c>
      <c r="CD85">
        <v>850</v>
      </c>
      <c r="CE85" t="s">
        <v>85</v>
      </c>
      <c r="CI85">
        <v>1</v>
      </c>
      <c r="CJ85">
        <v>1</v>
      </c>
      <c r="CK85">
        <v>23</v>
      </c>
    </row>
    <row r="86" spans="1:89" x14ac:dyDescent="0.3">
      <c r="A86" t="s">
        <v>72</v>
      </c>
      <c r="B86" t="s">
        <v>73</v>
      </c>
      <c r="C86" t="s">
        <v>74</v>
      </c>
      <c r="E86" t="str">
        <f>"080010582705"</f>
        <v>080010582705</v>
      </c>
      <c r="F86" s="3">
        <v>44810</v>
      </c>
      <c r="G86">
        <v>202306</v>
      </c>
      <c r="H86" t="s">
        <v>212</v>
      </c>
      <c r="I86" t="s">
        <v>213</v>
      </c>
      <c r="J86" t="s">
        <v>241</v>
      </c>
      <c r="L86" t="s">
        <v>225</v>
      </c>
      <c r="M86" t="s">
        <v>226</v>
      </c>
      <c r="N86" t="s">
        <v>315</v>
      </c>
      <c r="O86" t="s">
        <v>105</v>
      </c>
      <c r="P86" t="str">
        <f>"-"</f>
        <v>-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60.32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144.68</v>
      </c>
      <c r="BM86">
        <v>21.7</v>
      </c>
      <c r="BN86">
        <v>166.38</v>
      </c>
      <c r="BO86">
        <v>166.38</v>
      </c>
      <c r="BP86" t="s">
        <v>145</v>
      </c>
      <c r="BQ86" t="s">
        <v>227</v>
      </c>
      <c r="BR86" t="s">
        <v>316</v>
      </c>
      <c r="BS86" s="3">
        <v>44811</v>
      </c>
      <c r="BT86" s="4">
        <v>0.44791666666666669</v>
      </c>
      <c r="BU86" t="s">
        <v>227</v>
      </c>
      <c r="BV86" t="s">
        <v>83</v>
      </c>
      <c r="BY86">
        <v>1200</v>
      </c>
      <c r="CA86" t="s">
        <v>229</v>
      </c>
      <c r="CC86" t="s">
        <v>226</v>
      </c>
      <c r="CD86">
        <v>4240</v>
      </c>
      <c r="CE86" t="s">
        <v>244</v>
      </c>
      <c r="CI86">
        <v>1</v>
      </c>
      <c r="CJ86">
        <v>1</v>
      </c>
      <c r="CK86">
        <v>23</v>
      </c>
    </row>
    <row r="87" spans="1:89" x14ac:dyDescent="0.3">
      <c r="A87" t="s">
        <v>72</v>
      </c>
      <c r="B87" t="s">
        <v>73</v>
      </c>
      <c r="C87" t="s">
        <v>74</v>
      </c>
      <c r="E87" t="str">
        <f>"009942317299"</f>
        <v>009942317299</v>
      </c>
      <c r="F87" s="3">
        <v>44810</v>
      </c>
      <c r="G87">
        <v>202306</v>
      </c>
      <c r="H87" t="s">
        <v>94</v>
      </c>
      <c r="I87" t="s">
        <v>95</v>
      </c>
      <c r="J87" t="s">
        <v>80</v>
      </c>
      <c r="L87" t="s">
        <v>205</v>
      </c>
      <c r="M87" t="s">
        <v>206</v>
      </c>
      <c r="N87" t="s">
        <v>317</v>
      </c>
      <c r="O87" t="s">
        <v>81</v>
      </c>
      <c r="P87" t="str">
        <f>""</f>
        <v/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113.21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35</v>
      </c>
      <c r="BJ87">
        <v>41.3</v>
      </c>
      <c r="BK87">
        <v>42</v>
      </c>
      <c r="BL87">
        <v>276.79000000000002</v>
      </c>
      <c r="BM87">
        <v>41.52</v>
      </c>
      <c r="BN87">
        <v>318.31</v>
      </c>
      <c r="BO87">
        <v>318.31</v>
      </c>
      <c r="BQ87" t="s">
        <v>99</v>
      </c>
      <c r="BR87" t="s">
        <v>318</v>
      </c>
      <c r="BS87" s="3">
        <v>44811</v>
      </c>
      <c r="BT87" s="4">
        <v>0.61875000000000002</v>
      </c>
      <c r="BU87" t="s">
        <v>313</v>
      </c>
      <c r="BV87" t="s">
        <v>83</v>
      </c>
      <c r="BY87">
        <v>206400</v>
      </c>
      <c r="BZ87" t="s">
        <v>84</v>
      </c>
      <c r="CA87" t="s">
        <v>314</v>
      </c>
      <c r="CC87" t="s">
        <v>206</v>
      </c>
      <c r="CD87">
        <v>850</v>
      </c>
      <c r="CE87" t="s">
        <v>85</v>
      </c>
      <c r="CI87">
        <v>4</v>
      </c>
      <c r="CJ87">
        <v>1</v>
      </c>
      <c r="CK87">
        <v>44</v>
      </c>
    </row>
    <row r="88" spans="1:89" x14ac:dyDescent="0.3">
      <c r="A88" t="s">
        <v>72</v>
      </c>
      <c r="B88" t="s">
        <v>73</v>
      </c>
      <c r="C88" t="s">
        <v>74</v>
      </c>
      <c r="E88" t="str">
        <f>"009941735724"</f>
        <v>009941735724</v>
      </c>
      <c r="F88" s="3">
        <v>44810</v>
      </c>
      <c r="G88">
        <v>202306</v>
      </c>
      <c r="H88" t="s">
        <v>96</v>
      </c>
      <c r="I88" t="s">
        <v>97</v>
      </c>
      <c r="J88" t="s">
        <v>80</v>
      </c>
      <c r="L88" t="s">
        <v>303</v>
      </c>
      <c r="M88" t="s">
        <v>304</v>
      </c>
      <c r="N88" t="s">
        <v>80</v>
      </c>
      <c r="O88" t="s">
        <v>81</v>
      </c>
      <c r="P88" t="str">
        <f>"NA"</f>
        <v>NA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60.2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11.9</v>
      </c>
      <c r="BJ88">
        <v>11.5</v>
      </c>
      <c r="BK88">
        <v>12</v>
      </c>
      <c r="BL88">
        <v>149.65</v>
      </c>
      <c r="BM88">
        <v>22.45</v>
      </c>
      <c r="BN88">
        <v>172.1</v>
      </c>
      <c r="BO88">
        <v>172.1</v>
      </c>
      <c r="BQ88" t="s">
        <v>319</v>
      </c>
      <c r="BR88" t="s">
        <v>115</v>
      </c>
      <c r="BS88" s="3">
        <v>44811</v>
      </c>
      <c r="BT88" s="4">
        <v>0.375</v>
      </c>
      <c r="BU88" t="s">
        <v>305</v>
      </c>
      <c r="BV88" t="s">
        <v>83</v>
      </c>
      <c r="BY88">
        <v>57634.34</v>
      </c>
      <c r="BZ88" t="s">
        <v>84</v>
      </c>
      <c r="CC88" t="s">
        <v>304</v>
      </c>
      <c r="CD88">
        <v>9459</v>
      </c>
      <c r="CE88" t="s">
        <v>85</v>
      </c>
      <c r="CI88">
        <v>3</v>
      </c>
      <c r="CJ88">
        <v>1</v>
      </c>
      <c r="CK88">
        <v>41</v>
      </c>
    </row>
    <row r="89" spans="1:89" x14ac:dyDescent="0.3">
      <c r="A89" t="s">
        <v>72</v>
      </c>
      <c r="B89" t="s">
        <v>73</v>
      </c>
      <c r="C89" t="s">
        <v>74</v>
      </c>
      <c r="E89" t="str">
        <f>"009941735736"</f>
        <v>009941735736</v>
      </c>
      <c r="F89" s="3">
        <v>44810</v>
      </c>
      <c r="G89">
        <v>202306</v>
      </c>
      <c r="H89" t="s">
        <v>96</v>
      </c>
      <c r="I89" t="s">
        <v>97</v>
      </c>
      <c r="J89" t="s">
        <v>80</v>
      </c>
      <c r="L89" t="s">
        <v>131</v>
      </c>
      <c r="M89" t="s">
        <v>132</v>
      </c>
      <c r="N89" t="s">
        <v>80</v>
      </c>
      <c r="O89" t="s">
        <v>81</v>
      </c>
      <c r="P89" t="str">
        <f>"STORE"</f>
        <v>STORE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84.91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5.6</v>
      </c>
      <c r="BJ89">
        <v>5</v>
      </c>
      <c r="BK89">
        <v>6</v>
      </c>
      <c r="BL89">
        <v>208.91</v>
      </c>
      <c r="BM89">
        <v>31.34</v>
      </c>
      <c r="BN89">
        <v>240.25</v>
      </c>
      <c r="BO89">
        <v>240.25</v>
      </c>
      <c r="BQ89" t="s">
        <v>320</v>
      </c>
      <c r="BR89" t="s">
        <v>115</v>
      </c>
      <c r="BS89" s="3">
        <v>44811</v>
      </c>
      <c r="BT89" s="4">
        <v>0.59930555555555554</v>
      </c>
      <c r="BU89" t="s">
        <v>321</v>
      </c>
      <c r="BV89" t="s">
        <v>83</v>
      </c>
      <c r="BY89">
        <v>24810.79</v>
      </c>
      <c r="BZ89" t="s">
        <v>84</v>
      </c>
      <c r="CA89" t="s">
        <v>322</v>
      </c>
      <c r="CC89" t="s">
        <v>132</v>
      </c>
      <c r="CD89">
        <v>1150</v>
      </c>
      <c r="CE89" t="s">
        <v>85</v>
      </c>
      <c r="CI89">
        <v>4</v>
      </c>
      <c r="CJ89">
        <v>1</v>
      </c>
      <c r="CK89">
        <v>43</v>
      </c>
    </row>
    <row r="90" spans="1:89" x14ac:dyDescent="0.3">
      <c r="A90" t="s">
        <v>72</v>
      </c>
      <c r="B90" t="s">
        <v>73</v>
      </c>
      <c r="C90" t="s">
        <v>74</v>
      </c>
      <c r="E90" t="str">
        <f>"009941735723"</f>
        <v>009941735723</v>
      </c>
      <c r="F90" s="3">
        <v>44810</v>
      </c>
      <c r="G90">
        <v>202306</v>
      </c>
      <c r="H90" t="s">
        <v>96</v>
      </c>
      <c r="I90" t="s">
        <v>97</v>
      </c>
      <c r="J90" t="s">
        <v>80</v>
      </c>
      <c r="L90" t="s">
        <v>158</v>
      </c>
      <c r="M90" t="s">
        <v>159</v>
      </c>
      <c r="N90" t="s">
        <v>323</v>
      </c>
      <c r="O90" t="s">
        <v>81</v>
      </c>
      <c r="P90" t="str">
        <f>"NA"</f>
        <v>NA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84.91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7.1</v>
      </c>
      <c r="BJ90">
        <v>12.4</v>
      </c>
      <c r="BK90">
        <v>13</v>
      </c>
      <c r="BL90">
        <v>208.91</v>
      </c>
      <c r="BM90">
        <v>31.34</v>
      </c>
      <c r="BN90">
        <v>240.25</v>
      </c>
      <c r="BO90">
        <v>240.25</v>
      </c>
      <c r="BQ90" t="s">
        <v>324</v>
      </c>
      <c r="BR90" t="s">
        <v>115</v>
      </c>
      <c r="BS90" s="3">
        <v>44816</v>
      </c>
      <c r="BT90" s="4">
        <v>0.4201388888888889</v>
      </c>
      <c r="BU90" t="s">
        <v>160</v>
      </c>
      <c r="BV90" t="s">
        <v>109</v>
      </c>
      <c r="BY90">
        <v>62122.37</v>
      </c>
      <c r="BZ90" t="s">
        <v>84</v>
      </c>
      <c r="CC90" t="s">
        <v>159</v>
      </c>
      <c r="CD90">
        <v>2940</v>
      </c>
      <c r="CE90" t="s">
        <v>85</v>
      </c>
      <c r="CI90">
        <v>4</v>
      </c>
      <c r="CJ90">
        <v>4</v>
      </c>
      <c r="CK90">
        <v>43</v>
      </c>
    </row>
    <row r="91" spans="1:89" x14ac:dyDescent="0.3">
      <c r="A91" t="s">
        <v>72</v>
      </c>
      <c r="B91" t="s">
        <v>73</v>
      </c>
      <c r="C91" t="s">
        <v>74</v>
      </c>
      <c r="E91" t="str">
        <f>"009941209437"</f>
        <v>009941209437</v>
      </c>
      <c r="F91" s="3">
        <v>44810</v>
      </c>
      <c r="G91">
        <v>202306</v>
      </c>
      <c r="H91" t="s">
        <v>96</v>
      </c>
      <c r="I91" t="s">
        <v>97</v>
      </c>
      <c r="J91" t="s">
        <v>80</v>
      </c>
      <c r="L91" t="s">
        <v>75</v>
      </c>
      <c r="M91" t="s">
        <v>76</v>
      </c>
      <c r="N91" t="s">
        <v>288</v>
      </c>
      <c r="O91" t="s">
        <v>81</v>
      </c>
      <c r="P91" t="str">
        <f t="shared" ref="P91:P97" si="2">"LOCKS"</f>
        <v>LOCKS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60.2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149.65</v>
      </c>
      <c r="BM91">
        <v>22.45</v>
      </c>
      <c r="BN91">
        <v>172.1</v>
      </c>
      <c r="BO91">
        <v>172.1</v>
      </c>
      <c r="BQ91" t="s">
        <v>115</v>
      </c>
      <c r="BR91" t="s">
        <v>115</v>
      </c>
      <c r="BS91" s="3">
        <v>44812</v>
      </c>
      <c r="BT91" s="4">
        <v>0.43958333333333338</v>
      </c>
      <c r="BU91" t="s">
        <v>325</v>
      </c>
      <c r="BV91" t="s">
        <v>83</v>
      </c>
      <c r="BY91">
        <v>1200</v>
      </c>
      <c r="BZ91" t="s">
        <v>84</v>
      </c>
      <c r="CA91" t="s">
        <v>289</v>
      </c>
      <c r="CC91" t="s">
        <v>76</v>
      </c>
      <c r="CD91">
        <v>6536</v>
      </c>
      <c r="CE91" t="s">
        <v>85</v>
      </c>
      <c r="CI91">
        <v>3</v>
      </c>
      <c r="CJ91">
        <v>2</v>
      </c>
      <c r="CK91">
        <v>41</v>
      </c>
    </row>
    <row r="92" spans="1:89" x14ac:dyDescent="0.3">
      <c r="A92" t="s">
        <v>72</v>
      </c>
      <c r="B92" t="s">
        <v>73</v>
      </c>
      <c r="C92" t="s">
        <v>74</v>
      </c>
      <c r="E92" t="str">
        <f>"009941291480"</f>
        <v>009941291480</v>
      </c>
      <c r="F92" s="3">
        <v>44810</v>
      </c>
      <c r="G92">
        <v>202306</v>
      </c>
      <c r="H92" t="s">
        <v>96</v>
      </c>
      <c r="I92" t="s">
        <v>97</v>
      </c>
      <c r="J92" t="s">
        <v>80</v>
      </c>
      <c r="L92" t="s">
        <v>147</v>
      </c>
      <c r="M92" t="s">
        <v>148</v>
      </c>
      <c r="N92" t="s">
        <v>80</v>
      </c>
      <c r="O92" t="s">
        <v>105</v>
      </c>
      <c r="P92" t="str">
        <f t="shared" si="2"/>
        <v>LOCKS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31.13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74.67</v>
      </c>
      <c r="BM92">
        <v>11.2</v>
      </c>
      <c r="BN92">
        <v>85.87</v>
      </c>
      <c r="BO92">
        <v>85.87</v>
      </c>
      <c r="BQ92" t="s">
        <v>115</v>
      </c>
      <c r="BR92" t="s">
        <v>115</v>
      </c>
      <c r="BS92" s="3">
        <v>44811</v>
      </c>
      <c r="BT92" s="4">
        <v>0.34930555555555554</v>
      </c>
      <c r="BU92" t="s">
        <v>326</v>
      </c>
      <c r="BV92" t="s">
        <v>83</v>
      </c>
      <c r="BY92">
        <v>1200</v>
      </c>
      <c r="BZ92" t="s">
        <v>110</v>
      </c>
      <c r="CA92" t="s">
        <v>247</v>
      </c>
      <c r="CC92" t="s">
        <v>148</v>
      </c>
      <c r="CD92">
        <v>8000</v>
      </c>
      <c r="CE92" t="s">
        <v>85</v>
      </c>
      <c r="CI92">
        <v>1</v>
      </c>
      <c r="CJ92">
        <v>1</v>
      </c>
      <c r="CK92">
        <v>21</v>
      </c>
    </row>
    <row r="93" spans="1:89" x14ac:dyDescent="0.3">
      <c r="A93" t="s">
        <v>72</v>
      </c>
      <c r="B93" t="s">
        <v>73</v>
      </c>
      <c r="C93" t="s">
        <v>74</v>
      </c>
      <c r="E93" t="str">
        <f>"009941310025"</f>
        <v>009941310025</v>
      </c>
      <c r="F93" s="3">
        <v>44810</v>
      </c>
      <c r="G93">
        <v>202306</v>
      </c>
      <c r="H93" t="s">
        <v>96</v>
      </c>
      <c r="I93" t="s">
        <v>97</v>
      </c>
      <c r="J93" t="s">
        <v>80</v>
      </c>
      <c r="L93" t="s">
        <v>88</v>
      </c>
      <c r="M93" t="s">
        <v>89</v>
      </c>
      <c r="N93" t="s">
        <v>327</v>
      </c>
      <c r="O93" t="s">
        <v>105</v>
      </c>
      <c r="P93" t="str">
        <f t="shared" si="2"/>
        <v>LOCKS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60.32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144.68</v>
      </c>
      <c r="BM93">
        <v>21.7</v>
      </c>
      <c r="BN93">
        <v>166.38</v>
      </c>
      <c r="BO93">
        <v>166.38</v>
      </c>
      <c r="BQ93" t="s">
        <v>117</v>
      </c>
      <c r="BR93" t="s">
        <v>115</v>
      </c>
      <c r="BS93" s="3">
        <v>44811</v>
      </c>
      <c r="BT93" s="4">
        <v>0.41666666666666669</v>
      </c>
      <c r="BU93" t="s">
        <v>271</v>
      </c>
      <c r="BV93" t="s">
        <v>83</v>
      </c>
      <c r="BY93">
        <v>1200</v>
      </c>
      <c r="BZ93" t="s">
        <v>110</v>
      </c>
      <c r="CA93" t="s">
        <v>255</v>
      </c>
      <c r="CC93" t="s">
        <v>89</v>
      </c>
      <c r="CD93">
        <v>300</v>
      </c>
      <c r="CE93" t="s">
        <v>85</v>
      </c>
      <c r="CI93">
        <v>1</v>
      </c>
      <c r="CJ93">
        <v>1</v>
      </c>
      <c r="CK93">
        <v>23</v>
      </c>
    </row>
    <row r="94" spans="1:89" x14ac:dyDescent="0.3">
      <c r="A94" t="s">
        <v>72</v>
      </c>
      <c r="B94" t="s">
        <v>73</v>
      </c>
      <c r="C94" t="s">
        <v>74</v>
      </c>
      <c r="E94" t="str">
        <f>"009941567834"</f>
        <v>009941567834</v>
      </c>
      <c r="F94" s="3">
        <v>44810</v>
      </c>
      <c r="G94">
        <v>202306</v>
      </c>
      <c r="H94" t="s">
        <v>96</v>
      </c>
      <c r="I94" t="s">
        <v>97</v>
      </c>
      <c r="J94" t="s">
        <v>80</v>
      </c>
      <c r="L94" t="s">
        <v>225</v>
      </c>
      <c r="M94" t="s">
        <v>226</v>
      </c>
      <c r="N94" t="s">
        <v>80</v>
      </c>
      <c r="O94" t="s">
        <v>105</v>
      </c>
      <c r="P94" t="str">
        <f t="shared" si="2"/>
        <v>LOCKS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60.32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144.68</v>
      </c>
      <c r="BM94">
        <v>21.7</v>
      </c>
      <c r="BN94">
        <v>166.38</v>
      </c>
      <c r="BO94">
        <v>166.38</v>
      </c>
      <c r="BQ94" t="s">
        <v>227</v>
      </c>
      <c r="BR94" t="s">
        <v>124</v>
      </c>
      <c r="BS94" s="3">
        <v>44811</v>
      </c>
      <c r="BT94" s="4">
        <v>0.44861111111111113</v>
      </c>
      <c r="BU94" t="s">
        <v>228</v>
      </c>
      <c r="BV94" t="s">
        <v>83</v>
      </c>
      <c r="BY94">
        <v>1200</v>
      </c>
      <c r="BZ94" t="s">
        <v>110</v>
      </c>
      <c r="CA94" t="s">
        <v>229</v>
      </c>
      <c r="CC94" t="s">
        <v>226</v>
      </c>
      <c r="CD94">
        <v>4240</v>
      </c>
      <c r="CE94" t="s">
        <v>85</v>
      </c>
      <c r="CI94">
        <v>1</v>
      </c>
      <c r="CJ94">
        <v>1</v>
      </c>
      <c r="CK94">
        <v>23</v>
      </c>
    </row>
    <row r="95" spans="1:89" x14ac:dyDescent="0.3">
      <c r="A95" t="s">
        <v>72</v>
      </c>
      <c r="B95" t="s">
        <v>73</v>
      </c>
      <c r="C95" t="s">
        <v>74</v>
      </c>
      <c r="E95" t="str">
        <f>"009942133676"</f>
        <v>009942133676</v>
      </c>
      <c r="F95" s="3">
        <v>44810</v>
      </c>
      <c r="G95">
        <v>202306</v>
      </c>
      <c r="H95" t="s">
        <v>96</v>
      </c>
      <c r="I95" t="s">
        <v>97</v>
      </c>
      <c r="J95" t="s">
        <v>80</v>
      </c>
      <c r="L95" t="s">
        <v>328</v>
      </c>
      <c r="M95" t="s">
        <v>329</v>
      </c>
      <c r="N95" t="s">
        <v>80</v>
      </c>
      <c r="O95" t="s">
        <v>81</v>
      </c>
      <c r="P95" t="str">
        <f t="shared" si="2"/>
        <v>LOCKS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84.91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223.91</v>
      </c>
      <c r="BM95">
        <v>33.590000000000003</v>
      </c>
      <c r="BN95">
        <v>257.5</v>
      </c>
      <c r="BO95">
        <v>257.5</v>
      </c>
      <c r="BQ95" t="s">
        <v>233</v>
      </c>
      <c r="BR95" t="s">
        <v>330</v>
      </c>
      <c r="BS95" s="3">
        <v>44811</v>
      </c>
      <c r="BT95" s="4">
        <v>0.375</v>
      </c>
      <c r="BU95" t="s">
        <v>233</v>
      </c>
      <c r="BV95" t="s">
        <v>83</v>
      </c>
      <c r="BY95">
        <v>1200</v>
      </c>
      <c r="BZ95" t="s">
        <v>296</v>
      </c>
      <c r="CC95" t="s">
        <v>329</v>
      </c>
      <c r="CD95">
        <v>8460</v>
      </c>
      <c r="CE95" t="s">
        <v>85</v>
      </c>
      <c r="CI95">
        <v>4</v>
      </c>
      <c r="CJ95">
        <v>1</v>
      </c>
      <c r="CK95">
        <v>43</v>
      </c>
    </row>
    <row r="96" spans="1:89" x14ac:dyDescent="0.3">
      <c r="A96" t="s">
        <v>72</v>
      </c>
      <c r="B96" t="s">
        <v>73</v>
      </c>
      <c r="C96" t="s">
        <v>74</v>
      </c>
      <c r="E96" t="str">
        <f>"009941618591"</f>
        <v>009941618591</v>
      </c>
      <c r="F96" s="3">
        <v>44810</v>
      </c>
      <c r="G96">
        <v>202306</v>
      </c>
      <c r="H96" t="s">
        <v>96</v>
      </c>
      <c r="I96" t="s">
        <v>97</v>
      </c>
      <c r="J96" t="s">
        <v>80</v>
      </c>
      <c r="L96" t="s">
        <v>88</v>
      </c>
      <c r="M96" t="s">
        <v>89</v>
      </c>
      <c r="N96" t="s">
        <v>80</v>
      </c>
      <c r="O96" t="s">
        <v>105</v>
      </c>
      <c r="P96" t="str">
        <f t="shared" si="2"/>
        <v>LOCKS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60.32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144.68</v>
      </c>
      <c r="BM96">
        <v>21.7</v>
      </c>
      <c r="BN96">
        <v>166.38</v>
      </c>
      <c r="BO96">
        <v>166.38</v>
      </c>
      <c r="BQ96" t="s">
        <v>117</v>
      </c>
      <c r="BR96" t="s">
        <v>124</v>
      </c>
      <c r="BS96" s="3">
        <v>44811</v>
      </c>
      <c r="BT96" s="4">
        <v>0.41597222222222219</v>
      </c>
      <c r="BU96" t="s">
        <v>271</v>
      </c>
      <c r="BV96" t="s">
        <v>83</v>
      </c>
      <c r="BY96">
        <v>1200</v>
      </c>
      <c r="BZ96" t="s">
        <v>110</v>
      </c>
      <c r="CA96" t="s">
        <v>255</v>
      </c>
      <c r="CC96" t="s">
        <v>89</v>
      </c>
      <c r="CD96">
        <v>300</v>
      </c>
      <c r="CE96" t="s">
        <v>85</v>
      </c>
      <c r="CI96">
        <v>1</v>
      </c>
      <c r="CJ96">
        <v>1</v>
      </c>
      <c r="CK96">
        <v>23</v>
      </c>
    </row>
    <row r="97" spans="1:89" x14ac:dyDescent="0.3">
      <c r="A97" t="s">
        <v>72</v>
      </c>
      <c r="B97" t="s">
        <v>73</v>
      </c>
      <c r="C97" t="s">
        <v>74</v>
      </c>
      <c r="E97" t="str">
        <f>"009942600811"</f>
        <v>009942600811</v>
      </c>
      <c r="F97" s="3">
        <v>44810</v>
      </c>
      <c r="G97">
        <v>202306</v>
      </c>
      <c r="H97" t="s">
        <v>96</v>
      </c>
      <c r="I97" t="s">
        <v>97</v>
      </c>
      <c r="J97" t="s">
        <v>80</v>
      </c>
      <c r="L97" t="s">
        <v>94</v>
      </c>
      <c r="M97" t="s">
        <v>95</v>
      </c>
      <c r="N97" t="s">
        <v>80</v>
      </c>
      <c r="O97" t="s">
        <v>81</v>
      </c>
      <c r="P97" t="str">
        <f t="shared" si="2"/>
        <v>LOCKS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60.2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1.5</v>
      </c>
      <c r="BJ97">
        <v>4.3</v>
      </c>
      <c r="BK97">
        <v>5</v>
      </c>
      <c r="BL97">
        <v>149.65</v>
      </c>
      <c r="BM97">
        <v>22.45</v>
      </c>
      <c r="BN97">
        <v>172.1</v>
      </c>
      <c r="BO97">
        <v>172.1</v>
      </c>
      <c r="BQ97" t="s">
        <v>285</v>
      </c>
      <c r="BR97" t="s">
        <v>107</v>
      </c>
      <c r="BS97" s="3">
        <v>44811</v>
      </c>
      <c r="BT97" s="4">
        <v>0.45694444444444443</v>
      </c>
      <c r="BU97" t="s">
        <v>300</v>
      </c>
      <c r="BV97" t="s">
        <v>83</v>
      </c>
      <c r="BY97">
        <v>21486.7</v>
      </c>
      <c r="BZ97" t="s">
        <v>84</v>
      </c>
      <c r="CA97" t="s">
        <v>287</v>
      </c>
      <c r="CC97" t="s">
        <v>95</v>
      </c>
      <c r="CD97">
        <v>699</v>
      </c>
      <c r="CE97" t="s">
        <v>85</v>
      </c>
      <c r="CI97">
        <v>3</v>
      </c>
      <c r="CJ97">
        <v>1</v>
      </c>
      <c r="CK97">
        <v>41</v>
      </c>
    </row>
    <row r="98" spans="1:89" x14ac:dyDescent="0.3">
      <c r="A98" t="s">
        <v>72</v>
      </c>
      <c r="B98" t="s">
        <v>73</v>
      </c>
      <c r="C98" t="s">
        <v>74</v>
      </c>
      <c r="E98" t="str">
        <f>"009941108140"</f>
        <v>009941108140</v>
      </c>
      <c r="F98" s="3">
        <v>44805</v>
      </c>
      <c r="G98">
        <v>202306</v>
      </c>
      <c r="H98" t="s">
        <v>88</v>
      </c>
      <c r="I98" t="s">
        <v>89</v>
      </c>
      <c r="J98" t="s">
        <v>80</v>
      </c>
      <c r="L98" t="s">
        <v>86</v>
      </c>
      <c r="M98" t="s">
        <v>87</v>
      </c>
      <c r="N98" t="s">
        <v>331</v>
      </c>
      <c r="O98" t="s">
        <v>81</v>
      </c>
      <c r="P98" t="str">
        <f>""</f>
        <v/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197.75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29.1</v>
      </c>
      <c r="BJ98">
        <v>40.1</v>
      </c>
      <c r="BK98">
        <v>41</v>
      </c>
      <c r="BL98">
        <v>479.57</v>
      </c>
      <c r="BM98">
        <v>71.94</v>
      </c>
      <c r="BN98">
        <v>551.51</v>
      </c>
      <c r="BO98">
        <v>551.51</v>
      </c>
      <c r="BQ98" t="s">
        <v>91</v>
      </c>
      <c r="BR98" t="s">
        <v>332</v>
      </c>
      <c r="BS98" s="3">
        <v>44806</v>
      </c>
      <c r="BT98" s="4">
        <v>0.4201388888888889</v>
      </c>
      <c r="BU98" t="s">
        <v>91</v>
      </c>
      <c r="BV98" t="s">
        <v>83</v>
      </c>
      <c r="BY98">
        <v>200265</v>
      </c>
      <c r="BZ98" t="s">
        <v>84</v>
      </c>
      <c r="CC98" t="s">
        <v>87</v>
      </c>
      <c r="CD98">
        <v>2570</v>
      </c>
      <c r="CE98" t="s">
        <v>85</v>
      </c>
      <c r="CI98">
        <v>4</v>
      </c>
      <c r="CJ98">
        <v>1</v>
      </c>
      <c r="CK98">
        <v>43</v>
      </c>
    </row>
    <row r="99" spans="1:89" x14ac:dyDescent="0.3">
      <c r="A99" t="s">
        <v>72</v>
      </c>
      <c r="B99" t="s">
        <v>73</v>
      </c>
      <c r="C99" t="s">
        <v>74</v>
      </c>
      <c r="E99" t="str">
        <f>"009941792985"</f>
        <v>009941792985</v>
      </c>
      <c r="F99" s="3">
        <v>44811</v>
      </c>
      <c r="G99">
        <v>202306</v>
      </c>
      <c r="H99" t="s">
        <v>102</v>
      </c>
      <c r="I99" t="s">
        <v>103</v>
      </c>
      <c r="J99" t="s">
        <v>333</v>
      </c>
      <c r="L99" t="s">
        <v>94</v>
      </c>
      <c r="M99" t="s">
        <v>95</v>
      </c>
      <c r="N99" t="s">
        <v>334</v>
      </c>
      <c r="O99" t="s">
        <v>81</v>
      </c>
      <c r="P99" t="str">
        <f>""</f>
        <v/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117.67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15</v>
      </c>
      <c r="BJ99">
        <v>54.3</v>
      </c>
      <c r="BK99">
        <v>55</v>
      </c>
      <c r="BL99">
        <v>312.70999999999998</v>
      </c>
      <c r="BM99">
        <v>46.91</v>
      </c>
      <c r="BN99">
        <v>359.62</v>
      </c>
      <c r="BO99">
        <v>359.62</v>
      </c>
      <c r="BQ99" t="s">
        <v>335</v>
      </c>
      <c r="BR99" t="s">
        <v>336</v>
      </c>
      <c r="BS99" s="3">
        <v>44811</v>
      </c>
      <c r="BT99" s="4">
        <v>0.67986111111111114</v>
      </c>
      <c r="BU99" t="s">
        <v>286</v>
      </c>
      <c r="BV99" t="s">
        <v>83</v>
      </c>
      <c r="BY99">
        <v>271440</v>
      </c>
      <c r="BZ99" t="s">
        <v>337</v>
      </c>
      <c r="CA99" t="s">
        <v>287</v>
      </c>
      <c r="CC99" t="s">
        <v>95</v>
      </c>
      <c r="CD99">
        <v>700</v>
      </c>
      <c r="CE99" t="s">
        <v>85</v>
      </c>
      <c r="CI99">
        <v>3</v>
      </c>
      <c r="CJ99">
        <v>0</v>
      </c>
      <c r="CK99">
        <v>44</v>
      </c>
    </row>
    <row r="100" spans="1:89" x14ac:dyDescent="0.3">
      <c r="A100" t="s">
        <v>72</v>
      </c>
      <c r="B100" t="s">
        <v>73</v>
      </c>
      <c r="C100" t="s">
        <v>74</v>
      </c>
      <c r="E100" t="str">
        <f>"009941915217"</f>
        <v>009941915217</v>
      </c>
      <c r="F100" s="3">
        <v>44811</v>
      </c>
      <c r="G100">
        <v>202306</v>
      </c>
      <c r="H100" t="s">
        <v>96</v>
      </c>
      <c r="I100" t="s">
        <v>97</v>
      </c>
      <c r="J100" t="s">
        <v>80</v>
      </c>
      <c r="L100" t="s">
        <v>147</v>
      </c>
      <c r="M100" t="s">
        <v>148</v>
      </c>
      <c r="N100" t="s">
        <v>80</v>
      </c>
      <c r="O100" t="s">
        <v>105</v>
      </c>
      <c r="P100" t="str">
        <f t="shared" ref="P100:P114" si="3">"LOCKS"</f>
        <v>LOCKS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33.74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2.1</v>
      </c>
      <c r="BJ100">
        <v>1.9</v>
      </c>
      <c r="BK100">
        <v>2.5</v>
      </c>
      <c r="BL100">
        <v>88.16</v>
      </c>
      <c r="BM100">
        <v>13.22</v>
      </c>
      <c r="BN100">
        <v>101.38</v>
      </c>
      <c r="BO100">
        <v>101.38</v>
      </c>
      <c r="BQ100" t="s">
        <v>115</v>
      </c>
      <c r="BR100" t="s">
        <v>124</v>
      </c>
      <c r="BS100" s="3">
        <v>44812</v>
      </c>
      <c r="BT100" s="4">
        <v>0.35416666666666669</v>
      </c>
      <c r="BU100" t="s">
        <v>338</v>
      </c>
      <c r="BV100" t="s">
        <v>83</v>
      </c>
      <c r="BY100">
        <v>9740.16</v>
      </c>
      <c r="BZ100" t="s">
        <v>339</v>
      </c>
      <c r="CA100" t="s">
        <v>247</v>
      </c>
      <c r="CC100" t="s">
        <v>148</v>
      </c>
      <c r="CD100">
        <v>8000</v>
      </c>
      <c r="CE100" t="s">
        <v>85</v>
      </c>
      <c r="CI100">
        <v>1</v>
      </c>
      <c r="CJ100">
        <v>1</v>
      </c>
      <c r="CK100">
        <v>21</v>
      </c>
    </row>
    <row r="101" spans="1:89" x14ac:dyDescent="0.3">
      <c r="A101" t="s">
        <v>72</v>
      </c>
      <c r="B101" t="s">
        <v>73</v>
      </c>
      <c r="C101" t="s">
        <v>74</v>
      </c>
      <c r="E101" t="str">
        <f>"009942600737"</f>
        <v>009942600737</v>
      </c>
      <c r="F101" s="3">
        <v>44811</v>
      </c>
      <c r="G101">
        <v>202306</v>
      </c>
      <c r="H101" t="s">
        <v>96</v>
      </c>
      <c r="I101" t="s">
        <v>97</v>
      </c>
      <c r="J101" t="s">
        <v>80</v>
      </c>
      <c r="L101" t="s">
        <v>186</v>
      </c>
      <c r="M101" t="s">
        <v>187</v>
      </c>
      <c r="N101" t="s">
        <v>80</v>
      </c>
      <c r="O101" t="s">
        <v>81</v>
      </c>
      <c r="P101" t="str">
        <f t="shared" si="3"/>
        <v>LOCKS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52.2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141.65</v>
      </c>
      <c r="BM101">
        <v>21.25</v>
      </c>
      <c r="BN101">
        <v>162.9</v>
      </c>
      <c r="BO101">
        <v>162.9</v>
      </c>
      <c r="BQ101" t="s">
        <v>221</v>
      </c>
      <c r="BR101" t="s">
        <v>340</v>
      </c>
      <c r="BS101" s="3">
        <v>44813</v>
      </c>
      <c r="BT101" s="4">
        <v>0.59166666666666667</v>
      </c>
      <c r="BU101" t="s">
        <v>341</v>
      </c>
      <c r="BV101" t="s">
        <v>83</v>
      </c>
      <c r="BY101">
        <v>1200</v>
      </c>
      <c r="BZ101" t="s">
        <v>342</v>
      </c>
      <c r="CA101" t="s">
        <v>189</v>
      </c>
      <c r="CC101" t="s">
        <v>187</v>
      </c>
      <c r="CD101">
        <v>6045</v>
      </c>
      <c r="CE101" t="s">
        <v>85</v>
      </c>
      <c r="CI101">
        <v>3</v>
      </c>
      <c r="CJ101">
        <v>2</v>
      </c>
      <c r="CK101">
        <v>41</v>
      </c>
    </row>
    <row r="102" spans="1:89" x14ac:dyDescent="0.3">
      <c r="A102" t="s">
        <v>72</v>
      </c>
      <c r="B102" t="s">
        <v>73</v>
      </c>
      <c r="C102" t="s">
        <v>74</v>
      </c>
      <c r="E102" t="str">
        <f>"009941310026"</f>
        <v>009941310026</v>
      </c>
      <c r="F102" s="3">
        <v>44811</v>
      </c>
      <c r="G102">
        <v>202306</v>
      </c>
      <c r="H102" t="s">
        <v>96</v>
      </c>
      <c r="I102" t="s">
        <v>97</v>
      </c>
      <c r="J102" t="s">
        <v>80</v>
      </c>
      <c r="L102" t="s">
        <v>88</v>
      </c>
      <c r="M102" t="s">
        <v>89</v>
      </c>
      <c r="N102" t="s">
        <v>80</v>
      </c>
      <c r="O102" t="s">
        <v>105</v>
      </c>
      <c r="P102" t="str">
        <f t="shared" si="3"/>
        <v>LOCKS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52.3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0.2</v>
      </c>
      <c r="BK102">
        <v>2</v>
      </c>
      <c r="BL102">
        <v>136.66</v>
      </c>
      <c r="BM102">
        <v>20.5</v>
      </c>
      <c r="BN102">
        <v>157.16</v>
      </c>
      <c r="BO102">
        <v>157.16</v>
      </c>
      <c r="BQ102" t="s">
        <v>117</v>
      </c>
      <c r="BR102" t="s">
        <v>115</v>
      </c>
      <c r="BS102" s="3">
        <v>44812</v>
      </c>
      <c r="BT102" s="4">
        <v>0.39166666666666666</v>
      </c>
      <c r="BU102" t="s">
        <v>92</v>
      </c>
      <c r="BV102" t="s">
        <v>83</v>
      </c>
      <c r="BY102">
        <v>1200</v>
      </c>
      <c r="BZ102" t="s">
        <v>339</v>
      </c>
      <c r="CA102" t="s">
        <v>255</v>
      </c>
      <c r="CC102" t="s">
        <v>89</v>
      </c>
      <c r="CD102">
        <v>300</v>
      </c>
      <c r="CE102" t="s">
        <v>85</v>
      </c>
      <c r="CI102">
        <v>1</v>
      </c>
      <c r="CJ102">
        <v>1</v>
      </c>
      <c r="CK102">
        <v>23</v>
      </c>
    </row>
    <row r="103" spans="1:89" x14ac:dyDescent="0.3">
      <c r="A103" t="s">
        <v>72</v>
      </c>
      <c r="B103" t="s">
        <v>73</v>
      </c>
      <c r="C103" t="s">
        <v>74</v>
      </c>
      <c r="E103" t="str">
        <f>"009941291479"</f>
        <v>009941291479</v>
      </c>
      <c r="F103" s="3">
        <v>44811</v>
      </c>
      <c r="G103">
        <v>202306</v>
      </c>
      <c r="H103" t="s">
        <v>96</v>
      </c>
      <c r="I103" t="s">
        <v>97</v>
      </c>
      <c r="J103" t="s">
        <v>80</v>
      </c>
      <c r="L103" t="s">
        <v>147</v>
      </c>
      <c r="M103" t="s">
        <v>148</v>
      </c>
      <c r="N103" t="s">
        <v>80</v>
      </c>
      <c r="O103" t="s">
        <v>105</v>
      </c>
      <c r="P103" t="str">
        <f t="shared" si="3"/>
        <v>LOCKS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26.99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0.5</v>
      </c>
      <c r="BJ103">
        <v>1.3</v>
      </c>
      <c r="BK103">
        <v>1.5</v>
      </c>
      <c r="BL103">
        <v>70.53</v>
      </c>
      <c r="BM103">
        <v>10.58</v>
      </c>
      <c r="BN103">
        <v>81.11</v>
      </c>
      <c r="BO103">
        <v>81.11</v>
      </c>
      <c r="BQ103" t="s">
        <v>193</v>
      </c>
      <c r="BR103" t="s">
        <v>115</v>
      </c>
      <c r="BS103" s="3">
        <v>44812</v>
      </c>
      <c r="BT103" s="4">
        <v>0.35416666666666669</v>
      </c>
      <c r="BU103" t="s">
        <v>338</v>
      </c>
      <c r="BV103" t="s">
        <v>83</v>
      </c>
      <c r="BY103">
        <v>6593.46</v>
      </c>
      <c r="BZ103" t="s">
        <v>339</v>
      </c>
      <c r="CA103" t="s">
        <v>247</v>
      </c>
      <c r="CC103" t="s">
        <v>148</v>
      </c>
      <c r="CD103">
        <v>8000</v>
      </c>
      <c r="CE103" t="s">
        <v>85</v>
      </c>
      <c r="CI103">
        <v>1</v>
      </c>
      <c r="CJ103">
        <v>1</v>
      </c>
      <c r="CK103">
        <v>21</v>
      </c>
    </row>
    <row r="104" spans="1:89" x14ac:dyDescent="0.3">
      <c r="A104" t="s">
        <v>72</v>
      </c>
      <c r="B104" t="s">
        <v>73</v>
      </c>
      <c r="C104" t="s">
        <v>74</v>
      </c>
      <c r="E104" t="str">
        <f>"009942600812"</f>
        <v>009942600812</v>
      </c>
      <c r="F104" s="3">
        <v>44811</v>
      </c>
      <c r="G104">
        <v>202306</v>
      </c>
      <c r="H104" t="s">
        <v>96</v>
      </c>
      <c r="I104" t="s">
        <v>97</v>
      </c>
      <c r="J104" t="s">
        <v>80</v>
      </c>
      <c r="L104" t="s">
        <v>94</v>
      </c>
      <c r="M104" t="s">
        <v>95</v>
      </c>
      <c r="N104" t="s">
        <v>80</v>
      </c>
      <c r="O104" t="s">
        <v>81</v>
      </c>
      <c r="P104" t="str">
        <f t="shared" si="3"/>
        <v>LOCKS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52.2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1.1000000000000001</v>
      </c>
      <c r="BK104">
        <v>2</v>
      </c>
      <c r="BL104">
        <v>141.65</v>
      </c>
      <c r="BM104">
        <v>21.25</v>
      </c>
      <c r="BN104">
        <v>162.9</v>
      </c>
      <c r="BO104">
        <v>162.9</v>
      </c>
      <c r="BQ104" t="s">
        <v>115</v>
      </c>
      <c r="BR104" t="s">
        <v>107</v>
      </c>
      <c r="BS104" s="3">
        <v>44812</v>
      </c>
      <c r="BT104" s="4">
        <v>0.3979166666666667</v>
      </c>
      <c r="BU104" t="s">
        <v>343</v>
      </c>
      <c r="BV104" t="s">
        <v>83</v>
      </c>
      <c r="BY104">
        <v>5512.32</v>
      </c>
      <c r="BZ104" t="s">
        <v>337</v>
      </c>
      <c r="CA104" t="s">
        <v>287</v>
      </c>
      <c r="CC104" t="s">
        <v>95</v>
      </c>
      <c r="CD104">
        <v>699</v>
      </c>
      <c r="CE104" t="s">
        <v>85</v>
      </c>
      <c r="CI104">
        <v>3</v>
      </c>
      <c r="CJ104">
        <v>1</v>
      </c>
      <c r="CK104">
        <v>41</v>
      </c>
    </row>
    <row r="105" spans="1:89" x14ac:dyDescent="0.3">
      <c r="A105" t="s">
        <v>72</v>
      </c>
      <c r="B105" t="s">
        <v>73</v>
      </c>
      <c r="C105" t="s">
        <v>74</v>
      </c>
      <c r="E105" t="str">
        <f>"009941618842"</f>
        <v>009941618842</v>
      </c>
      <c r="F105" s="3">
        <v>44811</v>
      </c>
      <c r="G105">
        <v>202306</v>
      </c>
      <c r="H105" t="s">
        <v>96</v>
      </c>
      <c r="I105" t="s">
        <v>97</v>
      </c>
      <c r="J105" t="s">
        <v>80</v>
      </c>
      <c r="L105" t="s">
        <v>136</v>
      </c>
      <c r="M105" t="s">
        <v>137</v>
      </c>
      <c r="N105" t="s">
        <v>80</v>
      </c>
      <c r="O105" t="s">
        <v>81</v>
      </c>
      <c r="P105" t="str">
        <f t="shared" si="3"/>
        <v>LOCKS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73.63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1.8</v>
      </c>
      <c r="BJ105">
        <v>5.0999999999999996</v>
      </c>
      <c r="BK105">
        <v>6</v>
      </c>
      <c r="BL105">
        <v>197.63</v>
      </c>
      <c r="BM105">
        <v>29.64</v>
      </c>
      <c r="BN105">
        <v>227.27</v>
      </c>
      <c r="BO105">
        <v>227.27</v>
      </c>
      <c r="BQ105" t="s">
        <v>344</v>
      </c>
      <c r="BR105" t="s">
        <v>107</v>
      </c>
      <c r="BS105" s="3">
        <v>44812</v>
      </c>
      <c r="BT105" s="4">
        <v>0.34375</v>
      </c>
      <c r="BU105" t="s">
        <v>218</v>
      </c>
      <c r="BV105" t="s">
        <v>83</v>
      </c>
      <c r="BY105">
        <v>25710.48</v>
      </c>
      <c r="BZ105" t="s">
        <v>337</v>
      </c>
      <c r="CA105" t="s">
        <v>140</v>
      </c>
      <c r="CC105" t="s">
        <v>137</v>
      </c>
      <c r="CD105">
        <v>1034</v>
      </c>
      <c r="CE105" t="s">
        <v>85</v>
      </c>
      <c r="CI105">
        <v>4</v>
      </c>
      <c r="CJ105">
        <v>1</v>
      </c>
      <c r="CK105">
        <v>43</v>
      </c>
    </row>
    <row r="106" spans="1:89" x14ac:dyDescent="0.3">
      <c r="A106" t="s">
        <v>72</v>
      </c>
      <c r="B106" t="s">
        <v>73</v>
      </c>
      <c r="C106" t="s">
        <v>74</v>
      </c>
      <c r="E106" t="str">
        <f>"009941735725"</f>
        <v>009941735725</v>
      </c>
      <c r="F106" s="3">
        <v>44811</v>
      </c>
      <c r="G106">
        <v>202306</v>
      </c>
      <c r="H106" t="s">
        <v>96</v>
      </c>
      <c r="I106" t="s">
        <v>97</v>
      </c>
      <c r="J106" t="s">
        <v>80</v>
      </c>
      <c r="L106" t="s">
        <v>199</v>
      </c>
      <c r="M106" t="s">
        <v>200</v>
      </c>
      <c r="N106" t="s">
        <v>80</v>
      </c>
      <c r="O106" t="s">
        <v>81</v>
      </c>
      <c r="P106" t="str">
        <f t="shared" si="3"/>
        <v>LOCKS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73.63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9.6999999999999993</v>
      </c>
      <c r="BJ106">
        <v>13.9</v>
      </c>
      <c r="BK106">
        <v>14</v>
      </c>
      <c r="BL106">
        <v>197.63</v>
      </c>
      <c r="BM106">
        <v>29.64</v>
      </c>
      <c r="BN106">
        <v>227.27</v>
      </c>
      <c r="BO106">
        <v>227.27</v>
      </c>
      <c r="BQ106" t="s">
        <v>201</v>
      </c>
      <c r="BR106" t="s">
        <v>107</v>
      </c>
      <c r="BS106" s="3">
        <v>44812</v>
      </c>
      <c r="BT106" s="4">
        <v>0.41666666666666669</v>
      </c>
      <c r="BU106" t="s">
        <v>202</v>
      </c>
      <c r="BV106" t="s">
        <v>83</v>
      </c>
      <c r="BY106">
        <v>69441.41</v>
      </c>
      <c r="BZ106" t="s">
        <v>337</v>
      </c>
      <c r="CA106" t="s">
        <v>345</v>
      </c>
      <c r="CC106" t="s">
        <v>200</v>
      </c>
      <c r="CD106">
        <v>9700</v>
      </c>
      <c r="CE106" t="s">
        <v>85</v>
      </c>
      <c r="CI106">
        <v>4</v>
      </c>
      <c r="CJ106">
        <v>1</v>
      </c>
      <c r="CK106">
        <v>43</v>
      </c>
    </row>
    <row r="107" spans="1:89" x14ac:dyDescent="0.3">
      <c r="A107" t="s">
        <v>72</v>
      </c>
      <c r="B107" t="s">
        <v>73</v>
      </c>
      <c r="C107" t="s">
        <v>74</v>
      </c>
      <c r="E107" t="str">
        <f>"009941209438"</f>
        <v>009941209438</v>
      </c>
      <c r="F107" s="3">
        <v>44811</v>
      </c>
      <c r="G107">
        <v>202306</v>
      </c>
      <c r="H107" t="s">
        <v>96</v>
      </c>
      <c r="I107" t="s">
        <v>97</v>
      </c>
      <c r="J107" t="s">
        <v>80</v>
      </c>
      <c r="L107" t="s">
        <v>75</v>
      </c>
      <c r="M107" t="s">
        <v>76</v>
      </c>
      <c r="N107" t="s">
        <v>346</v>
      </c>
      <c r="O107" t="s">
        <v>81</v>
      </c>
      <c r="P107" t="str">
        <f t="shared" si="3"/>
        <v>LOCKS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123.2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3</v>
      </c>
      <c r="BI107">
        <v>48</v>
      </c>
      <c r="BJ107">
        <v>37.700000000000003</v>
      </c>
      <c r="BK107">
        <v>48</v>
      </c>
      <c r="BL107">
        <v>327.16000000000003</v>
      </c>
      <c r="BM107">
        <v>49.07</v>
      </c>
      <c r="BN107">
        <v>376.23</v>
      </c>
      <c r="BO107">
        <v>376.23</v>
      </c>
      <c r="BQ107" t="s">
        <v>347</v>
      </c>
      <c r="BR107" t="s">
        <v>115</v>
      </c>
      <c r="BS107" s="3">
        <v>44813</v>
      </c>
      <c r="BT107" s="4">
        <v>0.37013888888888885</v>
      </c>
      <c r="BU107" t="s">
        <v>346</v>
      </c>
      <c r="BV107" t="s">
        <v>83</v>
      </c>
      <c r="BY107">
        <v>188561.08</v>
      </c>
      <c r="BZ107" t="s">
        <v>337</v>
      </c>
      <c r="CA107" t="s">
        <v>289</v>
      </c>
      <c r="CC107" t="s">
        <v>76</v>
      </c>
      <c r="CD107">
        <v>6536</v>
      </c>
      <c r="CE107" t="s">
        <v>85</v>
      </c>
      <c r="CI107">
        <v>3</v>
      </c>
      <c r="CJ107">
        <v>2</v>
      </c>
      <c r="CK107">
        <v>41</v>
      </c>
    </row>
    <row r="108" spans="1:89" x14ac:dyDescent="0.3">
      <c r="A108" t="s">
        <v>72</v>
      </c>
      <c r="B108" t="s">
        <v>73</v>
      </c>
      <c r="C108" t="s">
        <v>74</v>
      </c>
      <c r="E108" t="str">
        <f>"009942600738"</f>
        <v>009942600738</v>
      </c>
      <c r="F108" s="3">
        <v>44811</v>
      </c>
      <c r="G108">
        <v>202306</v>
      </c>
      <c r="H108" t="s">
        <v>96</v>
      </c>
      <c r="I108" t="s">
        <v>97</v>
      </c>
      <c r="J108" t="s">
        <v>80</v>
      </c>
      <c r="L108" t="s">
        <v>186</v>
      </c>
      <c r="M108" t="s">
        <v>187</v>
      </c>
      <c r="N108" t="s">
        <v>80</v>
      </c>
      <c r="O108" t="s">
        <v>81</v>
      </c>
      <c r="P108" t="str">
        <f t="shared" si="3"/>
        <v>LOCKS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60.81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14.4</v>
      </c>
      <c r="BJ108">
        <v>18.2</v>
      </c>
      <c r="BK108">
        <v>19</v>
      </c>
      <c r="BL108">
        <v>164.14</v>
      </c>
      <c r="BM108">
        <v>24.62</v>
      </c>
      <c r="BN108">
        <v>188.76</v>
      </c>
      <c r="BO108">
        <v>188.76</v>
      </c>
      <c r="BQ108" t="s">
        <v>115</v>
      </c>
      <c r="BR108" t="s">
        <v>107</v>
      </c>
      <c r="BS108" s="3">
        <v>44813</v>
      </c>
      <c r="BT108" s="4">
        <v>0.57222222222222219</v>
      </c>
      <c r="BU108" t="s">
        <v>278</v>
      </c>
      <c r="BV108" t="s">
        <v>83</v>
      </c>
      <c r="BY108">
        <v>91073.600000000006</v>
      </c>
      <c r="BZ108" t="s">
        <v>342</v>
      </c>
      <c r="CA108" t="s">
        <v>189</v>
      </c>
      <c r="CC108" t="s">
        <v>187</v>
      </c>
      <c r="CD108">
        <v>6045</v>
      </c>
      <c r="CE108" t="s">
        <v>85</v>
      </c>
      <c r="CI108">
        <v>3</v>
      </c>
      <c r="CJ108">
        <v>2</v>
      </c>
      <c r="CK108">
        <v>41</v>
      </c>
    </row>
    <row r="109" spans="1:89" x14ac:dyDescent="0.3">
      <c r="A109" t="s">
        <v>72</v>
      </c>
      <c r="B109" t="s">
        <v>73</v>
      </c>
      <c r="C109" t="s">
        <v>74</v>
      </c>
      <c r="E109" t="str">
        <f>"009941209312"</f>
        <v>009941209312</v>
      </c>
      <c r="F109" s="3">
        <v>44811</v>
      </c>
      <c r="G109">
        <v>202306</v>
      </c>
      <c r="H109" t="s">
        <v>96</v>
      </c>
      <c r="I109" t="s">
        <v>97</v>
      </c>
      <c r="J109" t="s">
        <v>80</v>
      </c>
      <c r="L109" t="s">
        <v>112</v>
      </c>
      <c r="M109" t="s">
        <v>113</v>
      </c>
      <c r="N109" t="s">
        <v>80</v>
      </c>
      <c r="O109" t="s">
        <v>81</v>
      </c>
      <c r="P109" t="str">
        <f t="shared" si="3"/>
        <v>LOCKS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73.72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24.2</v>
      </c>
      <c r="BJ109">
        <v>14</v>
      </c>
      <c r="BK109">
        <v>25</v>
      </c>
      <c r="BL109">
        <v>197.87</v>
      </c>
      <c r="BM109">
        <v>29.68</v>
      </c>
      <c r="BN109">
        <v>227.55</v>
      </c>
      <c r="BO109">
        <v>227.55</v>
      </c>
      <c r="BQ109" t="s">
        <v>114</v>
      </c>
      <c r="BR109" t="s">
        <v>115</v>
      </c>
      <c r="BS109" s="3">
        <v>44812</v>
      </c>
      <c r="BT109" s="4">
        <v>0.47569444444444442</v>
      </c>
      <c r="BU109" t="s">
        <v>348</v>
      </c>
      <c r="BV109" t="s">
        <v>83</v>
      </c>
      <c r="BY109">
        <v>69829.16</v>
      </c>
      <c r="BZ109" t="s">
        <v>337</v>
      </c>
      <c r="CC109" t="s">
        <v>113</v>
      </c>
      <c r="CD109">
        <v>9300</v>
      </c>
      <c r="CE109" t="s">
        <v>85</v>
      </c>
      <c r="CI109">
        <v>3</v>
      </c>
      <c r="CJ109">
        <v>1</v>
      </c>
      <c r="CK109">
        <v>41</v>
      </c>
    </row>
    <row r="110" spans="1:89" x14ac:dyDescent="0.3">
      <c r="A110" t="s">
        <v>72</v>
      </c>
      <c r="B110" t="s">
        <v>73</v>
      </c>
      <c r="C110" t="s">
        <v>74</v>
      </c>
      <c r="E110" t="str">
        <f>"009941735726"</f>
        <v>009941735726</v>
      </c>
      <c r="F110" s="3">
        <v>44811</v>
      </c>
      <c r="G110">
        <v>202306</v>
      </c>
      <c r="H110" t="s">
        <v>96</v>
      </c>
      <c r="I110" t="s">
        <v>97</v>
      </c>
      <c r="J110" t="s">
        <v>80</v>
      </c>
      <c r="L110" t="s">
        <v>303</v>
      </c>
      <c r="M110" t="s">
        <v>304</v>
      </c>
      <c r="N110" t="s">
        <v>80</v>
      </c>
      <c r="O110" t="s">
        <v>81</v>
      </c>
      <c r="P110" t="str">
        <f t="shared" si="3"/>
        <v>LOCKS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60.81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18.3</v>
      </c>
      <c r="BJ110">
        <v>13.7</v>
      </c>
      <c r="BK110">
        <v>19</v>
      </c>
      <c r="BL110">
        <v>164.14</v>
      </c>
      <c r="BM110">
        <v>24.62</v>
      </c>
      <c r="BN110">
        <v>188.76</v>
      </c>
      <c r="BO110">
        <v>188.76</v>
      </c>
      <c r="BQ110" t="s">
        <v>349</v>
      </c>
      <c r="BR110" t="s">
        <v>149</v>
      </c>
      <c r="BS110" s="3">
        <v>44812</v>
      </c>
      <c r="BT110" s="4">
        <v>0.375</v>
      </c>
      <c r="BU110" t="s">
        <v>305</v>
      </c>
      <c r="BV110" t="s">
        <v>83</v>
      </c>
      <c r="BY110">
        <v>68547.3</v>
      </c>
      <c r="BZ110" t="s">
        <v>337</v>
      </c>
      <c r="CC110" t="s">
        <v>304</v>
      </c>
      <c r="CD110">
        <v>9459</v>
      </c>
      <c r="CE110" t="s">
        <v>85</v>
      </c>
      <c r="CI110">
        <v>3</v>
      </c>
      <c r="CJ110">
        <v>1</v>
      </c>
      <c r="CK110">
        <v>41</v>
      </c>
    </row>
    <row r="111" spans="1:89" x14ac:dyDescent="0.3">
      <c r="A111" t="s">
        <v>72</v>
      </c>
      <c r="B111" t="s">
        <v>73</v>
      </c>
      <c r="C111" t="s">
        <v>74</v>
      </c>
      <c r="E111" t="str">
        <f>"009942133677"</f>
        <v>009942133677</v>
      </c>
      <c r="F111" s="3">
        <v>44811</v>
      </c>
      <c r="G111">
        <v>202306</v>
      </c>
      <c r="H111" t="s">
        <v>96</v>
      </c>
      <c r="I111" t="s">
        <v>97</v>
      </c>
      <c r="J111" t="s">
        <v>80</v>
      </c>
      <c r="L111" t="s">
        <v>328</v>
      </c>
      <c r="M111" t="s">
        <v>329</v>
      </c>
      <c r="N111" t="s">
        <v>80</v>
      </c>
      <c r="O111" t="s">
        <v>81</v>
      </c>
      <c r="P111" t="str">
        <f t="shared" si="3"/>
        <v>LOCKS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73.63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15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6.5</v>
      </c>
      <c r="BJ111">
        <v>7.3</v>
      </c>
      <c r="BK111">
        <v>8</v>
      </c>
      <c r="BL111">
        <v>212.63</v>
      </c>
      <c r="BM111">
        <v>31.89</v>
      </c>
      <c r="BN111">
        <v>244.52</v>
      </c>
      <c r="BO111">
        <v>244.52</v>
      </c>
      <c r="BQ111" t="s">
        <v>233</v>
      </c>
      <c r="BR111" t="s">
        <v>107</v>
      </c>
      <c r="BS111" s="3">
        <v>44812</v>
      </c>
      <c r="BT111" s="4">
        <v>0.41666666666666669</v>
      </c>
      <c r="BU111" t="s">
        <v>233</v>
      </c>
      <c r="BV111" t="s">
        <v>83</v>
      </c>
      <c r="BY111">
        <v>36684.25</v>
      </c>
      <c r="BZ111" t="s">
        <v>350</v>
      </c>
      <c r="CC111" t="s">
        <v>329</v>
      </c>
      <c r="CD111">
        <v>8460</v>
      </c>
      <c r="CE111" t="s">
        <v>85</v>
      </c>
      <c r="CI111">
        <v>4</v>
      </c>
      <c r="CJ111">
        <v>1</v>
      </c>
      <c r="CK111">
        <v>43</v>
      </c>
    </row>
    <row r="112" spans="1:89" x14ac:dyDescent="0.3">
      <c r="A112" t="s">
        <v>72</v>
      </c>
      <c r="B112" t="s">
        <v>73</v>
      </c>
      <c r="C112" t="s">
        <v>74</v>
      </c>
      <c r="E112" t="str">
        <f>"009941332871"</f>
        <v>009941332871</v>
      </c>
      <c r="F112" s="3">
        <v>44811</v>
      </c>
      <c r="G112">
        <v>202306</v>
      </c>
      <c r="H112" t="s">
        <v>96</v>
      </c>
      <c r="I112" t="s">
        <v>97</v>
      </c>
      <c r="J112" t="s">
        <v>80</v>
      </c>
      <c r="L112" t="s">
        <v>119</v>
      </c>
      <c r="M112" t="s">
        <v>120</v>
      </c>
      <c r="N112" t="s">
        <v>80</v>
      </c>
      <c r="O112" t="s">
        <v>105</v>
      </c>
      <c r="P112" t="str">
        <f t="shared" si="3"/>
        <v>LOCKS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424.99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2.2999999999999998</v>
      </c>
      <c r="BJ112">
        <v>31.3</v>
      </c>
      <c r="BK112">
        <v>31.5</v>
      </c>
      <c r="BL112">
        <v>1110.45</v>
      </c>
      <c r="BM112">
        <v>166.57</v>
      </c>
      <c r="BN112">
        <v>1277.02</v>
      </c>
      <c r="BO112">
        <v>1277.02</v>
      </c>
      <c r="BQ112" t="s">
        <v>196</v>
      </c>
      <c r="BR112" t="s">
        <v>115</v>
      </c>
      <c r="BS112" s="3">
        <v>44812</v>
      </c>
      <c r="BT112" s="4">
        <v>0.40208333333333335</v>
      </c>
      <c r="BU112" t="s">
        <v>351</v>
      </c>
      <c r="BV112" t="s">
        <v>83</v>
      </c>
      <c r="BY112">
        <v>156676.73000000001</v>
      </c>
      <c r="BZ112" t="s">
        <v>339</v>
      </c>
      <c r="CA112" t="s">
        <v>123</v>
      </c>
      <c r="CC112" t="s">
        <v>120</v>
      </c>
      <c r="CD112">
        <v>4091</v>
      </c>
      <c r="CE112" t="s">
        <v>85</v>
      </c>
      <c r="CI112">
        <v>1</v>
      </c>
      <c r="CJ112">
        <v>1</v>
      </c>
      <c r="CK112">
        <v>21</v>
      </c>
    </row>
    <row r="113" spans="1:89" x14ac:dyDescent="0.3">
      <c r="A113" t="s">
        <v>72</v>
      </c>
      <c r="B113" t="s">
        <v>73</v>
      </c>
      <c r="C113" t="s">
        <v>74</v>
      </c>
      <c r="E113" t="str">
        <f>"009942319893"</f>
        <v>009942319893</v>
      </c>
      <c r="F113" s="3">
        <v>44811</v>
      </c>
      <c r="G113">
        <v>202306</v>
      </c>
      <c r="H113" t="s">
        <v>96</v>
      </c>
      <c r="I113" t="s">
        <v>97</v>
      </c>
      <c r="J113" t="s">
        <v>80</v>
      </c>
      <c r="L113" t="s">
        <v>141</v>
      </c>
      <c r="M113" t="s">
        <v>142</v>
      </c>
      <c r="N113" t="s">
        <v>80</v>
      </c>
      <c r="O113" t="s">
        <v>105</v>
      </c>
      <c r="P113" t="str">
        <f t="shared" si="3"/>
        <v>LOCKS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52.3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2</v>
      </c>
      <c r="BK113">
        <v>2</v>
      </c>
      <c r="BL113">
        <v>151.66</v>
      </c>
      <c r="BM113">
        <v>22.75</v>
      </c>
      <c r="BN113">
        <v>174.41</v>
      </c>
      <c r="BO113">
        <v>174.41</v>
      </c>
      <c r="BQ113" t="s">
        <v>143</v>
      </c>
      <c r="BR113" t="s">
        <v>352</v>
      </c>
      <c r="BS113" s="3">
        <v>44813</v>
      </c>
      <c r="BT113" s="4">
        <v>0.35138888888888892</v>
      </c>
      <c r="BU113" t="s">
        <v>281</v>
      </c>
      <c r="BV113" t="s">
        <v>109</v>
      </c>
      <c r="BY113">
        <v>10016.14</v>
      </c>
      <c r="BZ113" t="s">
        <v>353</v>
      </c>
      <c r="CC113" t="s">
        <v>142</v>
      </c>
      <c r="CD113">
        <v>2745</v>
      </c>
      <c r="CE113" t="s">
        <v>85</v>
      </c>
      <c r="CI113">
        <v>1</v>
      </c>
      <c r="CJ113">
        <v>2</v>
      </c>
      <c r="CK113">
        <v>23</v>
      </c>
    </row>
    <row r="114" spans="1:89" x14ac:dyDescent="0.3">
      <c r="A114" t="s">
        <v>72</v>
      </c>
      <c r="B114" t="s">
        <v>73</v>
      </c>
      <c r="C114" t="s">
        <v>74</v>
      </c>
      <c r="E114" t="str">
        <f>"009941618841"</f>
        <v>009941618841</v>
      </c>
      <c r="F114" s="3">
        <v>44811</v>
      </c>
      <c r="G114">
        <v>202306</v>
      </c>
      <c r="H114" t="s">
        <v>96</v>
      </c>
      <c r="I114" t="s">
        <v>97</v>
      </c>
      <c r="J114" t="s">
        <v>80</v>
      </c>
      <c r="L114" t="s">
        <v>136</v>
      </c>
      <c r="M114" t="s">
        <v>137</v>
      </c>
      <c r="N114" t="s">
        <v>354</v>
      </c>
      <c r="O114" t="s">
        <v>105</v>
      </c>
      <c r="P114" t="str">
        <f t="shared" si="3"/>
        <v>LOCKS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64.11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2.2000000000000002</v>
      </c>
      <c r="BK114">
        <v>2.5</v>
      </c>
      <c r="BL114">
        <v>167.52</v>
      </c>
      <c r="BM114">
        <v>25.13</v>
      </c>
      <c r="BN114">
        <v>192.65</v>
      </c>
      <c r="BO114">
        <v>192.65</v>
      </c>
      <c r="BQ114" t="s">
        <v>138</v>
      </c>
      <c r="BR114" t="s">
        <v>115</v>
      </c>
      <c r="BS114" s="3">
        <v>44812</v>
      </c>
      <c r="BT114" s="4">
        <v>0.34375</v>
      </c>
      <c r="BU114" t="s">
        <v>218</v>
      </c>
      <c r="BV114" t="s">
        <v>83</v>
      </c>
      <c r="BY114">
        <v>10944.78</v>
      </c>
      <c r="BZ114" t="s">
        <v>339</v>
      </c>
      <c r="CA114" t="s">
        <v>140</v>
      </c>
      <c r="CC114" t="s">
        <v>137</v>
      </c>
      <c r="CD114">
        <v>1034</v>
      </c>
      <c r="CE114" t="s">
        <v>85</v>
      </c>
      <c r="CI114">
        <v>1</v>
      </c>
      <c r="CJ114">
        <v>1</v>
      </c>
      <c r="CK114">
        <v>23</v>
      </c>
    </row>
    <row r="115" spans="1:89" x14ac:dyDescent="0.3">
      <c r="A115" t="s">
        <v>72</v>
      </c>
      <c r="B115" t="s">
        <v>73</v>
      </c>
      <c r="C115" t="s">
        <v>74</v>
      </c>
      <c r="E115" t="str">
        <f>"009940746455"</f>
        <v>009940746455</v>
      </c>
      <c r="F115" s="3">
        <v>44811</v>
      </c>
      <c r="G115">
        <v>202306</v>
      </c>
      <c r="H115" t="s">
        <v>147</v>
      </c>
      <c r="I115" t="s">
        <v>148</v>
      </c>
      <c r="J115" t="s">
        <v>80</v>
      </c>
      <c r="L115" t="s">
        <v>96</v>
      </c>
      <c r="M115" t="s">
        <v>97</v>
      </c>
      <c r="N115" t="s">
        <v>80</v>
      </c>
      <c r="O115" t="s">
        <v>81</v>
      </c>
      <c r="P115" t="str">
        <f>""</f>
        <v/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164.08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46.9</v>
      </c>
      <c r="BJ115">
        <v>66.599999999999994</v>
      </c>
      <c r="BK115">
        <v>67</v>
      </c>
      <c r="BL115">
        <v>433.97</v>
      </c>
      <c r="BM115">
        <v>65.099999999999994</v>
      </c>
      <c r="BN115">
        <v>499.07</v>
      </c>
      <c r="BO115">
        <v>499.07</v>
      </c>
      <c r="BQ115" t="s">
        <v>355</v>
      </c>
      <c r="BR115" t="s">
        <v>193</v>
      </c>
      <c r="BS115" s="3">
        <v>44813</v>
      </c>
      <c r="BT115" s="4">
        <v>0.39999999999999997</v>
      </c>
      <c r="BU115" t="s">
        <v>169</v>
      </c>
      <c r="BV115" t="s">
        <v>83</v>
      </c>
      <c r="BY115">
        <v>332843.90000000002</v>
      </c>
      <c r="BZ115" t="s">
        <v>342</v>
      </c>
      <c r="CA115" t="s">
        <v>170</v>
      </c>
      <c r="CC115" t="s">
        <v>97</v>
      </c>
      <c r="CD115">
        <v>2146</v>
      </c>
      <c r="CE115" t="s">
        <v>85</v>
      </c>
      <c r="CI115">
        <v>3</v>
      </c>
      <c r="CJ115">
        <v>2</v>
      </c>
      <c r="CK115">
        <v>41</v>
      </c>
    </row>
    <row r="116" spans="1:89" x14ac:dyDescent="0.3">
      <c r="A116" t="s">
        <v>72</v>
      </c>
      <c r="B116" t="s">
        <v>73</v>
      </c>
      <c r="C116" t="s">
        <v>74</v>
      </c>
      <c r="E116" t="str">
        <f>"009941310027"</f>
        <v>009941310027</v>
      </c>
      <c r="F116" s="3">
        <v>44812</v>
      </c>
      <c r="G116">
        <v>202306</v>
      </c>
      <c r="H116" t="s">
        <v>96</v>
      </c>
      <c r="I116" t="s">
        <v>97</v>
      </c>
      <c r="J116" t="s">
        <v>80</v>
      </c>
      <c r="L116" t="s">
        <v>88</v>
      </c>
      <c r="M116" t="s">
        <v>89</v>
      </c>
      <c r="N116" t="s">
        <v>80</v>
      </c>
      <c r="O116" t="s">
        <v>81</v>
      </c>
      <c r="P116" t="str">
        <f>"LOCKS"</f>
        <v>LOCKS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284.38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3</v>
      </c>
      <c r="BI116">
        <v>70.3</v>
      </c>
      <c r="BJ116">
        <v>48.2</v>
      </c>
      <c r="BK116">
        <v>71</v>
      </c>
      <c r="BL116">
        <v>748.3</v>
      </c>
      <c r="BM116">
        <v>112.25</v>
      </c>
      <c r="BN116">
        <v>860.55</v>
      </c>
      <c r="BO116">
        <v>860.55</v>
      </c>
      <c r="BQ116" t="s">
        <v>115</v>
      </c>
      <c r="BR116" t="s">
        <v>115</v>
      </c>
      <c r="BS116" s="3">
        <v>44813</v>
      </c>
      <c r="BT116" s="4">
        <v>0.37847222222222227</v>
      </c>
      <c r="BU116" t="s">
        <v>356</v>
      </c>
      <c r="BV116" t="s">
        <v>83</v>
      </c>
      <c r="BY116">
        <v>140739.29</v>
      </c>
      <c r="BZ116" t="s">
        <v>84</v>
      </c>
      <c r="CA116" t="s">
        <v>357</v>
      </c>
      <c r="CC116" t="s">
        <v>89</v>
      </c>
      <c r="CD116">
        <v>300</v>
      </c>
      <c r="CE116" t="s">
        <v>85</v>
      </c>
      <c r="CI116">
        <v>4</v>
      </c>
      <c r="CJ116">
        <v>1</v>
      </c>
      <c r="CK116">
        <v>43</v>
      </c>
    </row>
    <row r="117" spans="1:89" x14ac:dyDescent="0.3">
      <c r="A117" t="s">
        <v>72</v>
      </c>
      <c r="B117" t="s">
        <v>73</v>
      </c>
      <c r="C117" t="s">
        <v>74</v>
      </c>
      <c r="E117" t="str">
        <f>"009941332869"</f>
        <v>009941332869</v>
      </c>
      <c r="F117" s="3">
        <v>44812</v>
      </c>
      <c r="G117">
        <v>202306</v>
      </c>
      <c r="H117" t="s">
        <v>96</v>
      </c>
      <c r="I117" t="s">
        <v>97</v>
      </c>
      <c r="J117" t="s">
        <v>80</v>
      </c>
      <c r="L117" t="s">
        <v>119</v>
      </c>
      <c r="M117" t="s">
        <v>120</v>
      </c>
      <c r="N117" t="s">
        <v>80</v>
      </c>
      <c r="O117" t="s">
        <v>105</v>
      </c>
      <c r="P117" t="str">
        <f>"LOCKS"</f>
        <v>LOCKS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155.16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</v>
      </c>
      <c r="BJ117">
        <v>11.4</v>
      </c>
      <c r="BK117">
        <v>11.5</v>
      </c>
      <c r="BL117">
        <v>405.42</v>
      </c>
      <c r="BM117">
        <v>60.81</v>
      </c>
      <c r="BN117">
        <v>466.23</v>
      </c>
      <c r="BO117">
        <v>466.23</v>
      </c>
      <c r="BQ117" t="s">
        <v>358</v>
      </c>
      <c r="BR117" t="s">
        <v>115</v>
      </c>
      <c r="BS117" s="3">
        <v>44813</v>
      </c>
      <c r="BT117" s="4">
        <v>0.3666666666666667</v>
      </c>
      <c r="BU117" t="s">
        <v>359</v>
      </c>
      <c r="BV117" t="s">
        <v>83</v>
      </c>
      <c r="BY117">
        <v>56850.44</v>
      </c>
      <c r="BZ117" t="s">
        <v>339</v>
      </c>
      <c r="CA117" t="s">
        <v>123</v>
      </c>
      <c r="CC117" t="s">
        <v>120</v>
      </c>
      <c r="CD117">
        <v>4091</v>
      </c>
      <c r="CE117" t="s">
        <v>85</v>
      </c>
      <c r="CI117">
        <v>1</v>
      </c>
      <c r="CJ117">
        <v>1</v>
      </c>
      <c r="CK117">
        <v>21</v>
      </c>
    </row>
    <row r="118" spans="1:89" x14ac:dyDescent="0.3">
      <c r="A118" t="s">
        <v>72</v>
      </c>
      <c r="B118" t="s">
        <v>73</v>
      </c>
      <c r="C118" t="s">
        <v>74</v>
      </c>
      <c r="E118" t="str">
        <f>"009941119686"</f>
        <v>009941119686</v>
      </c>
      <c r="F118" s="3">
        <v>44812</v>
      </c>
      <c r="G118">
        <v>202306</v>
      </c>
      <c r="H118" t="s">
        <v>125</v>
      </c>
      <c r="I118" t="s">
        <v>126</v>
      </c>
      <c r="J118" t="s">
        <v>262</v>
      </c>
      <c r="L118" t="s">
        <v>78</v>
      </c>
      <c r="M118" t="s">
        <v>79</v>
      </c>
      <c r="N118" t="s">
        <v>262</v>
      </c>
      <c r="O118" t="s">
        <v>81</v>
      </c>
      <c r="P118" t="str">
        <f>""</f>
        <v/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149.02000000000001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19</v>
      </c>
      <c r="BJ118">
        <v>59.5</v>
      </c>
      <c r="BK118">
        <v>60</v>
      </c>
      <c r="BL118">
        <v>394.62</v>
      </c>
      <c r="BM118">
        <v>59.19</v>
      </c>
      <c r="BN118">
        <v>453.81</v>
      </c>
      <c r="BO118">
        <v>453.81</v>
      </c>
      <c r="BR118" t="s">
        <v>360</v>
      </c>
      <c r="BS118" s="3">
        <v>44813</v>
      </c>
      <c r="BT118" s="4">
        <v>0.40069444444444446</v>
      </c>
      <c r="BU118" t="s">
        <v>169</v>
      </c>
      <c r="BV118" t="s">
        <v>83</v>
      </c>
      <c r="BY118">
        <v>297644</v>
      </c>
      <c r="BZ118" t="s">
        <v>84</v>
      </c>
      <c r="CA118" t="s">
        <v>170</v>
      </c>
      <c r="CC118" t="s">
        <v>79</v>
      </c>
      <c r="CD118">
        <v>2196</v>
      </c>
      <c r="CE118" t="s">
        <v>85</v>
      </c>
      <c r="CI118">
        <v>3</v>
      </c>
      <c r="CJ118">
        <v>1</v>
      </c>
      <c r="CK118">
        <v>41</v>
      </c>
    </row>
    <row r="119" spans="1:89" x14ac:dyDescent="0.3">
      <c r="A119" t="s">
        <v>72</v>
      </c>
      <c r="B119" t="s">
        <v>73</v>
      </c>
      <c r="C119" t="s">
        <v>74</v>
      </c>
      <c r="E119" t="str">
        <f>"009942537393"</f>
        <v>009942537393</v>
      </c>
      <c r="F119" s="3">
        <v>44812</v>
      </c>
      <c r="G119">
        <v>202306</v>
      </c>
      <c r="H119" t="s">
        <v>136</v>
      </c>
      <c r="I119" t="s">
        <v>137</v>
      </c>
      <c r="J119" t="s">
        <v>150</v>
      </c>
      <c r="L119" t="s">
        <v>96</v>
      </c>
      <c r="M119" t="s">
        <v>97</v>
      </c>
      <c r="N119" t="s">
        <v>361</v>
      </c>
      <c r="O119" t="s">
        <v>105</v>
      </c>
      <c r="P119" t="str">
        <f>"083 601 5869"</f>
        <v>083 601 5869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52.3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136.66</v>
      </c>
      <c r="BM119">
        <v>20.5</v>
      </c>
      <c r="BN119">
        <v>157.16</v>
      </c>
      <c r="BO119">
        <v>157.16</v>
      </c>
      <c r="BR119" t="s">
        <v>138</v>
      </c>
      <c r="BS119" s="3">
        <v>44813</v>
      </c>
      <c r="BT119" s="4">
        <v>0.40347222222222223</v>
      </c>
      <c r="BU119" t="s">
        <v>169</v>
      </c>
      <c r="BV119" t="s">
        <v>83</v>
      </c>
      <c r="BY119">
        <v>1200</v>
      </c>
      <c r="BZ119" t="s">
        <v>362</v>
      </c>
      <c r="CA119" t="s">
        <v>170</v>
      </c>
      <c r="CC119" t="s">
        <v>97</v>
      </c>
      <c r="CD119">
        <v>2146</v>
      </c>
      <c r="CE119" t="s">
        <v>85</v>
      </c>
      <c r="CI119">
        <v>2</v>
      </c>
      <c r="CJ119">
        <v>1</v>
      </c>
      <c r="CK119">
        <v>23</v>
      </c>
    </row>
    <row r="120" spans="1:89" x14ac:dyDescent="0.3">
      <c r="A120" t="s">
        <v>72</v>
      </c>
      <c r="B120" t="s">
        <v>73</v>
      </c>
      <c r="C120" t="s">
        <v>74</v>
      </c>
      <c r="E120" t="str">
        <f>"009942600813"</f>
        <v>009942600813</v>
      </c>
      <c r="F120" s="3">
        <v>44812</v>
      </c>
      <c r="G120">
        <v>202306</v>
      </c>
      <c r="H120" t="s">
        <v>96</v>
      </c>
      <c r="I120" t="s">
        <v>97</v>
      </c>
      <c r="J120" t="s">
        <v>80</v>
      </c>
      <c r="L120" t="s">
        <v>94</v>
      </c>
      <c r="M120" t="s">
        <v>95</v>
      </c>
      <c r="N120" t="s">
        <v>80</v>
      </c>
      <c r="O120" t="s">
        <v>81</v>
      </c>
      <c r="P120" t="str">
        <f>"STORE"</f>
        <v>STORE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78.02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26.1</v>
      </c>
      <c r="BJ120">
        <v>21.8</v>
      </c>
      <c r="BK120">
        <v>27</v>
      </c>
      <c r="BL120">
        <v>209.11</v>
      </c>
      <c r="BM120">
        <v>31.37</v>
      </c>
      <c r="BN120">
        <v>240.48</v>
      </c>
      <c r="BO120">
        <v>240.48</v>
      </c>
      <c r="BQ120" t="s">
        <v>115</v>
      </c>
      <c r="BR120" t="s">
        <v>363</v>
      </c>
      <c r="BS120" s="3">
        <v>44813</v>
      </c>
      <c r="BT120" s="4">
        <v>0.45763888888888887</v>
      </c>
      <c r="BU120" t="s">
        <v>364</v>
      </c>
      <c r="BV120" t="s">
        <v>83</v>
      </c>
      <c r="BY120">
        <v>109103.9</v>
      </c>
      <c r="BZ120" t="s">
        <v>342</v>
      </c>
      <c r="CA120" t="s">
        <v>287</v>
      </c>
      <c r="CC120" t="s">
        <v>95</v>
      </c>
      <c r="CD120">
        <v>699</v>
      </c>
      <c r="CE120" t="s">
        <v>85</v>
      </c>
      <c r="CI120">
        <v>3</v>
      </c>
      <c r="CJ120">
        <v>1</v>
      </c>
      <c r="CK120">
        <v>41</v>
      </c>
    </row>
    <row r="121" spans="1:89" x14ac:dyDescent="0.3">
      <c r="A121" t="s">
        <v>72</v>
      </c>
      <c r="B121" t="s">
        <v>73</v>
      </c>
      <c r="C121" t="s">
        <v>74</v>
      </c>
      <c r="E121" t="str">
        <f>"009941618847"</f>
        <v>009941618847</v>
      </c>
      <c r="F121" s="3">
        <v>44812</v>
      </c>
      <c r="G121">
        <v>202306</v>
      </c>
      <c r="H121" t="s">
        <v>96</v>
      </c>
      <c r="I121" t="s">
        <v>97</v>
      </c>
      <c r="J121" t="s">
        <v>80</v>
      </c>
      <c r="L121" t="s">
        <v>136</v>
      </c>
      <c r="M121" t="s">
        <v>137</v>
      </c>
      <c r="N121" t="s">
        <v>80</v>
      </c>
      <c r="O121" t="s">
        <v>81</v>
      </c>
      <c r="P121" t="str">
        <f>"LOCKS"</f>
        <v>LOCKS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73.63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8.8000000000000007</v>
      </c>
      <c r="BJ121">
        <v>9.9</v>
      </c>
      <c r="BK121">
        <v>10</v>
      </c>
      <c r="BL121">
        <v>197.63</v>
      </c>
      <c r="BM121">
        <v>29.64</v>
      </c>
      <c r="BN121">
        <v>227.27</v>
      </c>
      <c r="BO121">
        <v>227.27</v>
      </c>
      <c r="BQ121" t="s">
        <v>138</v>
      </c>
      <c r="BR121" t="s">
        <v>115</v>
      </c>
      <c r="BS121" s="3">
        <v>44813</v>
      </c>
      <c r="BT121" s="4">
        <v>0.40902777777777777</v>
      </c>
      <c r="BU121" t="s">
        <v>365</v>
      </c>
      <c r="BV121" t="s">
        <v>83</v>
      </c>
      <c r="BY121">
        <v>49451.47</v>
      </c>
      <c r="BZ121" t="s">
        <v>342</v>
      </c>
      <c r="CA121" t="s">
        <v>140</v>
      </c>
      <c r="CC121" t="s">
        <v>137</v>
      </c>
      <c r="CD121">
        <v>1034</v>
      </c>
      <c r="CE121" t="s">
        <v>85</v>
      </c>
      <c r="CI121">
        <v>4</v>
      </c>
      <c r="CJ121">
        <v>1</v>
      </c>
      <c r="CK121">
        <v>43</v>
      </c>
    </row>
    <row r="122" spans="1:89" x14ac:dyDescent="0.3">
      <c r="A122" t="s">
        <v>72</v>
      </c>
      <c r="B122" t="s">
        <v>73</v>
      </c>
      <c r="C122" t="s">
        <v>74</v>
      </c>
      <c r="E122" t="str">
        <f>"009941618592"</f>
        <v>009941618592</v>
      </c>
      <c r="F122" s="3">
        <v>44812</v>
      </c>
      <c r="G122">
        <v>202306</v>
      </c>
      <c r="H122" t="s">
        <v>96</v>
      </c>
      <c r="I122" t="s">
        <v>97</v>
      </c>
      <c r="J122" t="s">
        <v>80</v>
      </c>
      <c r="L122" t="s">
        <v>88</v>
      </c>
      <c r="M122" t="s">
        <v>89</v>
      </c>
      <c r="N122" t="s">
        <v>80</v>
      </c>
      <c r="O122" t="s">
        <v>105</v>
      </c>
      <c r="P122" t="str">
        <f>"LOCKS"</f>
        <v>LOCKS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52.3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136.66</v>
      </c>
      <c r="BM122">
        <v>20.5</v>
      </c>
      <c r="BN122">
        <v>157.16</v>
      </c>
      <c r="BO122">
        <v>157.16</v>
      </c>
      <c r="BQ122" t="s">
        <v>117</v>
      </c>
      <c r="BR122" t="s">
        <v>124</v>
      </c>
      <c r="BS122" s="3">
        <v>44813</v>
      </c>
      <c r="BT122" s="4">
        <v>0.41736111111111113</v>
      </c>
      <c r="BU122" t="s">
        <v>366</v>
      </c>
      <c r="BV122" t="s">
        <v>83</v>
      </c>
      <c r="BY122">
        <v>1200</v>
      </c>
      <c r="BZ122" t="s">
        <v>339</v>
      </c>
      <c r="CA122" t="s">
        <v>367</v>
      </c>
      <c r="CC122" t="s">
        <v>89</v>
      </c>
      <c r="CD122">
        <v>300</v>
      </c>
      <c r="CE122" t="s">
        <v>85</v>
      </c>
      <c r="CI122">
        <v>1</v>
      </c>
      <c r="CJ122">
        <v>1</v>
      </c>
      <c r="CK122">
        <v>23</v>
      </c>
    </row>
    <row r="123" spans="1:89" x14ac:dyDescent="0.3">
      <c r="A123" t="s">
        <v>72</v>
      </c>
      <c r="B123" t="s">
        <v>73</v>
      </c>
      <c r="C123" t="s">
        <v>74</v>
      </c>
      <c r="E123" t="str">
        <f>"009942319898"</f>
        <v>009942319898</v>
      </c>
      <c r="F123" s="3">
        <v>44812</v>
      </c>
      <c r="G123">
        <v>202306</v>
      </c>
      <c r="H123" t="s">
        <v>96</v>
      </c>
      <c r="I123" t="s">
        <v>97</v>
      </c>
      <c r="J123" t="s">
        <v>80</v>
      </c>
      <c r="L123" t="s">
        <v>199</v>
      </c>
      <c r="M123" t="s">
        <v>200</v>
      </c>
      <c r="N123" t="s">
        <v>80</v>
      </c>
      <c r="O123" t="s">
        <v>105</v>
      </c>
      <c r="P123" t="str">
        <f>"LOCKS"</f>
        <v>LOCKS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64.11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2.2999999999999998</v>
      </c>
      <c r="BK123">
        <v>2.5</v>
      </c>
      <c r="BL123">
        <v>167.52</v>
      </c>
      <c r="BM123">
        <v>25.13</v>
      </c>
      <c r="BN123">
        <v>192.65</v>
      </c>
      <c r="BO123">
        <v>192.65</v>
      </c>
      <c r="BQ123" t="s">
        <v>368</v>
      </c>
      <c r="BR123" t="s">
        <v>369</v>
      </c>
      <c r="BS123" s="3">
        <v>44813</v>
      </c>
      <c r="BT123" s="4">
        <v>0.41666666666666669</v>
      </c>
      <c r="BU123" t="s">
        <v>202</v>
      </c>
      <c r="BV123" t="s">
        <v>83</v>
      </c>
      <c r="BY123">
        <v>11481.6</v>
      </c>
      <c r="BZ123" t="s">
        <v>339</v>
      </c>
      <c r="CA123" t="s">
        <v>345</v>
      </c>
      <c r="CC123" t="s">
        <v>200</v>
      </c>
      <c r="CD123">
        <v>9700</v>
      </c>
      <c r="CE123" t="s">
        <v>85</v>
      </c>
      <c r="CI123">
        <v>2</v>
      </c>
      <c r="CJ123">
        <v>1</v>
      </c>
      <c r="CK123">
        <v>23</v>
      </c>
    </row>
    <row r="124" spans="1:89" x14ac:dyDescent="0.3">
      <c r="A124" t="s">
        <v>72</v>
      </c>
      <c r="B124" t="s">
        <v>73</v>
      </c>
      <c r="C124" t="s">
        <v>74</v>
      </c>
      <c r="E124" t="str">
        <f>"009935987948"</f>
        <v>009935987948</v>
      </c>
      <c r="F124" s="3">
        <v>44812</v>
      </c>
      <c r="G124">
        <v>202306</v>
      </c>
      <c r="H124" t="s">
        <v>96</v>
      </c>
      <c r="I124" t="s">
        <v>97</v>
      </c>
      <c r="J124" t="s">
        <v>80</v>
      </c>
      <c r="L124" t="s">
        <v>370</v>
      </c>
      <c r="M124" t="s">
        <v>371</v>
      </c>
      <c r="N124" t="s">
        <v>80</v>
      </c>
      <c r="O124" t="s">
        <v>105</v>
      </c>
      <c r="P124" t="str">
        <f>"LOCKS"</f>
        <v>LOCKS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33.74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2.4</v>
      </c>
      <c r="BK124">
        <v>2.5</v>
      </c>
      <c r="BL124">
        <v>88.16</v>
      </c>
      <c r="BM124">
        <v>13.22</v>
      </c>
      <c r="BN124">
        <v>101.38</v>
      </c>
      <c r="BO124">
        <v>101.38</v>
      </c>
      <c r="BQ124" t="s">
        <v>372</v>
      </c>
      <c r="BR124" t="s">
        <v>264</v>
      </c>
      <c r="BS124" s="3">
        <v>44817</v>
      </c>
      <c r="BT124" s="4">
        <v>0.37708333333333338</v>
      </c>
      <c r="BU124" t="s">
        <v>80</v>
      </c>
      <c r="BV124" t="s">
        <v>109</v>
      </c>
      <c r="BY124">
        <v>12069.32</v>
      </c>
      <c r="BZ124" t="s">
        <v>339</v>
      </c>
      <c r="CA124" t="s">
        <v>373</v>
      </c>
      <c r="CC124" t="s">
        <v>371</v>
      </c>
      <c r="CD124">
        <v>5206</v>
      </c>
      <c r="CE124" t="s">
        <v>85</v>
      </c>
      <c r="CI124">
        <v>1</v>
      </c>
      <c r="CJ124">
        <v>3</v>
      </c>
      <c r="CK124">
        <v>21</v>
      </c>
    </row>
    <row r="125" spans="1:89" x14ac:dyDescent="0.3">
      <c r="A125" t="s">
        <v>72</v>
      </c>
      <c r="B125" t="s">
        <v>73</v>
      </c>
      <c r="C125" t="s">
        <v>74</v>
      </c>
      <c r="E125" t="str">
        <f>"009941332870"</f>
        <v>009941332870</v>
      </c>
      <c r="F125" s="3">
        <v>44812</v>
      </c>
      <c r="G125">
        <v>202306</v>
      </c>
      <c r="H125" t="s">
        <v>96</v>
      </c>
      <c r="I125" t="s">
        <v>97</v>
      </c>
      <c r="J125" t="s">
        <v>80</v>
      </c>
      <c r="L125" t="s">
        <v>119</v>
      </c>
      <c r="M125" t="s">
        <v>120</v>
      </c>
      <c r="N125" t="s">
        <v>80</v>
      </c>
      <c r="O125" t="s">
        <v>105</v>
      </c>
      <c r="P125" t="str">
        <f>"LOCKS"</f>
        <v>LOCKS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26.99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70.53</v>
      </c>
      <c r="BM125">
        <v>10.58</v>
      </c>
      <c r="BN125">
        <v>81.11</v>
      </c>
      <c r="BO125">
        <v>81.11</v>
      </c>
      <c r="BQ125" t="s">
        <v>196</v>
      </c>
      <c r="BR125" t="s">
        <v>115</v>
      </c>
      <c r="BS125" s="3">
        <v>44813</v>
      </c>
      <c r="BT125" s="4">
        <v>0.3666666666666667</v>
      </c>
      <c r="BU125" t="s">
        <v>359</v>
      </c>
      <c r="BV125" t="s">
        <v>83</v>
      </c>
      <c r="BY125">
        <v>1200</v>
      </c>
      <c r="BZ125" t="s">
        <v>339</v>
      </c>
      <c r="CA125" t="s">
        <v>123</v>
      </c>
      <c r="CC125" t="s">
        <v>120</v>
      </c>
      <c r="CD125">
        <v>4091</v>
      </c>
      <c r="CE125" t="s">
        <v>85</v>
      </c>
      <c r="CI125">
        <v>1</v>
      </c>
      <c r="CJ125">
        <v>1</v>
      </c>
      <c r="CK125">
        <v>21</v>
      </c>
    </row>
    <row r="126" spans="1:89" x14ac:dyDescent="0.3">
      <c r="A126" t="s">
        <v>72</v>
      </c>
      <c r="B126" t="s">
        <v>73</v>
      </c>
      <c r="C126" t="s">
        <v>74</v>
      </c>
      <c r="E126" t="str">
        <f>"009941945358"</f>
        <v>009941945358</v>
      </c>
      <c r="F126" s="3">
        <v>44813</v>
      </c>
      <c r="G126">
        <v>202306</v>
      </c>
      <c r="H126" t="s">
        <v>205</v>
      </c>
      <c r="I126" t="s">
        <v>206</v>
      </c>
      <c r="J126" t="s">
        <v>80</v>
      </c>
      <c r="L126" t="s">
        <v>94</v>
      </c>
      <c r="M126" t="s">
        <v>95</v>
      </c>
      <c r="N126" t="s">
        <v>80</v>
      </c>
      <c r="O126" t="s">
        <v>81</v>
      </c>
      <c r="P126" t="str">
        <f>""</f>
        <v/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111.67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35</v>
      </c>
      <c r="BJ126">
        <v>51</v>
      </c>
      <c r="BK126">
        <v>51</v>
      </c>
      <c r="BL126">
        <v>297.02999999999997</v>
      </c>
      <c r="BM126">
        <v>44.55</v>
      </c>
      <c r="BN126">
        <v>341.58</v>
      </c>
      <c r="BO126">
        <v>341.58</v>
      </c>
      <c r="BQ126" t="s">
        <v>374</v>
      </c>
      <c r="BR126" t="s">
        <v>375</v>
      </c>
      <c r="BS126" s="3">
        <v>44813</v>
      </c>
      <c r="BT126" s="4">
        <v>0.45763888888888887</v>
      </c>
      <c r="BU126" t="s">
        <v>364</v>
      </c>
      <c r="BV126" t="s">
        <v>83</v>
      </c>
      <c r="BY126">
        <v>255170</v>
      </c>
      <c r="BZ126" t="s">
        <v>84</v>
      </c>
      <c r="CA126" t="s">
        <v>287</v>
      </c>
      <c r="CC126" t="s">
        <v>95</v>
      </c>
      <c r="CD126">
        <v>699</v>
      </c>
      <c r="CE126" t="s">
        <v>85</v>
      </c>
      <c r="CI126">
        <v>3</v>
      </c>
      <c r="CJ126">
        <v>0</v>
      </c>
      <c r="CK126">
        <v>44</v>
      </c>
    </row>
    <row r="127" spans="1:89" x14ac:dyDescent="0.3">
      <c r="A127" t="s">
        <v>72</v>
      </c>
      <c r="B127" t="s">
        <v>73</v>
      </c>
      <c r="C127" t="s">
        <v>74</v>
      </c>
      <c r="E127" t="str">
        <f>"009942666000"</f>
        <v>009942666000</v>
      </c>
      <c r="F127" s="3">
        <v>44813</v>
      </c>
      <c r="G127">
        <v>202306</v>
      </c>
      <c r="H127" t="s">
        <v>266</v>
      </c>
      <c r="I127" t="s">
        <v>267</v>
      </c>
      <c r="J127" t="s">
        <v>80</v>
      </c>
      <c r="L127" t="s">
        <v>78</v>
      </c>
      <c r="M127" t="s">
        <v>79</v>
      </c>
      <c r="N127" t="s">
        <v>80</v>
      </c>
      <c r="O127" t="s">
        <v>81</v>
      </c>
      <c r="P127" t="str">
        <f>""</f>
        <v/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200.65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10</v>
      </c>
      <c r="BJ127">
        <v>83.4</v>
      </c>
      <c r="BK127">
        <v>84</v>
      </c>
      <c r="BL127">
        <v>529.53</v>
      </c>
      <c r="BM127">
        <v>79.430000000000007</v>
      </c>
      <c r="BN127">
        <v>608.96</v>
      </c>
      <c r="BO127">
        <v>608.96</v>
      </c>
      <c r="BQ127" t="s">
        <v>376</v>
      </c>
      <c r="BR127" t="s">
        <v>377</v>
      </c>
      <c r="BS127" s="3">
        <v>44819</v>
      </c>
      <c r="BT127" s="4">
        <v>0.34722222222222227</v>
      </c>
      <c r="BU127" t="s">
        <v>169</v>
      </c>
      <c r="BV127" t="s">
        <v>109</v>
      </c>
      <c r="BY127">
        <v>208560</v>
      </c>
      <c r="BZ127" t="s">
        <v>84</v>
      </c>
      <c r="CA127" t="s">
        <v>170</v>
      </c>
      <c r="CC127" t="s">
        <v>79</v>
      </c>
      <c r="CD127">
        <v>2196</v>
      </c>
      <c r="CE127" t="s">
        <v>378</v>
      </c>
      <c r="CI127">
        <v>3</v>
      </c>
      <c r="CJ127">
        <v>3</v>
      </c>
      <c r="CK127">
        <v>41</v>
      </c>
    </row>
    <row r="128" spans="1:89" x14ac:dyDescent="0.3">
      <c r="A128" t="s">
        <v>72</v>
      </c>
      <c r="B128" t="s">
        <v>73</v>
      </c>
      <c r="C128" t="s">
        <v>74</v>
      </c>
      <c r="E128" t="str">
        <f>"009942665998"</f>
        <v>009942665998</v>
      </c>
      <c r="F128" s="3">
        <v>44813</v>
      </c>
      <c r="G128">
        <v>202306</v>
      </c>
      <c r="H128" t="s">
        <v>266</v>
      </c>
      <c r="I128" t="s">
        <v>267</v>
      </c>
      <c r="J128" t="s">
        <v>80</v>
      </c>
      <c r="L128" t="s">
        <v>78</v>
      </c>
      <c r="M128" t="s">
        <v>79</v>
      </c>
      <c r="N128" t="s">
        <v>80</v>
      </c>
      <c r="O128" t="s">
        <v>81</v>
      </c>
      <c r="P128" t="str">
        <f>""</f>
        <v/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52.2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141.65</v>
      </c>
      <c r="BM128">
        <v>21.25</v>
      </c>
      <c r="BN128">
        <v>162.9</v>
      </c>
      <c r="BO128">
        <v>162.9</v>
      </c>
      <c r="BQ128" t="s">
        <v>379</v>
      </c>
      <c r="BR128" t="s">
        <v>377</v>
      </c>
      <c r="BS128" s="3">
        <v>44819</v>
      </c>
      <c r="BT128" s="4">
        <v>0.34652777777777777</v>
      </c>
      <c r="BU128" t="s">
        <v>169</v>
      </c>
      <c r="BV128" t="s">
        <v>109</v>
      </c>
      <c r="BY128">
        <v>1200</v>
      </c>
      <c r="BZ128" t="s">
        <v>84</v>
      </c>
      <c r="CA128" t="s">
        <v>170</v>
      </c>
      <c r="CC128" t="s">
        <v>79</v>
      </c>
      <c r="CD128">
        <v>2196</v>
      </c>
      <c r="CE128" t="s">
        <v>380</v>
      </c>
      <c r="CI128">
        <v>3</v>
      </c>
      <c r="CJ128">
        <v>3</v>
      </c>
      <c r="CK128">
        <v>41</v>
      </c>
    </row>
    <row r="129" spans="1:89" x14ac:dyDescent="0.3">
      <c r="A129" t="s">
        <v>72</v>
      </c>
      <c r="B129" t="s">
        <v>73</v>
      </c>
      <c r="C129" t="s">
        <v>74</v>
      </c>
      <c r="E129" t="str">
        <f>"009940734084"</f>
        <v>009940734084</v>
      </c>
      <c r="F129" s="3">
        <v>44813</v>
      </c>
      <c r="G129">
        <v>202306</v>
      </c>
      <c r="H129" t="s">
        <v>141</v>
      </c>
      <c r="I129" t="s">
        <v>142</v>
      </c>
      <c r="J129" t="s">
        <v>80</v>
      </c>
      <c r="L129" t="s">
        <v>96</v>
      </c>
      <c r="M129" t="s">
        <v>97</v>
      </c>
      <c r="N129" t="s">
        <v>80</v>
      </c>
      <c r="O129" t="s">
        <v>81</v>
      </c>
      <c r="P129" t="str">
        <f>""</f>
        <v/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15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52.2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2.5</v>
      </c>
      <c r="BJ129">
        <v>2.9</v>
      </c>
      <c r="BK129">
        <v>3</v>
      </c>
      <c r="BL129">
        <v>156.65</v>
      </c>
      <c r="BM129">
        <v>23.5</v>
      </c>
      <c r="BN129">
        <v>180.15</v>
      </c>
      <c r="BO129">
        <v>180.15</v>
      </c>
      <c r="BQ129" t="s">
        <v>381</v>
      </c>
      <c r="BR129" t="s">
        <v>281</v>
      </c>
      <c r="BS129" s="3">
        <v>44816</v>
      </c>
      <c r="BT129" s="4">
        <v>0.74305555555555547</v>
      </c>
      <c r="BU129" t="s">
        <v>382</v>
      </c>
      <c r="BV129" t="s">
        <v>83</v>
      </c>
      <c r="BY129">
        <v>14280</v>
      </c>
      <c r="BZ129" t="s">
        <v>175</v>
      </c>
      <c r="CA129" t="s">
        <v>170</v>
      </c>
      <c r="CC129" t="s">
        <v>97</v>
      </c>
      <c r="CD129">
        <v>2146</v>
      </c>
      <c r="CE129" t="s">
        <v>177</v>
      </c>
      <c r="CI129">
        <v>3</v>
      </c>
      <c r="CJ129">
        <v>1</v>
      </c>
      <c r="CK129">
        <v>41</v>
      </c>
    </row>
    <row r="130" spans="1:89" x14ac:dyDescent="0.3">
      <c r="A130" t="s">
        <v>72</v>
      </c>
      <c r="B130" t="s">
        <v>73</v>
      </c>
      <c r="C130" t="s">
        <v>74</v>
      </c>
      <c r="E130" t="str">
        <f>"009942333493"</f>
        <v>009942333493</v>
      </c>
      <c r="F130" s="3">
        <v>44813</v>
      </c>
      <c r="G130">
        <v>202306</v>
      </c>
      <c r="H130" t="s">
        <v>303</v>
      </c>
      <c r="I130" t="s">
        <v>304</v>
      </c>
      <c r="J130" t="s">
        <v>262</v>
      </c>
      <c r="L130" t="s">
        <v>151</v>
      </c>
      <c r="M130" t="s">
        <v>152</v>
      </c>
      <c r="N130" t="s">
        <v>383</v>
      </c>
      <c r="O130" t="s">
        <v>81</v>
      </c>
      <c r="P130" t="str">
        <f>""</f>
        <v/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52.2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0.1</v>
      </c>
      <c r="BK130">
        <v>1</v>
      </c>
      <c r="BL130">
        <v>141.65</v>
      </c>
      <c r="BM130">
        <v>21.25</v>
      </c>
      <c r="BN130">
        <v>162.9</v>
      </c>
      <c r="BO130">
        <v>162.9</v>
      </c>
      <c r="BQ130" t="s">
        <v>154</v>
      </c>
      <c r="BR130" t="s">
        <v>305</v>
      </c>
      <c r="BS130" s="3">
        <v>44816</v>
      </c>
      <c r="BT130" s="4">
        <v>0.42708333333333331</v>
      </c>
      <c r="BU130" t="s">
        <v>156</v>
      </c>
      <c r="BV130" t="s">
        <v>83</v>
      </c>
      <c r="BY130">
        <v>600</v>
      </c>
      <c r="BZ130" t="s">
        <v>84</v>
      </c>
      <c r="CA130" t="s">
        <v>157</v>
      </c>
      <c r="CC130" t="s">
        <v>152</v>
      </c>
      <c r="CD130">
        <v>1684</v>
      </c>
      <c r="CE130" t="s">
        <v>85</v>
      </c>
      <c r="CI130">
        <v>3</v>
      </c>
      <c r="CJ130">
        <v>1</v>
      </c>
      <c r="CK130">
        <v>41</v>
      </c>
    </row>
    <row r="131" spans="1:89" x14ac:dyDescent="0.3">
      <c r="A131" t="s">
        <v>72</v>
      </c>
      <c r="B131" t="s">
        <v>73</v>
      </c>
      <c r="C131" t="s">
        <v>74</v>
      </c>
      <c r="E131" t="str">
        <f>"009942616659"</f>
        <v>009942616659</v>
      </c>
      <c r="F131" s="3">
        <v>44813</v>
      </c>
      <c r="G131">
        <v>202306</v>
      </c>
      <c r="H131" t="s">
        <v>119</v>
      </c>
      <c r="I131" t="s">
        <v>120</v>
      </c>
      <c r="J131" t="s">
        <v>283</v>
      </c>
      <c r="L131" t="s">
        <v>212</v>
      </c>
      <c r="M131" t="s">
        <v>213</v>
      </c>
      <c r="N131" t="s">
        <v>384</v>
      </c>
      <c r="O131" t="s">
        <v>105</v>
      </c>
      <c r="P131" t="str">
        <f>"083 600 3941"</f>
        <v>083 600 3941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26.99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0.2</v>
      </c>
      <c r="BK131">
        <v>0.5</v>
      </c>
      <c r="BL131">
        <v>70.53</v>
      </c>
      <c r="BM131">
        <v>10.58</v>
      </c>
      <c r="BN131">
        <v>81.11</v>
      </c>
      <c r="BO131">
        <v>81.11</v>
      </c>
      <c r="BQ131" t="s">
        <v>385</v>
      </c>
      <c r="BR131" t="s">
        <v>196</v>
      </c>
      <c r="BS131" s="3">
        <v>44816</v>
      </c>
      <c r="BT131" s="4">
        <v>0.32708333333333334</v>
      </c>
      <c r="BU131" t="s">
        <v>386</v>
      </c>
      <c r="BV131" t="s">
        <v>83</v>
      </c>
      <c r="BY131">
        <v>1200</v>
      </c>
      <c r="BZ131" t="s">
        <v>110</v>
      </c>
      <c r="CA131" t="s">
        <v>217</v>
      </c>
      <c r="CC131" t="s">
        <v>213</v>
      </c>
      <c r="CD131">
        <v>2125</v>
      </c>
      <c r="CE131" t="s">
        <v>85</v>
      </c>
      <c r="CI131">
        <v>1</v>
      </c>
      <c r="CJ131">
        <v>1</v>
      </c>
      <c r="CK131">
        <v>21</v>
      </c>
    </row>
    <row r="132" spans="1:89" x14ac:dyDescent="0.3">
      <c r="A132" t="s">
        <v>72</v>
      </c>
      <c r="B132" t="s">
        <v>73</v>
      </c>
      <c r="C132" t="s">
        <v>74</v>
      </c>
      <c r="E132" t="str">
        <f>"009942600814"</f>
        <v>009942600814</v>
      </c>
      <c r="F132" s="3">
        <v>44813</v>
      </c>
      <c r="G132">
        <v>202306</v>
      </c>
      <c r="H132" t="s">
        <v>96</v>
      </c>
      <c r="I132" t="s">
        <v>97</v>
      </c>
      <c r="J132" t="s">
        <v>80</v>
      </c>
      <c r="L132" t="s">
        <v>94</v>
      </c>
      <c r="M132" t="s">
        <v>95</v>
      </c>
      <c r="N132" t="s">
        <v>80</v>
      </c>
      <c r="O132" t="s">
        <v>81</v>
      </c>
      <c r="P132" t="str">
        <f>"STORES"</f>
        <v>STORES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52.2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3.3</v>
      </c>
      <c r="BJ132">
        <v>4.7</v>
      </c>
      <c r="BK132">
        <v>5</v>
      </c>
      <c r="BL132">
        <v>141.65</v>
      </c>
      <c r="BM132">
        <v>21.25</v>
      </c>
      <c r="BN132">
        <v>162.9</v>
      </c>
      <c r="BO132">
        <v>162.9</v>
      </c>
      <c r="BQ132" t="s">
        <v>115</v>
      </c>
      <c r="BR132" t="s">
        <v>387</v>
      </c>
      <c r="BS132" s="3">
        <v>44816</v>
      </c>
      <c r="BT132" s="4">
        <v>0.4291666666666667</v>
      </c>
      <c r="BU132" t="s">
        <v>343</v>
      </c>
      <c r="BV132" t="s">
        <v>83</v>
      </c>
      <c r="BY132">
        <v>23390.79</v>
      </c>
      <c r="BZ132" t="s">
        <v>84</v>
      </c>
      <c r="CA132" t="s">
        <v>287</v>
      </c>
      <c r="CC132" t="s">
        <v>95</v>
      </c>
      <c r="CD132">
        <v>699</v>
      </c>
      <c r="CE132" t="s">
        <v>85</v>
      </c>
      <c r="CI132">
        <v>3</v>
      </c>
      <c r="CJ132">
        <v>1</v>
      </c>
      <c r="CK132">
        <v>41</v>
      </c>
    </row>
    <row r="133" spans="1:89" x14ac:dyDescent="0.3">
      <c r="A133" t="s">
        <v>72</v>
      </c>
      <c r="B133" t="s">
        <v>73</v>
      </c>
      <c r="C133" t="s">
        <v>74</v>
      </c>
      <c r="E133" t="str">
        <f>"009941332868"</f>
        <v>009941332868</v>
      </c>
      <c r="F133" s="3">
        <v>44813</v>
      </c>
      <c r="G133">
        <v>202306</v>
      </c>
      <c r="H133" t="s">
        <v>96</v>
      </c>
      <c r="I133" t="s">
        <v>97</v>
      </c>
      <c r="J133" t="s">
        <v>80</v>
      </c>
      <c r="L133" t="s">
        <v>119</v>
      </c>
      <c r="M133" t="s">
        <v>120</v>
      </c>
      <c r="N133" t="s">
        <v>80</v>
      </c>
      <c r="O133" t="s">
        <v>81</v>
      </c>
      <c r="P133" t="str">
        <f>"LOCKS"</f>
        <v>LOCKS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52.2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3.3</v>
      </c>
      <c r="BJ133">
        <v>4.5999999999999996</v>
      </c>
      <c r="BK133">
        <v>5</v>
      </c>
      <c r="BL133">
        <v>141.65</v>
      </c>
      <c r="BM133">
        <v>21.25</v>
      </c>
      <c r="BN133">
        <v>162.9</v>
      </c>
      <c r="BO133">
        <v>162.9</v>
      </c>
      <c r="BQ133" t="s">
        <v>115</v>
      </c>
      <c r="BR133" t="s">
        <v>115</v>
      </c>
      <c r="BS133" s="3">
        <v>44816</v>
      </c>
      <c r="BT133" s="4">
        <v>0.39583333333333331</v>
      </c>
      <c r="BU133" t="s">
        <v>388</v>
      </c>
      <c r="BV133" t="s">
        <v>83</v>
      </c>
      <c r="BY133">
        <v>22994.06</v>
      </c>
      <c r="BZ133" t="s">
        <v>84</v>
      </c>
      <c r="CC133" t="s">
        <v>120</v>
      </c>
      <c r="CD133">
        <v>4091</v>
      </c>
      <c r="CE133" t="s">
        <v>85</v>
      </c>
      <c r="CI133">
        <v>4</v>
      </c>
      <c r="CJ133">
        <v>1</v>
      </c>
      <c r="CK133">
        <v>41</v>
      </c>
    </row>
    <row r="134" spans="1:89" x14ac:dyDescent="0.3">
      <c r="A134" t="s">
        <v>72</v>
      </c>
      <c r="B134" t="s">
        <v>73</v>
      </c>
      <c r="C134" t="s">
        <v>74</v>
      </c>
      <c r="E134" t="str">
        <f>"009941291475"</f>
        <v>009941291475</v>
      </c>
      <c r="F134" s="3">
        <v>44813</v>
      </c>
      <c r="G134">
        <v>202306</v>
      </c>
      <c r="H134" t="s">
        <v>96</v>
      </c>
      <c r="I134" t="s">
        <v>97</v>
      </c>
      <c r="J134" t="s">
        <v>80</v>
      </c>
      <c r="L134" t="s">
        <v>147</v>
      </c>
      <c r="M134" t="s">
        <v>148</v>
      </c>
      <c r="N134" t="s">
        <v>80</v>
      </c>
      <c r="O134" t="s">
        <v>105</v>
      </c>
      <c r="P134" t="str">
        <f>"NA"</f>
        <v>NA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47.23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3.2</v>
      </c>
      <c r="BK134">
        <v>3.5</v>
      </c>
      <c r="BL134">
        <v>123.41</v>
      </c>
      <c r="BM134">
        <v>18.510000000000002</v>
      </c>
      <c r="BN134">
        <v>141.91999999999999</v>
      </c>
      <c r="BO134">
        <v>141.91999999999999</v>
      </c>
      <c r="BQ134" t="s">
        <v>193</v>
      </c>
      <c r="BR134" t="s">
        <v>115</v>
      </c>
      <c r="BS134" s="3">
        <v>44817</v>
      </c>
      <c r="BT134" s="4">
        <v>0.3520833333333333</v>
      </c>
      <c r="BU134" t="s">
        <v>389</v>
      </c>
      <c r="BV134" t="s">
        <v>109</v>
      </c>
      <c r="BY134">
        <v>16234.77</v>
      </c>
      <c r="BZ134" t="s">
        <v>110</v>
      </c>
      <c r="CA134" t="s">
        <v>247</v>
      </c>
      <c r="CC134" t="s">
        <v>148</v>
      </c>
      <c r="CD134">
        <v>8000</v>
      </c>
      <c r="CE134" t="s">
        <v>85</v>
      </c>
      <c r="CI134">
        <v>1</v>
      </c>
      <c r="CJ134">
        <v>2</v>
      </c>
      <c r="CK134">
        <v>21</v>
      </c>
    </row>
    <row r="135" spans="1:89" x14ac:dyDescent="0.3">
      <c r="A135" t="s">
        <v>72</v>
      </c>
      <c r="B135" t="s">
        <v>73</v>
      </c>
      <c r="C135" t="s">
        <v>74</v>
      </c>
      <c r="E135" t="str">
        <f>"009941310028"</f>
        <v>009941310028</v>
      </c>
      <c r="F135" s="3">
        <v>44813</v>
      </c>
      <c r="G135">
        <v>202306</v>
      </c>
      <c r="H135" t="s">
        <v>96</v>
      </c>
      <c r="I135" t="s">
        <v>97</v>
      </c>
      <c r="J135" t="s">
        <v>80</v>
      </c>
      <c r="L135" t="s">
        <v>88</v>
      </c>
      <c r="M135" t="s">
        <v>89</v>
      </c>
      <c r="N135" t="s">
        <v>80</v>
      </c>
      <c r="O135" t="s">
        <v>105</v>
      </c>
      <c r="P135" t="str">
        <f>"NA"</f>
        <v>NA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158.6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2.2000000000000002</v>
      </c>
      <c r="BJ135">
        <v>6.3</v>
      </c>
      <c r="BK135">
        <v>6.5</v>
      </c>
      <c r="BL135">
        <v>414.41</v>
      </c>
      <c r="BM135">
        <v>62.16</v>
      </c>
      <c r="BN135">
        <v>476.57</v>
      </c>
      <c r="BO135">
        <v>476.57</v>
      </c>
      <c r="BQ135" t="s">
        <v>117</v>
      </c>
      <c r="BR135" t="s">
        <v>115</v>
      </c>
      <c r="BS135" s="3">
        <v>44816</v>
      </c>
      <c r="BT135" s="4">
        <v>0.40208333333333335</v>
      </c>
      <c r="BU135" t="s">
        <v>92</v>
      </c>
      <c r="BV135" t="s">
        <v>83</v>
      </c>
      <c r="BY135">
        <v>31694.6</v>
      </c>
      <c r="BZ135" t="s">
        <v>110</v>
      </c>
      <c r="CA135" t="s">
        <v>255</v>
      </c>
      <c r="CC135" t="s">
        <v>89</v>
      </c>
      <c r="CD135">
        <v>300</v>
      </c>
      <c r="CE135" t="s">
        <v>85</v>
      </c>
      <c r="CI135">
        <v>1</v>
      </c>
      <c r="CJ135">
        <v>1</v>
      </c>
      <c r="CK135">
        <v>23</v>
      </c>
    </row>
    <row r="136" spans="1:89" x14ac:dyDescent="0.3">
      <c r="A136" t="s">
        <v>72</v>
      </c>
      <c r="B136" t="s">
        <v>73</v>
      </c>
      <c r="C136" t="s">
        <v>74</v>
      </c>
      <c r="E136" t="str">
        <f>"009941915214"</f>
        <v>009941915214</v>
      </c>
      <c r="F136" s="3">
        <v>44813</v>
      </c>
      <c r="G136">
        <v>202306</v>
      </c>
      <c r="H136" t="s">
        <v>96</v>
      </c>
      <c r="I136" t="s">
        <v>97</v>
      </c>
      <c r="J136" t="s">
        <v>80</v>
      </c>
      <c r="L136" t="s">
        <v>147</v>
      </c>
      <c r="M136" t="s">
        <v>148</v>
      </c>
      <c r="N136" t="s">
        <v>262</v>
      </c>
      <c r="O136" t="s">
        <v>105</v>
      </c>
      <c r="P136" t="str">
        <f>"LOCKS"</f>
        <v>LOCKS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33.74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1.4</v>
      </c>
      <c r="BJ136">
        <v>2.2999999999999998</v>
      </c>
      <c r="BK136">
        <v>2.5</v>
      </c>
      <c r="BL136">
        <v>88.16</v>
      </c>
      <c r="BM136">
        <v>13.22</v>
      </c>
      <c r="BN136">
        <v>101.38</v>
      </c>
      <c r="BO136">
        <v>101.38</v>
      </c>
      <c r="BQ136" t="s">
        <v>115</v>
      </c>
      <c r="BR136" t="s">
        <v>124</v>
      </c>
      <c r="BS136" s="3">
        <v>44817</v>
      </c>
      <c r="BT136" s="4">
        <v>0.3520833333333333</v>
      </c>
      <c r="BU136" t="s">
        <v>389</v>
      </c>
      <c r="BV136" t="s">
        <v>109</v>
      </c>
      <c r="BY136">
        <v>11409.84</v>
      </c>
      <c r="BZ136" t="s">
        <v>110</v>
      </c>
      <c r="CA136" t="s">
        <v>247</v>
      </c>
      <c r="CC136" t="s">
        <v>148</v>
      </c>
      <c r="CD136">
        <v>8000</v>
      </c>
      <c r="CE136" t="s">
        <v>85</v>
      </c>
      <c r="CI136">
        <v>1</v>
      </c>
      <c r="CJ136">
        <v>2</v>
      </c>
      <c r="CK136">
        <v>21</v>
      </c>
    </row>
    <row r="137" spans="1:89" x14ac:dyDescent="0.3">
      <c r="A137" t="s">
        <v>72</v>
      </c>
      <c r="B137" t="s">
        <v>73</v>
      </c>
      <c r="C137" t="s">
        <v>74</v>
      </c>
      <c r="E137" t="str">
        <f>"009942600815"</f>
        <v>009942600815</v>
      </c>
      <c r="F137" s="3">
        <v>44813</v>
      </c>
      <c r="G137">
        <v>202306</v>
      </c>
      <c r="H137" t="s">
        <v>96</v>
      </c>
      <c r="I137" t="s">
        <v>97</v>
      </c>
      <c r="J137" t="s">
        <v>80</v>
      </c>
      <c r="L137" t="s">
        <v>94</v>
      </c>
      <c r="M137" t="s">
        <v>95</v>
      </c>
      <c r="N137" t="s">
        <v>80</v>
      </c>
      <c r="O137" t="s">
        <v>105</v>
      </c>
      <c r="P137" t="str">
        <f>"LOCKS"</f>
        <v>LOCKS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53.98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3.7</v>
      </c>
      <c r="BK137">
        <v>4</v>
      </c>
      <c r="BL137">
        <v>141.04</v>
      </c>
      <c r="BM137">
        <v>21.16</v>
      </c>
      <c r="BN137">
        <v>162.19999999999999</v>
      </c>
      <c r="BO137">
        <v>162.19999999999999</v>
      </c>
      <c r="BQ137" t="s">
        <v>115</v>
      </c>
      <c r="BR137" t="s">
        <v>390</v>
      </c>
      <c r="BS137" s="3">
        <v>44816</v>
      </c>
      <c r="BT137" s="4">
        <v>0.43333333333333335</v>
      </c>
      <c r="BU137" t="s">
        <v>343</v>
      </c>
      <c r="BV137" t="s">
        <v>83</v>
      </c>
      <c r="BY137">
        <v>18736.330000000002</v>
      </c>
      <c r="BZ137" t="s">
        <v>110</v>
      </c>
      <c r="CA137" t="s">
        <v>287</v>
      </c>
      <c r="CC137" t="s">
        <v>95</v>
      </c>
      <c r="CD137">
        <v>699</v>
      </c>
      <c r="CE137" t="s">
        <v>85</v>
      </c>
      <c r="CI137">
        <v>1</v>
      </c>
      <c r="CJ137">
        <v>1</v>
      </c>
      <c r="CK137">
        <v>21</v>
      </c>
    </row>
    <row r="138" spans="1:89" x14ac:dyDescent="0.3">
      <c r="A138" t="s">
        <v>72</v>
      </c>
      <c r="B138" t="s">
        <v>73</v>
      </c>
      <c r="C138" t="s">
        <v>74</v>
      </c>
      <c r="E138" t="str">
        <f>"009942282910"</f>
        <v>009942282910</v>
      </c>
      <c r="F138" s="3">
        <v>44806</v>
      </c>
      <c r="G138">
        <v>202306</v>
      </c>
      <c r="H138" t="s">
        <v>231</v>
      </c>
      <c r="I138" t="s">
        <v>232</v>
      </c>
      <c r="J138" t="s">
        <v>234</v>
      </c>
      <c r="L138" t="s">
        <v>78</v>
      </c>
      <c r="M138" t="s">
        <v>79</v>
      </c>
      <c r="N138" t="s">
        <v>391</v>
      </c>
      <c r="O138" t="s">
        <v>81</v>
      </c>
      <c r="P138" t="str">
        <f>""</f>
        <v/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84.91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3</v>
      </c>
      <c r="BI138">
        <v>15</v>
      </c>
      <c r="BJ138">
        <v>0.7</v>
      </c>
      <c r="BK138">
        <v>15</v>
      </c>
      <c r="BL138">
        <v>208.91</v>
      </c>
      <c r="BM138">
        <v>31.34</v>
      </c>
      <c r="BN138">
        <v>240.25</v>
      </c>
      <c r="BO138">
        <v>240.25</v>
      </c>
      <c r="BS138" s="3">
        <v>44809</v>
      </c>
      <c r="BT138" s="4">
        <v>0.56041666666666667</v>
      </c>
      <c r="BU138" t="s">
        <v>392</v>
      </c>
      <c r="BV138" t="s">
        <v>83</v>
      </c>
      <c r="BY138">
        <v>1200</v>
      </c>
      <c r="BZ138" t="s">
        <v>84</v>
      </c>
      <c r="CA138" t="s">
        <v>170</v>
      </c>
      <c r="CC138" t="s">
        <v>79</v>
      </c>
      <c r="CD138">
        <v>2196</v>
      </c>
      <c r="CE138" t="s">
        <v>85</v>
      </c>
      <c r="CI138">
        <v>3</v>
      </c>
      <c r="CJ138">
        <v>1</v>
      </c>
      <c r="CK138">
        <v>43</v>
      </c>
    </row>
    <row r="139" spans="1:89" x14ac:dyDescent="0.3">
      <c r="A139" t="s">
        <v>72</v>
      </c>
      <c r="B139" t="s">
        <v>73</v>
      </c>
      <c r="C139" t="s">
        <v>74</v>
      </c>
      <c r="E139" t="str">
        <f>"009941857130"</f>
        <v>009941857130</v>
      </c>
      <c r="F139" s="3">
        <v>44811</v>
      </c>
      <c r="G139">
        <v>202306</v>
      </c>
      <c r="H139" t="s">
        <v>75</v>
      </c>
      <c r="I139" t="s">
        <v>76</v>
      </c>
      <c r="J139" t="s">
        <v>393</v>
      </c>
      <c r="L139" t="s">
        <v>78</v>
      </c>
      <c r="M139" t="s">
        <v>79</v>
      </c>
      <c r="N139" t="s">
        <v>80</v>
      </c>
      <c r="O139" t="s">
        <v>105</v>
      </c>
      <c r="P139" t="str">
        <f>""</f>
        <v/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26.99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70.53</v>
      </c>
      <c r="BM139">
        <v>10.58</v>
      </c>
      <c r="BN139">
        <v>81.11</v>
      </c>
      <c r="BO139">
        <v>81.11</v>
      </c>
      <c r="BQ139" t="s">
        <v>394</v>
      </c>
      <c r="BR139" t="s">
        <v>191</v>
      </c>
      <c r="BS139" s="3">
        <v>44812</v>
      </c>
      <c r="BT139" s="4">
        <v>0.43333333333333335</v>
      </c>
      <c r="BU139" t="s">
        <v>395</v>
      </c>
      <c r="BV139" t="s">
        <v>83</v>
      </c>
      <c r="BY139">
        <v>1200</v>
      </c>
      <c r="BZ139" t="s">
        <v>110</v>
      </c>
      <c r="CA139" t="s">
        <v>211</v>
      </c>
      <c r="CC139" t="s">
        <v>79</v>
      </c>
      <c r="CD139">
        <v>2196</v>
      </c>
      <c r="CE139" t="s">
        <v>85</v>
      </c>
      <c r="CI139">
        <v>1</v>
      </c>
      <c r="CJ139">
        <v>1</v>
      </c>
      <c r="CK139">
        <v>21</v>
      </c>
    </row>
    <row r="140" spans="1:89" x14ac:dyDescent="0.3">
      <c r="A140" t="s">
        <v>72</v>
      </c>
      <c r="B140" t="s">
        <v>73</v>
      </c>
      <c r="C140" t="s">
        <v>74</v>
      </c>
      <c r="E140" t="str">
        <f>"009942167149"</f>
        <v>009942167149</v>
      </c>
      <c r="F140" s="3">
        <v>44813</v>
      </c>
      <c r="G140">
        <v>202306</v>
      </c>
      <c r="H140" t="s">
        <v>147</v>
      </c>
      <c r="I140" t="s">
        <v>148</v>
      </c>
      <c r="J140" t="s">
        <v>80</v>
      </c>
      <c r="L140" t="s">
        <v>212</v>
      </c>
      <c r="M140" t="s">
        <v>213</v>
      </c>
      <c r="N140" t="s">
        <v>396</v>
      </c>
      <c r="O140" t="s">
        <v>105</v>
      </c>
      <c r="P140" t="str">
        <f>""</f>
        <v/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26.99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0.1</v>
      </c>
      <c r="BJ140">
        <v>0.8</v>
      </c>
      <c r="BK140">
        <v>1</v>
      </c>
      <c r="BL140">
        <v>70.53</v>
      </c>
      <c r="BM140">
        <v>10.58</v>
      </c>
      <c r="BN140">
        <v>81.11</v>
      </c>
      <c r="BO140">
        <v>81.11</v>
      </c>
      <c r="BQ140" t="s">
        <v>397</v>
      </c>
      <c r="BR140" t="s">
        <v>193</v>
      </c>
      <c r="BS140" s="3">
        <v>44816</v>
      </c>
      <c r="BT140" s="4">
        <v>0.4145833333333333</v>
      </c>
      <c r="BU140" t="s">
        <v>386</v>
      </c>
      <c r="BV140" t="s">
        <v>83</v>
      </c>
      <c r="BY140">
        <v>4195.62</v>
      </c>
      <c r="BZ140" t="s">
        <v>110</v>
      </c>
      <c r="CA140" t="s">
        <v>217</v>
      </c>
      <c r="CC140" t="s">
        <v>213</v>
      </c>
      <c r="CD140">
        <v>2169</v>
      </c>
      <c r="CE140" t="s">
        <v>85</v>
      </c>
      <c r="CI140">
        <v>0</v>
      </c>
      <c r="CJ140">
        <v>0</v>
      </c>
      <c r="CK140">
        <v>21</v>
      </c>
    </row>
    <row r="141" spans="1:89" x14ac:dyDescent="0.3">
      <c r="A141" t="s">
        <v>72</v>
      </c>
      <c r="B141" t="s">
        <v>73</v>
      </c>
      <c r="C141" t="s">
        <v>74</v>
      </c>
      <c r="E141" t="str">
        <f>"009941618593"</f>
        <v>009941618593</v>
      </c>
      <c r="F141" s="3">
        <v>44816</v>
      </c>
      <c r="G141">
        <v>202306</v>
      </c>
      <c r="H141" t="s">
        <v>96</v>
      </c>
      <c r="I141" t="s">
        <v>97</v>
      </c>
      <c r="J141" t="s">
        <v>80</v>
      </c>
      <c r="L141" t="s">
        <v>88</v>
      </c>
      <c r="M141" t="s">
        <v>89</v>
      </c>
      <c r="N141" t="s">
        <v>398</v>
      </c>
      <c r="O141" t="s">
        <v>105</v>
      </c>
      <c r="P141" t="str">
        <f>"LOCKS"</f>
        <v>LOCKS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87.74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1.1000000000000001</v>
      </c>
      <c r="BJ141">
        <v>3.4</v>
      </c>
      <c r="BK141">
        <v>3.5</v>
      </c>
      <c r="BL141">
        <v>229.25</v>
      </c>
      <c r="BM141">
        <v>34.39</v>
      </c>
      <c r="BN141">
        <v>263.64</v>
      </c>
      <c r="BO141">
        <v>263.64</v>
      </c>
      <c r="BQ141" t="s">
        <v>117</v>
      </c>
      <c r="BR141" t="s">
        <v>399</v>
      </c>
      <c r="BS141" s="3">
        <v>44817</v>
      </c>
      <c r="BT141" s="4">
        <v>0.40625</v>
      </c>
      <c r="BU141" t="s">
        <v>356</v>
      </c>
      <c r="BV141" t="s">
        <v>83</v>
      </c>
      <c r="BY141">
        <v>17017.009999999998</v>
      </c>
      <c r="BZ141" t="s">
        <v>110</v>
      </c>
      <c r="CA141" t="s">
        <v>255</v>
      </c>
      <c r="CC141" t="s">
        <v>89</v>
      </c>
      <c r="CD141">
        <v>300</v>
      </c>
      <c r="CE141" t="s">
        <v>85</v>
      </c>
      <c r="CI141">
        <v>1</v>
      </c>
      <c r="CJ141">
        <v>1</v>
      </c>
      <c r="CK141">
        <v>23</v>
      </c>
    </row>
    <row r="142" spans="1:89" x14ac:dyDescent="0.3">
      <c r="A142" t="s">
        <v>72</v>
      </c>
      <c r="B142" t="s">
        <v>73</v>
      </c>
      <c r="C142" t="s">
        <v>74</v>
      </c>
      <c r="E142" t="str">
        <f>"009941567836"</f>
        <v>009941567836</v>
      </c>
      <c r="F142" s="3">
        <v>44816</v>
      </c>
      <c r="G142">
        <v>202306</v>
      </c>
      <c r="H142" t="s">
        <v>96</v>
      </c>
      <c r="I142" t="s">
        <v>97</v>
      </c>
      <c r="J142" t="s">
        <v>80</v>
      </c>
      <c r="L142" t="s">
        <v>178</v>
      </c>
      <c r="M142" t="s">
        <v>179</v>
      </c>
      <c r="N142" t="s">
        <v>253</v>
      </c>
      <c r="O142" t="s">
        <v>105</v>
      </c>
      <c r="P142" t="str">
        <f>"LOCKS"</f>
        <v>LOCKS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26.99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0.9</v>
      </c>
      <c r="BK142">
        <v>1</v>
      </c>
      <c r="BL142">
        <v>70.53</v>
      </c>
      <c r="BM142">
        <v>10.58</v>
      </c>
      <c r="BN142">
        <v>81.11</v>
      </c>
      <c r="BO142">
        <v>81.11</v>
      </c>
      <c r="BQ142" t="s">
        <v>400</v>
      </c>
      <c r="BR142" t="s">
        <v>401</v>
      </c>
      <c r="BS142" s="3">
        <v>44818</v>
      </c>
      <c r="BT142" s="4">
        <v>0.58402777777777781</v>
      </c>
      <c r="BU142" t="s">
        <v>181</v>
      </c>
      <c r="BV142" t="s">
        <v>109</v>
      </c>
      <c r="BY142">
        <v>4741.25</v>
      </c>
      <c r="BZ142" t="s">
        <v>110</v>
      </c>
      <c r="CA142" t="s">
        <v>182</v>
      </c>
      <c r="CC142" t="s">
        <v>179</v>
      </c>
      <c r="CD142">
        <v>1200</v>
      </c>
      <c r="CE142" t="s">
        <v>85</v>
      </c>
      <c r="CI142">
        <v>1</v>
      </c>
      <c r="CJ142">
        <v>2</v>
      </c>
      <c r="CK142">
        <v>21</v>
      </c>
    </row>
    <row r="143" spans="1:89" x14ac:dyDescent="0.3">
      <c r="A143" t="s">
        <v>72</v>
      </c>
      <c r="B143" t="s">
        <v>73</v>
      </c>
      <c r="C143" t="s">
        <v>74</v>
      </c>
      <c r="E143" t="str">
        <f>"009942600888"</f>
        <v>009942600888</v>
      </c>
      <c r="F143" s="3">
        <v>44816</v>
      </c>
      <c r="G143">
        <v>202306</v>
      </c>
      <c r="H143" t="s">
        <v>96</v>
      </c>
      <c r="I143" t="s">
        <v>97</v>
      </c>
      <c r="J143" t="s">
        <v>80</v>
      </c>
      <c r="L143" t="s">
        <v>125</v>
      </c>
      <c r="M143" t="s">
        <v>126</v>
      </c>
      <c r="N143" t="s">
        <v>80</v>
      </c>
      <c r="O143" t="s">
        <v>105</v>
      </c>
      <c r="P143" t="str">
        <f>"LOCKS"</f>
        <v>LOCKS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40.49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0.7</v>
      </c>
      <c r="BJ143">
        <v>3</v>
      </c>
      <c r="BK143">
        <v>3</v>
      </c>
      <c r="BL143">
        <v>105.79</v>
      </c>
      <c r="BM143">
        <v>15.87</v>
      </c>
      <c r="BN143">
        <v>121.66</v>
      </c>
      <c r="BO143">
        <v>121.66</v>
      </c>
      <c r="BQ143" t="s">
        <v>290</v>
      </c>
      <c r="BR143" t="s">
        <v>107</v>
      </c>
      <c r="BS143" s="3">
        <v>44818</v>
      </c>
      <c r="BT143" s="4">
        <v>0.41666666666666669</v>
      </c>
      <c r="BU143" t="s">
        <v>292</v>
      </c>
      <c r="BV143" t="s">
        <v>109</v>
      </c>
      <c r="BY143">
        <v>14860.5</v>
      </c>
      <c r="BZ143" t="s">
        <v>110</v>
      </c>
      <c r="CC143" t="s">
        <v>126</v>
      </c>
      <c r="CD143">
        <v>3200</v>
      </c>
      <c r="CE143" t="s">
        <v>85</v>
      </c>
      <c r="CI143">
        <v>1</v>
      </c>
      <c r="CJ143">
        <v>2</v>
      </c>
      <c r="CK143">
        <v>21</v>
      </c>
    </row>
    <row r="144" spans="1:89" x14ac:dyDescent="0.3">
      <c r="A144" t="s">
        <v>72</v>
      </c>
      <c r="B144" t="s">
        <v>73</v>
      </c>
      <c r="C144" t="s">
        <v>74</v>
      </c>
      <c r="E144" t="str">
        <f>"009941119680"</f>
        <v>009941119680</v>
      </c>
      <c r="F144" s="3">
        <v>44816</v>
      </c>
      <c r="G144">
        <v>202306</v>
      </c>
      <c r="H144" t="s">
        <v>125</v>
      </c>
      <c r="I144" t="s">
        <v>126</v>
      </c>
      <c r="J144" t="s">
        <v>262</v>
      </c>
      <c r="L144" t="s">
        <v>78</v>
      </c>
      <c r="M144" t="s">
        <v>79</v>
      </c>
      <c r="N144" t="s">
        <v>262</v>
      </c>
      <c r="O144" t="s">
        <v>81</v>
      </c>
      <c r="P144" t="str">
        <f>""</f>
        <v/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52.2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141.65</v>
      </c>
      <c r="BM144">
        <v>21.25</v>
      </c>
      <c r="BN144">
        <v>162.9</v>
      </c>
      <c r="BO144">
        <v>162.9</v>
      </c>
      <c r="BQ144" t="s">
        <v>379</v>
      </c>
      <c r="BR144" t="s">
        <v>360</v>
      </c>
      <c r="BS144" s="3">
        <v>44817</v>
      </c>
      <c r="BT144" s="4">
        <v>0.44791666666666669</v>
      </c>
      <c r="BU144" t="s">
        <v>382</v>
      </c>
      <c r="BV144" t="s">
        <v>83</v>
      </c>
      <c r="BY144">
        <v>1200</v>
      </c>
      <c r="BZ144" t="s">
        <v>84</v>
      </c>
      <c r="CA144" t="s">
        <v>170</v>
      </c>
      <c r="CC144" t="s">
        <v>79</v>
      </c>
      <c r="CD144">
        <v>2196</v>
      </c>
      <c r="CE144" t="s">
        <v>85</v>
      </c>
      <c r="CI144">
        <v>3</v>
      </c>
      <c r="CJ144">
        <v>1</v>
      </c>
      <c r="CK144">
        <v>41</v>
      </c>
    </row>
    <row r="145" spans="1:89" x14ac:dyDescent="0.3">
      <c r="A145" t="s">
        <v>72</v>
      </c>
      <c r="B145" t="s">
        <v>73</v>
      </c>
      <c r="C145" t="s">
        <v>74</v>
      </c>
      <c r="E145" t="str">
        <f>"009942133678"</f>
        <v>009942133678</v>
      </c>
      <c r="F145" s="3">
        <v>44816</v>
      </c>
      <c r="G145">
        <v>202306</v>
      </c>
      <c r="H145" t="s">
        <v>96</v>
      </c>
      <c r="I145" t="s">
        <v>97</v>
      </c>
      <c r="J145" t="s">
        <v>80</v>
      </c>
      <c r="L145" t="s">
        <v>328</v>
      </c>
      <c r="M145" t="s">
        <v>329</v>
      </c>
      <c r="N145" t="s">
        <v>80</v>
      </c>
      <c r="O145" t="s">
        <v>81</v>
      </c>
      <c r="P145" t="str">
        <f>"LOCKS"</f>
        <v>LOCKS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118.79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26.5</v>
      </c>
      <c r="BJ145">
        <v>20.7</v>
      </c>
      <c r="BK145">
        <v>27</v>
      </c>
      <c r="BL145">
        <v>330.63</v>
      </c>
      <c r="BM145">
        <v>49.59</v>
      </c>
      <c r="BN145">
        <v>380.22</v>
      </c>
      <c r="BO145">
        <v>380.22</v>
      </c>
      <c r="BQ145" t="s">
        <v>233</v>
      </c>
      <c r="BR145" t="s">
        <v>107</v>
      </c>
      <c r="BS145" s="3">
        <v>44817</v>
      </c>
      <c r="BT145" s="4">
        <v>0.41666666666666669</v>
      </c>
      <c r="BU145" t="s">
        <v>402</v>
      </c>
      <c r="BV145" t="s">
        <v>83</v>
      </c>
      <c r="BY145">
        <v>103629.9</v>
      </c>
      <c r="BZ145" t="s">
        <v>296</v>
      </c>
      <c r="CC145" t="s">
        <v>329</v>
      </c>
      <c r="CD145">
        <v>8460</v>
      </c>
      <c r="CE145" t="s">
        <v>85</v>
      </c>
      <c r="CI145">
        <v>4</v>
      </c>
      <c r="CJ145">
        <v>1</v>
      </c>
      <c r="CK145">
        <v>43</v>
      </c>
    </row>
    <row r="146" spans="1:89" x14ac:dyDescent="0.3">
      <c r="A146" t="s">
        <v>72</v>
      </c>
      <c r="B146" t="s">
        <v>73</v>
      </c>
      <c r="C146" t="s">
        <v>74</v>
      </c>
      <c r="E146" t="str">
        <f>"009942600816"</f>
        <v>009942600816</v>
      </c>
      <c r="F146" s="3">
        <v>44816</v>
      </c>
      <c r="G146">
        <v>202306</v>
      </c>
      <c r="H146" t="s">
        <v>96</v>
      </c>
      <c r="I146" t="s">
        <v>97</v>
      </c>
      <c r="J146" t="s">
        <v>80</v>
      </c>
      <c r="L146" t="s">
        <v>94</v>
      </c>
      <c r="M146" t="s">
        <v>95</v>
      </c>
      <c r="N146" t="s">
        <v>80</v>
      </c>
      <c r="O146" t="s">
        <v>81</v>
      </c>
      <c r="P146" t="str">
        <f>"LOCKS"</f>
        <v>LOCKS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127.5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3</v>
      </c>
      <c r="BI146">
        <v>49.7</v>
      </c>
      <c r="BJ146">
        <v>43.6</v>
      </c>
      <c r="BK146">
        <v>50</v>
      </c>
      <c r="BL146">
        <v>338.4</v>
      </c>
      <c r="BM146">
        <v>50.76</v>
      </c>
      <c r="BN146">
        <v>389.16</v>
      </c>
      <c r="BO146">
        <v>389.16</v>
      </c>
      <c r="BQ146" t="s">
        <v>115</v>
      </c>
      <c r="BR146" t="s">
        <v>149</v>
      </c>
      <c r="BS146" s="3">
        <v>44817</v>
      </c>
      <c r="BT146" s="4">
        <v>0.3972222222222222</v>
      </c>
      <c r="BU146" t="s">
        <v>343</v>
      </c>
      <c r="BV146" t="s">
        <v>83</v>
      </c>
      <c r="BY146">
        <v>218075.42</v>
      </c>
      <c r="BZ146" t="s">
        <v>84</v>
      </c>
      <c r="CA146" t="s">
        <v>287</v>
      </c>
      <c r="CC146" t="s">
        <v>95</v>
      </c>
      <c r="CD146">
        <v>699</v>
      </c>
      <c r="CE146" t="s">
        <v>85</v>
      </c>
      <c r="CI146">
        <v>3</v>
      </c>
      <c r="CJ146">
        <v>1</v>
      </c>
      <c r="CK146">
        <v>41</v>
      </c>
    </row>
    <row r="147" spans="1:89" x14ac:dyDescent="0.3">
      <c r="A147" t="s">
        <v>72</v>
      </c>
      <c r="B147" t="s">
        <v>73</v>
      </c>
      <c r="C147" t="s">
        <v>74</v>
      </c>
      <c r="E147" t="str">
        <f>"009941310253"</f>
        <v>009941310253</v>
      </c>
      <c r="F147" s="3">
        <v>44816</v>
      </c>
      <c r="G147">
        <v>202306</v>
      </c>
      <c r="H147" t="s">
        <v>96</v>
      </c>
      <c r="I147" t="s">
        <v>97</v>
      </c>
      <c r="J147" t="s">
        <v>80</v>
      </c>
      <c r="L147" t="s">
        <v>119</v>
      </c>
      <c r="M147" t="s">
        <v>120</v>
      </c>
      <c r="N147" t="s">
        <v>80</v>
      </c>
      <c r="O147" t="s">
        <v>105</v>
      </c>
      <c r="P147" t="str">
        <f>"LOCKS"</f>
        <v>LOCKS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47.23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0.7</v>
      </c>
      <c r="BJ147">
        <v>3.4</v>
      </c>
      <c r="BK147">
        <v>3.5</v>
      </c>
      <c r="BL147">
        <v>123.41</v>
      </c>
      <c r="BM147">
        <v>18.510000000000002</v>
      </c>
      <c r="BN147">
        <v>141.91999999999999</v>
      </c>
      <c r="BO147">
        <v>141.91999999999999</v>
      </c>
      <c r="BQ147" t="s">
        <v>196</v>
      </c>
      <c r="BR147" t="s">
        <v>403</v>
      </c>
      <c r="BS147" s="3">
        <v>44817</v>
      </c>
      <c r="BT147" s="4">
        <v>0.3833333333333333</v>
      </c>
      <c r="BU147" t="s">
        <v>122</v>
      </c>
      <c r="BV147" t="s">
        <v>83</v>
      </c>
      <c r="BY147">
        <v>17016.8</v>
      </c>
      <c r="BZ147" t="s">
        <v>110</v>
      </c>
      <c r="CA147" t="s">
        <v>123</v>
      </c>
      <c r="CC147" t="s">
        <v>120</v>
      </c>
      <c r="CD147">
        <v>4091</v>
      </c>
      <c r="CE147" t="s">
        <v>85</v>
      </c>
      <c r="CI147">
        <v>1</v>
      </c>
      <c r="CJ147">
        <v>1</v>
      </c>
      <c r="CK147">
        <v>21</v>
      </c>
    </row>
    <row r="148" spans="1:89" x14ac:dyDescent="0.3">
      <c r="A148" t="s">
        <v>72</v>
      </c>
      <c r="B148" t="s">
        <v>73</v>
      </c>
      <c r="C148" t="s">
        <v>74</v>
      </c>
      <c r="E148" t="str">
        <f>"009941332866"</f>
        <v>009941332866</v>
      </c>
      <c r="F148" s="3">
        <v>44816</v>
      </c>
      <c r="G148">
        <v>202306</v>
      </c>
      <c r="H148" t="s">
        <v>96</v>
      </c>
      <c r="I148" t="s">
        <v>97</v>
      </c>
      <c r="J148" t="s">
        <v>80</v>
      </c>
      <c r="L148" t="s">
        <v>119</v>
      </c>
      <c r="M148" t="s">
        <v>120</v>
      </c>
      <c r="N148" t="s">
        <v>80</v>
      </c>
      <c r="O148" t="s">
        <v>105</v>
      </c>
      <c r="P148" t="str">
        <f>"LOCKS"</f>
        <v>LOCKS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60.72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3.6</v>
      </c>
      <c r="BJ148">
        <v>4.3</v>
      </c>
      <c r="BK148">
        <v>4.5</v>
      </c>
      <c r="BL148">
        <v>158.66</v>
      </c>
      <c r="BM148">
        <v>23.8</v>
      </c>
      <c r="BN148">
        <v>182.46</v>
      </c>
      <c r="BO148">
        <v>182.46</v>
      </c>
      <c r="BQ148" t="s">
        <v>196</v>
      </c>
      <c r="BR148" t="s">
        <v>115</v>
      </c>
      <c r="BS148" s="3">
        <v>44817</v>
      </c>
      <c r="BT148" s="4">
        <v>0.3833333333333333</v>
      </c>
      <c r="BU148" t="s">
        <v>122</v>
      </c>
      <c r="BV148" t="s">
        <v>83</v>
      </c>
      <c r="BY148">
        <v>21705.55</v>
      </c>
      <c r="BZ148" t="s">
        <v>110</v>
      </c>
      <c r="CA148" t="s">
        <v>123</v>
      </c>
      <c r="CC148" t="s">
        <v>120</v>
      </c>
      <c r="CD148">
        <v>4091</v>
      </c>
      <c r="CE148" t="s">
        <v>85</v>
      </c>
      <c r="CI148">
        <v>1</v>
      </c>
      <c r="CJ148">
        <v>1</v>
      </c>
      <c r="CK148">
        <v>21</v>
      </c>
    </row>
    <row r="149" spans="1:89" x14ac:dyDescent="0.3">
      <c r="A149" t="s">
        <v>72</v>
      </c>
      <c r="B149" t="s">
        <v>73</v>
      </c>
      <c r="C149" t="s">
        <v>74</v>
      </c>
      <c r="E149" t="str">
        <f>"009940746456"</f>
        <v>009940746456</v>
      </c>
      <c r="F149" s="3">
        <v>44816</v>
      </c>
      <c r="G149">
        <v>202306</v>
      </c>
      <c r="H149" t="s">
        <v>147</v>
      </c>
      <c r="I149" t="s">
        <v>148</v>
      </c>
      <c r="J149" t="s">
        <v>80</v>
      </c>
      <c r="L149" t="s">
        <v>96</v>
      </c>
      <c r="M149" t="s">
        <v>97</v>
      </c>
      <c r="N149" t="s">
        <v>80</v>
      </c>
      <c r="O149" t="s">
        <v>81</v>
      </c>
      <c r="P149" t="str">
        <f>""</f>
        <v/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220.01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72.099999999999994</v>
      </c>
      <c r="BJ149">
        <v>92.8</v>
      </c>
      <c r="BK149">
        <v>93</v>
      </c>
      <c r="BL149">
        <v>580.12</v>
      </c>
      <c r="BM149">
        <v>87.02</v>
      </c>
      <c r="BN149">
        <v>667.14</v>
      </c>
      <c r="BO149">
        <v>667.14</v>
      </c>
      <c r="BQ149" t="s">
        <v>355</v>
      </c>
      <c r="BR149" t="s">
        <v>193</v>
      </c>
      <c r="BS149" s="3">
        <v>44818</v>
      </c>
      <c r="BT149" s="4">
        <v>0.41736111111111113</v>
      </c>
      <c r="BU149" t="s">
        <v>169</v>
      </c>
      <c r="BV149" t="s">
        <v>83</v>
      </c>
      <c r="BY149">
        <v>463958.5</v>
      </c>
      <c r="BZ149" t="s">
        <v>84</v>
      </c>
      <c r="CA149" t="s">
        <v>170</v>
      </c>
      <c r="CC149" t="s">
        <v>97</v>
      </c>
      <c r="CD149">
        <v>2146</v>
      </c>
      <c r="CE149" t="s">
        <v>85</v>
      </c>
      <c r="CI149">
        <v>3</v>
      </c>
      <c r="CJ149">
        <v>2</v>
      </c>
      <c r="CK149">
        <v>41</v>
      </c>
    </row>
    <row r="150" spans="1:89" x14ac:dyDescent="0.3">
      <c r="A150" t="s">
        <v>72</v>
      </c>
      <c r="B150" t="s">
        <v>73</v>
      </c>
      <c r="C150" t="s">
        <v>74</v>
      </c>
      <c r="E150" t="str">
        <f>"009942333474"</f>
        <v>009942333474</v>
      </c>
      <c r="F150" s="3">
        <v>44817</v>
      </c>
      <c r="G150">
        <v>202306</v>
      </c>
      <c r="H150" t="s">
        <v>303</v>
      </c>
      <c r="I150" t="s">
        <v>304</v>
      </c>
      <c r="J150" t="s">
        <v>262</v>
      </c>
      <c r="L150" t="s">
        <v>78</v>
      </c>
      <c r="M150" t="s">
        <v>79</v>
      </c>
      <c r="N150" t="s">
        <v>80</v>
      </c>
      <c r="O150" t="s">
        <v>81</v>
      </c>
      <c r="P150" t="str">
        <f>""</f>
        <v/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131.81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35</v>
      </c>
      <c r="BJ150">
        <v>51.8</v>
      </c>
      <c r="BK150">
        <v>52</v>
      </c>
      <c r="BL150">
        <v>349.65</v>
      </c>
      <c r="BM150">
        <v>52.45</v>
      </c>
      <c r="BN150">
        <v>402.1</v>
      </c>
      <c r="BO150">
        <v>402.1</v>
      </c>
      <c r="BQ150" t="s">
        <v>167</v>
      </c>
      <c r="BR150" t="s">
        <v>305</v>
      </c>
      <c r="BS150" s="3">
        <v>44818</v>
      </c>
      <c r="BT150" s="4">
        <v>0.41805555555555557</v>
      </c>
      <c r="BU150" t="s">
        <v>169</v>
      </c>
      <c r="BV150" t="s">
        <v>83</v>
      </c>
      <c r="BY150">
        <v>259200</v>
      </c>
      <c r="BZ150" t="s">
        <v>84</v>
      </c>
      <c r="CA150" t="s">
        <v>170</v>
      </c>
      <c r="CC150" t="s">
        <v>79</v>
      </c>
      <c r="CD150">
        <v>2090</v>
      </c>
      <c r="CE150" t="s">
        <v>85</v>
      </c>
      <c r="CI150">
        <v>3</v>
      </c>
      <c r="CJ150">
        <v>1</v>
      </c>
      <c r="CK150">
        <v>41</v>
      </c>
    </row>
    <row r="151" spans="1:89" x14ac:dyDescent="0.3">
      <c r="A151" t="s">
        <v>72</v>
      </c>
      <c r="B151" t="s">
        <v>73</v>
      </c>
      <c r="C151" t="s">
        <v>74</v>
      </c>
      <c r="E151" t="str">
        <f>"009940734083"</f>
        <v>009940734083</v>
      </c>
      <c r="F151" s="3">
        <v>44817</v>
      </c>
      <c r="G151">
        <v>202306</v>
      </c>
      <c r="H151" t="s">
        <v>141</v>
      </c>
      <c r="I151" t="s">
        <v>142</v>
      </c>
      <c r="J151" t="s">
        <v>80</v>
      </c>
      <c r="L151" t="s">
        <v>88</v>
      </c>
      <c r="M151" t="s">
        <v>89</v>
      </c>
      <c r="N151" t="s">
        <v>80</v>
      </c>
      <c r="O151" t="s">
        <v>81</v>
      </c>
      <c r="P151" t="str">
        <f>""</f>
        <v/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15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209.11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19.3</v>
      </c>
      <c r="BJ151">
        <v>50.7</v>
      </c>
      <c r="BK151">
        <v>51</v>
      </c>
      <c r="BL151">
        <v>566.63</v>
      </c>
      <c r="BM151">
        <v>84.99</v>
      </c>
      <c r="BN151">
        <v>651.62</v>
      </c>
      <c r="BO151">
        <v>651.62</v>
      </c>
      <c r="BQ151" t="s">
        <v>117</v>
      </c>
      <c r="BR151" t="s">
        <v>281</v>
      </c>
      <c r="BS151" s="3">
        <v>44818</v>
      </c>
      <c r="BT151" s="4">
        <v>0.59027777777777779</v>
      </c>
      <c r="BU151" t="s">
        <v>92</v>
      </c>
      <c r="BV151" t="s">
        <v>83</v>
      </c>
      <c r="BY151">
        <v>253440</v>
      </c>
      <c r="BZ151" t="s">
        <v>175</v>
      </c>
      <c r="CA151" t="s">
        <v>255</v>
      </c>
      <c r="CC151" t="s">
        <v>89</v>
      </c>
      <c r="CD151">
        <v>300</v>
      </c>
      <c r="CE151" t="s">
        <v>177</v>
      </c>
      <c r="CI151">
        <v>4</v>
      </c>
      <c r="CJ151">
        <v>1</v>
      </c>
      <c r="CK151">
        <v>43</v>
      </c>
    </row>
    <row r="152" spans="1:89" x14ac:dyDescent="0.3">
      <c r="A152" t="s">
        <v>72</v>
      </c>
      <c r="B152" t="s">
        <v>73</v>
      </c>
      <c r="C152" t="s">
        <v>74</v>
      </c>
      <c r="E152" t="str">
        <f>"009942598552"</f>
        <v>009942598552</v>
      </c>
      <c r="F152" s="3">
        <v>44817</v>
      </c>
      <c r="G152">
        <v>202306</v>
      </c>
      <c r="H152" t="s">
        <v>158</v>
      </c>
      <c r="I152" t="s">
        <v>159</v>
      </c>
      <c r="J152" t="s">
        <v>80</v>
      </c>
      <c r="L152" t="s">
        <v>78</v>
      </c>
      <c r="M152" t="s">
        <v>79</v>
      </c>
      <c r="N152" t="s">
        <v>80</v>
      </c>
      <c r="O152" t="s">
        <v>105</v>
      </c>
      <c r="P152" t="str">
        <f>""</f>
        <v/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26.99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70.53</v>
      </c>
      <c r="BM152">
        <v>10.58</v>
      </c>
      <c r="BN152">
        <v>81.11</v>
      </c>
      <c r="BO152">
        <v>81.11</v>
      </c>
      <c r="BQ152" t="s">
        <v>124</v>
      </c>
      <c r="BR152" t="s">
        <v>160</v>
      </c>
      <c r="BS152" s="3">
        <v>44818</v>
      </c>
      <c r="BT152" s="4">
        <v>0.4201388888888889</v>
      </c>
      <c r="BU152" t="s">
        <v>169</v>
      </c>
      <c r="BV152" t="s">
        <v>83</v>
      </c>
      <c r="BY152">
        <v>1200</v>
      </c>
      <c r="BZ152" t="s">
        <v>110</v>
      </c>
      <c r="CA152" t="s">
        <v>170</v>
      </c>
      <c r="CC152" t="s">
        <v>79</v>
      </c>
      <c r="CD152">
        <v>2000</v>
      </c>
      <c r="CE152" t="s">
        <v>85</v>
      </c>
      <c r="CI152">
        <v>1</v>
      </c>
      <c r="CJ152">
        <v>1</v>
      </c>
      <c r="CK152">
        <v>21</v>
      </c>
    </row>
    <row r="153" spans="1:89" x14ac:dyDescent="0.3">
      <c r="A153" t="s">
        <v>72</v>
      </c>
      <c r="B153" t="s">
        <v>73</v>
      </c>
      <c r="C153" t="s">
        <v>74</v>
      </c>
      <c r="E153" t="str">
        <f>"009942131992"</f>
        <v>009942131992</v>
      </c>
      <c r="F153" s="3">
        <v>44817</v>
      </c>
      <c r="G153">
        <v>202306</v>
      </c>
      <c r="H153" t="s">
        <v>96</v>
      </c>
      <c r="I153" t="s">
        <v>97</v>
      </c>
      <c r="J153" t="s">
        <v>80</v>
      </c>
      <c r="L153" t="s">
        <v>102</v>
      </c>
      <c r="M153" t="s">
        <v>103</v>
      </c>
      <c r="N153" t="s">
        <v>404</v>
      </c>
      <c r="O153" t="s">
        <v>105</v>
      </c>
      <c r="P153" t="str">
        <f>"LOCKS"</f>
        <v>LOCKS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64.11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0.7</v>
      </c>
      <c r="BJ153">
        <v>2.2000000000000002</v>
      </c>
      <c r="BK153">
        <v>2.5</v>
      </c>
      <c r="BL153">
        <v>167.52</v>
      </c>
      <c r="BM153">
        <v>25.13</v>
      </c>
      <c r="BN153">
        <v>192.65</v>
      </c>
      <c r="BO153">
        <v>192.65</v>
      </c>
      <c r="BQ153" t="s">
        <v>405</v>
      </c>
      <c r="BR153" t="s">
        <v>107</v>
      </c>
      <c r="BS153" s="3">
        <v>44818</v>
      </c>
      <c r="BT153" s="4">
        <v>0.71180555555555547</v>
      </c>
      <c r="BU153" t="s">
        <v>108</v>
      </c>
      <c r="BV153" t="s">
        <v>109</v>
      </c>
      <c r="BY153">
        <v>11202.34</v>
      </c>
      <c r="BZ153" t="s">
        <v>110</v>
      </c>
      <c r="CA153" t="s">
        <v>111</v>
      </c>
      <c r="CC153" t="s">
        <v>103</v>
      </c>
      <c r="CD153">
        <v>920</v>
      </c>
      <c r="CE153" t="s">
        <v>85</v>
      </c>
      <c r="CI153">
        <v>1</v>
      </c>
      <c r="CJ153">
        <v>1</v>
      </c>
      <c r="CK153">
        <v>23</v>
      </c>
    </row>
    <row r="154" spans="1:89" x14ac:dyDescent="0.3">
      <c r="A154" t="s">
        <v>72</v>
      </c>
      <c r="B154" t="s">
        <v>73</v>
      </c>
      <c r="C154" t="s">
        <v>74</v>
      </c>
      <c r="E154" t="str">
        <f>"009942724013"</f>
        <v>009942724013</v>
      </c>
      <c r="F154" s="3">
        <v>44817</v>
      </c>
      <c r="G154">
        <v>202306</v>
      </c>
      <c r="H154" t="s">
        <v>96</v>
      </c>
      <c r="I154" t="s">
        <v>97</v>
      </c>
      <c r="J154" t="s">
        <v>80</v>
      </c>
      <c r="L154" t="s">
        <v>162</v>
      </c>
      <c r="M154" t="s">
        <v>163</v>
      </c>
      <c r="N154" t="s">
        <v>80</v>
      </c>
      <c r="O154" t="s">
        <v>81</v>
      </c>
      <c r="P154" t="str">
        <f>"LOCKS"</f>
        <v>LOCKS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129.65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3</v>
      </c>
      <c r="BI154">
        <v>40.9</v>
      </c>
      <c r="BJ154">
        <v>51</v>
      </c>
      <c r="BK154">
        <v>51</v>
      </c>
      <c r="BL154">
        <v>344.02</v>
      </c>
      <c r="BM154">
        <v>51.6</v>
      </c>
      <c r="BN154">
        <v>395.62</v>
      </c>
      <c r="BO154">
        <v>395.62</v>
      </c>
      <c r="BQ154" t="s">
        <v>406</v>
      </c>
      <c r="BR154" t="s">
        <v>107</v>
      </c>
      <c r="BS154" s="3">
        <v>44818</v>
      </c>
      <c r="BT154" s="4">
        <v>0.38472222222222219</v>
      </c>
      <c r="BU154" t="s">
        <v>165</v>
      </c>
      <c r="BV154" t="s">
        <v>83</v>
      </c>
      <c r="BY154">
        <v>255243.18</v>
      </c>
      <c r="BZ154" t="s">
        <v>84</v>
      </c>
      <c r="CC154" t="s">
        <v>163</v>
      </c>
      <c r="CD154">
        <v>3900</v>
      </c>
      <c r="CE154" t="s">
        <v>85</v>
      </c>
      <c r="CI154">
        <v>3</v>
      </c>
      <c r="CJ154">
        <v>1</v>
      </c>
      <c r="CK154">
        <v>41</v>
      </c>
    </row>
    <row r="155" spans="1:89" x14ac:dyDescent="0.3">
      <c r="A155" t="s">
        <v>72</v>
      </c>
      <c r="B155" t="s">
        <v>73</v>
      </c>
      <c r="C155" t="s">
        <v>74</v>
      </c>
      <c r="E155" t="str">
        <f>"009942493452"</f>
        <v>009942493452</v>
      </c>
      <c r="F155" s="3">
        <v>44817</v>
      </c>
      <c r="G155">
        <v>202306</v>
      </c>
      <c r="H155" t="s">
        <v>136</v>
      </c>
      <c r="I155" t="s">
        <v>137</v>
      </c>
      <c r="J155" t="s">
        <v>150</v>
      </c>
      <c r="L155" t="s">
        <v>178</v>
      </c>
      <c r="M155" t="s">
        <v>179</v>
      </c>
      <c r="N155" t="s">
        <v>407</v>
      </c>
      <c r="O155" t="s">
        <v>81</v>
      </c>
      <c r="P155" t="str">
        <f>"083 601 5869"</f>
        <v>083 601 5869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1221.46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8</v>
      </c>
      <c r="BI155">
        <v>320</v>
      </c>
      <c r="BJ155">
        <v>103.7</v>
      </c>
      <c r="BK155">
        <v>320</v>
      </c>
      <c r="BL155">
        <v>3196.81</v>
      </c>
      <c r="BM155">
        <v>479.52</v>
      </c>
      <c r="BN155">
        <v>3676.33</v>
      </c>
      <c r="BO155">
        <v>3676.33</v>
      </c>
      <c r="BQ155" t="s">
        <v>400</v>
      </c>
      <c r="BR155" t="s">
        <v>138</v>
      </c>
      <c r="BS155" s="3">
        <v>44818</v>
      </c>
      <c r="BT155" s="4">
        <v>0.55902777777777779</v>
      </c>
      <c r="BU155" t="s">
        <v>408</v>
      </c>
      <c r="BV155" t="s">
        <v>83</v>
      </c>
      <c r="BY155">
        <v>64800</v>
      </c>
      <c r="BZ155" t="s">
        <v>84</v>
      </c>
      <c r="CA155" t="s">
        <v>409</v>
      </c>
      <c r="CC155" t="s">
        <v>179</v>
      </c>
      <c r="CD155">
        <v>1200</v>
      </c>
      <c r="CE155" t="s">
        <v>85</v>
      </c>
      <c r="CI155">
        <v>4</v>
      </c>
      <c r="CJ155">
        <v>1</v>
      </c>
      <c r="CK155">
        <v>43</v>
      </c>
    </row>
    <row r="156" spans="1:89" x14ac:dyDescent="0.3">
      <c r="A156" t="s">
        <v>72</v>
      </c>
      <c r="B156" t="s">
        <v>73</v>
      </c>
      <c r="C156" t="s">
        <v>74</v>
      </c>
      <c r="E156" t="str">
        <f>"009941330947"</f>
        <v>009941330947</v>
      </c>
      <c r="F156" s="3">
        <v>44817</v>
      </c>
      <c r="G156">
        <v>202306</v>
      </c>
      <c r="H156" t="s">
        <v>96</v>
      </c>
      <c r="I156" t="s">
        <v>97</v>
      </c>
      <c r="J156" t="s">
        <v>80</v>
      </c>
      <c r="L156" t="s">
        <v>205</v>
      </c>
      <c r="M156" t="s">
        <v>206</v>
      </c>
      <c r="N156" t="s">
        <v>80</v>
      </c>
      <c r="O156" t="s">
        <v>105</v>
      </c>
      <c r="P156" t="str">
        <f t="shared" ref="P156:P162" si="4">"LOCKS"</f>
        <v>LOCKS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52.3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1.8</v>
      </c>
      <c r="BK156">
        <v>2</v>
      </c>
      <c r="BL156">
        <v>136.66</v>
      </c>
      <c r="BM156">
        <v>20.5</v>
      </c>
      <c r="BN156">
        <v>157.16</v>
      </c>
      <c r="BO156">
        <v>157.16</v>
      </c>
      <c r="BQ156" t="s">
        <v>99</v>
      </c>
      <c r="BR156" t="s">
        <v>124</v>
      </c>
      <c r="BS156" s="3">
        <v>44818</v>
      </c>
      <c r="BT156" s="4">
        <v>0.58472222222222225</v>
      </c>
      <c r="BU156" t="s">
        <v>410</v>
      </c>
      <c r="BV156" t="s">
        <v>109</v>
      </c>
      <c r="BY156">
        <v>8750.0400000000009</v>
      </c>
      <c r="BZ156" t="s">
        <v>110</v>
      </c>
      <c r="CA156" t="s">
        <v>314</v>
      </c>
      <c r="CC156" t="s">
        <v>206</v>
      </c>
      <c r="CD156">
        <v>850</v>
      </c>
      <c r="CE156" t="s">
        <v>85</v>
      </c>
      <c r="CI156">
        <v>1</v>
      </c>
      <c r="CJ156">
        <v>1</v>
      </c>
      <c r="CK156">
        <v>23</v>
      </c>
    </row>
    <row r="157" spans="1:89" x14ac:dyDescent="0.3">
      <c r="A157" t="s">
        <v>72</v>
      </c>
      <c r="B157" t="s">
        <v>73</v>
      </c>
      <c r="C157" t="s">
        <v>74</v>
      </c>
      <c r="E157" t="str">
        <f>"009942724011"</f>
        <v>009942724011</v>
      </c>
      <c r="F157" s="3">
        <v>44817</v>
      </c>
      <c r="G157">
        <v>202306</v>
      </c>
      <c r="H157" t="s">
        <v>96</v>
      </c>
      <c r="I157" t="s">
        <v>97</v>
      </c>
      <c r="J157" t="s">
        <v>80</v>
      </c>
      <c r="L157" t="s">
        <v>225</v>
      </c>
      <c r="M157" t="s">
        <v>226</v>
      </c>
      <c r="N157" t="s">
        <v>80</v>
      </c>
      <c r="O157" t="s">
        <v>105</v>
      </c>
      <c r="P157" t="str">
        <f t="shared" si="4"/>
        <v>LOCKS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52.3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0.7</v>
      </c>
      <c r="BK157">
        <v>1</v>
      </c>
      <c r="BL157">
        <v>136.66</v>
      </c>
      <c r="BM157">
        <v>20.5</v>
      </c>
      <c r="BN157">
        <v>157.16</v>
      </c>
      <c r="BO157">
        <v>157.16</v>
      </c>
      <c r="BQ157" t="s">
        <v>227</v>
      </c>
      <c r="BR157" t="s">
        <v>107</v>
      </c>
      <c r="BS157" s="3">
        <v>44818</v>
      </c>
      <c r="BT157" s="4">
        <v>0.73125000000000007</v>
      </c>
      <c r="BU157" t="s">
        <v>228</v>
      </c>
      <c r="BV157" t="s">
        <v>83</v>
      </c>
      <c r="BY157">
        <v>3251.56</v>
      </c>
      <c r="BZ157" t="s">
        <v>110</v>
      </c>
      <c r="CA157" t="s">
        <v>229</v>
      </c>
      <c r="CC157" t="s">
        <v>226</v>
      </c>
      <c r="CD157">
        <v>4240</v>
      </c>
      <c r="CE157" t="s">
        <v>85</v>
      </c>
      <c r="CI157">
        <v>1</v>
      </c>
      <c r="CJ157">
        <v>1</v>
      </c>
      <c r="CK157">
        <v>23</v>
      </c>
    </row>
    <row r="158" spans="1:89" x14ac:dyDescent="0.3">
      <c r="A158" t="s">
        <v>72</v>
      </c>
      <c r="B158" t="s">
        <v>73</v>
      </c>
      <c r="C158" t="s">
        <v>74</v>
      </c>
      <c r="E158" t="str">
        <f>"009942724014"</f>
        <v>009942724014</v>
      </c>
      <c r="F158" s="3">
        <v>44817</v>
      </c>
      <c r="G158">
        <v>202306</v>
      </c>
      <c r="H158" t="s">
        <v>96</v>
      </c>
      <c r="I158" t="s">
        <v>97</v>
      </c>
      <c r="J158" t="s">
        <v>80</v>
      </c>
      <c r="L158" t="s">
        <v>125</v>
      </c>
      <c r="M158" t="s">
        <v>126</v>
      </c>
      <c r="N158" t="s">
        <v>80</v>
      </c>
      <c r="O158" t="s">
        <v>81</v>
      </c>
      <c r="P158" t="str">
        <f t="shared" si="4"/>
        <v>LOCKS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112.44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19</v>
      </c>
      <c r="BJ158">
        <v>42.5</v>
      </c>
      <c r="BK158">
        <v>43</v>
      </c>
      <c r="BL158">
        <v>299.05</v>
      </c>
      <c r="BM158">
        <v>44.86</v>
      </c>
      <c r="BN158">
        <v>343.91</v>
      </c>
      <c r="BO158">
        <v>343.91</v>
      </c>
      <c r="BQ158" t="s">
        <v>411</v>
      </c>
      <c r="BR158" t="s">
        <v>107</v>
      </c>
      <c r="BS158" s="3">
        <v>44823</v>
      </c>
      <c r="BT158" s="4">
        <v>0.45833333333333331</v>
      </c>
      <c r="BU158" t="s">
        <v>292</v>
      </c>
      <c r="BV158" t="s">
        <v>109</v>
      </c>
      <c r="BY158">
        <v>212250.05</v>
      </c>
      <c r="BZ158" t="s">
        <v>84</v>
      </c>
      <c r="CC158" t="s">
        <v>126</v>
      </c>
      <c r="CD158">
        <v>3200</v>
      </c>
      <c r="CE158" t="s">
        <v>85</v>
      </c>
      <c r="CI158">
        <v>4</v>
      </c>
      <c r="CJ158">
        <v>4</v>
      </c>
      <c r="CK158">
        <v>41</v>
      </c>
    </row>
    <row r="159" spans="1:89" x14ac:dyDescent="0.3">
      <c r="A159" t="s">
        <v>72</v>
      </c>
      <c r="B159" t="s">
        <v>73</v>
      </c>
      <c r="C159" t="s">
        <v>74</v>
      </c>
      <c r="E159" t="str">
        <f>"009941332867"</f>
        <v>009941332867</v>
      </c>
      <c r="F159" s="3">
        <v>44817</v>
      </c>
      <c r="G159">
        <v>202306</v>
      </c>
      <c r="H159" t="s">
        <v>96</v>
      </c>
      <c r="I159" t="s">
        <v>97</v>
      </c>
      <c r="J159" t="s">
        <v>80</v>
      </c>
      <c r="L159" t="s">
        <v>119</v>
      </c>
      <c r="M159" t="s">
        <v>120</v>
      </c>
      <c r="N159" t="s">
        <v>80</v>
      </c>
      <c r="O159" t="s">
        <v>81</v>
      </c>
      <c r="P159" t="str">
        <f t="shared" si="4"/>
        <v>LOCKS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116.75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44.8</v>
      </c>
      <c r="BJ159">
        <v>42.6</v>
      </c>
      <c r="BK159">
        <v>45</v>
      </c>
      <c r="BL159">
        <v>310.3</v>
      </c>
      <c r="BM159">
        <v>46.55</v>
      </c>
      <c r="BN159">
        <v>356.85</v>
      </c>
      <c r="BO159">
        <v>356.85</v>
      </c>
      <c r="BQ159" t="s">
        <v>196</v>
      </c>
      <c r="BR159" t="s">
        <v>107</v>
      </c>
      <c r="BS159" s="3">
        <v>44818</v>
      </c>
      <c r="BT159" s="4">
        <v>0.57222222222222219</v>
      </c>
      <c r="BU159" t="s">
        <v>412</v>
      </c>
      <c r="BV159" t="s">
        <v>83</v>
      </c>
      <c r="BY159">
        <v>213012.11</v>
      </c>
      <c r="BZ159" t="s">
        <v>84</v>
      </c>
      <c r="CA159" t="s">
        <v>198</v>
      </c>
      <c r="CC159" t="s">
        <v>120</v>
      </c>
      <c r="CD159">
        <v>4091</v>
      </c>
      <c r="CE159" t="s">
        <v>85</v>
      </c>
      <c r="CI159">
        <v>4</v>
      </c>
      <c r="CJ159">
        <v>1</v>
      </c>
      <c r="CK159">
        <v>41</v>
      </c>
    </row>
    <row r="160" spans="1:89" x14ac:dyDescent="0.3">
      <c r="A160" t="s">
        <v>72</v>
      </c>
      <c r="B160" t="s">
        <v>73</v>
      </c>
      <c r="C160" t="s">
        <v>74</v>
      </c>
      <c r="E160" t="str">
        <f>"009942724015"</f>
        <v>009942724015</v>
      </c>
      <c r="F160" s="3">
        <v>44817</v>
      </c>
      <c r="G160">
        <v>202306</v>
      </c>
      <c r="H160" t="s">
        <v>96</v>
      </c>
      <c r="I160" t="s">
        <v>97</v>
      </c>
      <c r="J160" t="s">
        <v>80</v>
      </c>
      <c r="L160" t="s">
        <v>162</v>
      </c>
      <c r="M160" t="s">
        <v>163</v>
      </c>
      <c r="N160" t="s">
        <v>80</v>
      </c>
      <c r="O160" t="s">
        <v>81</v>
      </c>
      <c r="P160" t="str">
        <f t="shared" si="4"/>
        <v>LOCKS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52.2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3.2</v>
      </c>
      <c r="BJ160">
        <v>6.8</v>
      </c>
      <c r="BK160">
        <v>7</v>
      </c>
      <c r="BL160">
        <v>141.65</v>
      </c>
      <c r="BM160">
        <v>21.25</v>
      </c>
      <c r="BN160">
        <v>162.9</v>
      </c>
      <c r="BO160">
        <v>162.9</v>
      </c>
      <c r="BQ160" t="s">
        <v>294</v>
      </c>
      <c r="BR160" t="s">
        <v>107</v>
      </c>
      <c r="BS160" s="3">
        <v>44824</v>
      </c>
      <c r="BT160" s="4">
        <v>0.40972222222222227</v>
      </c>
      <c r="BU160" t="s">
        <v>165</v>
      </c>
      <c r="BV160" t="s">
        <v>109</v>
      </c>
      <c r="BY160">
        <v>33875.71</v>
      </c>
      <c r="BZ160" t="s">
        <v>84</v>
      </c>
      <c r="CC160" t="s">
        <v>163</v>
      </c>
      <c r="CD160">
        <v>3900</v>
      </c>
      <c r="CE160" t="s">
        <v>85</v>
      </c>
      <c r="CI160">
        <v>3</v>
      </c>
      <c r="CJ160">
        <v>5</v>
      </c>
      <c r="CK160">
        <v>41</v>
      </c>
    </row>
    <row r="161" spans="1:89" x14ac:dyDescent="0.3">
      <c r="A161" t="s">
        <v>72</v>
      </c>
      <c r="B161" t="s">
        <v>73</v>
      </c>
      <c r="C161" t="s">
        <v>74</v>
      </c>
      <c r="E161" t="str">
        <f>"009941209439"</f>
        <v>009941209439</v>
      </c>
      <c r="F161" s="3">
        <v>44817</v>
      </c>
      <c r="G161">
        <v>202306</v>
      </c>
      <c r="H161" t="s">
        <v>96</v>
      </c>
      <c r="I161" t="s">
        <v>97</v>
      </c>
      <c r="J161" t="s">
        <v>80</v>
      </c>
      <c r="L161" t="s">
        <v>75</v>
      </c>
      <c r="M161" t="s">
        <v>76</v>
      </c>
      <c r="N161" t="s">
        <v>413</v>
      </c>
      <c r="O161" t="s">
        <v>81</v>
      </c>
      <c r="P161" t="str">
        <f t="shared" si="4"/>
        <v>LOCKS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52.2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7.6</v>
      </c>
      <c r="BJ161">
        <v>10.9</v>
      </c>
      <c r="BK161">
        <v>11</v>
      </c>
      <c r="BL161">
        <v>141.65</v>
      </c>
      <c r="BM161">
        <v>21.25</v>
      </c>
      <c r="BN161">
        <v>162.9</v>
      </c>
      <c r="BO161">
        <v>162.9</v>
      </c>
      <c r="BQ161" t="s">
        <v>191</v>
      </c>
      <c r="BR161" t="s">
        <v>115</v>
      </c>
      <c r="BS161" s="3">
        <v>44819</v>
      </c>
      <c r="BT161" s="4">
        <v>0.40972222222222227</v>
      </c>
      <c r="BU161" t="s">
        <v>414</v>
      </c>
      <c r="BV161" t="s">
        <v>83</v>
      </c>
      <c r="BY161">
        <v>54324.27</v>
      </c>
      <c r="BZ161" t="s">
        <v>84</v>
      </c>
      <c r="CC161" t="s">
        <v>76</v>
      </c>
      <c r="CD161">
        <v>6536</v>
      </c>
      <c r="CE161" t="s">
        <v>85</v>
      </c>
      <c r="CI161">
        <v>3</v>
      </c>
      <c r="CJ161">
        <v>2</v>
      </c>
      <c r="CK161">
        <v>41</v>
      </c>
    </row>
    <row r="162" spans="1:89" x14ac:dyDescent="0.3">
      <c r="A162" t="s">
        <v>72</v>
      </c>
      <c r="B162" t="s">
        <v>73</v>
      </c>
      <c r="C162" t="s">
        <v>74</v>
      </c>
      <c r="E162" t="str">
        <f>"009942724012"</f>
        <v>009942724012</v>
      </c>
      <c r="F162" s="3">
        <v>44817</v>
      </c>
      <c r="G162">
        <v>202306</v>
      </c>
      <c r="H162" t="s">
        <v>96</v>
      </c>
      <c r="I162" t="s">
        <v>97</v>
      </c>
      <c r="J162" t="s">
        <v>80</v>
      </c>
      <c r="L162" t="s">
        <v>158</v>
      </c>
      <c r="M162" t="s">
        <v>159</v>
      </c>
      <c r="N162" t="s">
        <v>80</v>
      </c>
      <c r="O162" t="s">
        <v>81</v>
      </c>
      <c r="P162" t="str">
        <f t="shared" si="4"/>
        <v>LOCKS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182.76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23.1</v>
      </c>
      <c r="BJ162">
        <v>43.7</v>
      </c>
      <c r="BK162">
        <v>44</v>
      </c>
      <c r="BL162">
        <v>482.79</v>
      </c>
      <c r="BM162">
        <v>72.42</v>
      </c>
      <c r="BN162">
        <v>555.21</v>
      </c>
      <c r="BO162">
        <v>555.21</v>
      </c>
      <c r="BQ162" t="s">
        <v>324</v>
      </c>
      <c r="BR162" t="s">
        <v>107</v>
      </c>
      <c r="BS162" s="3">
        <v>44818</v>
      </c>
      <c r="BT162" s="4">
        <v>0.39583333333333331</v>
      </c>
      <c r="BU162" t="s">
        <v>160</v>
      </c>
      <c r="BV162" t="s">
        <v>83</v>
      </c>
      <c r="BY162">
        <v>218703.73</v>
      </c>
      <c r="BZ162" t="s">
        <v>84</v>
      </c>
      <c r="CC162" t="s">
        <v>159</v>
      </c>
      <c r="CD162">
        <v>2940</v>
      </c>
      <c r="CE162" t="s">
        <v>85</v>
      </c>
      <c r="CI162">
        <v>4</v>
      </c>
      <c r="CJ162">
        <v>1</v>
      </c>
      <c r="CK162">
        <v>43</v>
      </c>
    </row>
    <row r="163" spans="1:89" x14ac:dyDescent="0.3">
      <c r="A163" t="s">
        <v>72</v>
      </c>
      <c r="B163" t="s">
        <v>73</v>
      </c>
      <c r="C163" t="s">
        <v>74</v>
      </c>
      <c r="E163" t="str">
        <f>"009940746457"</f>
        <v>009940746457</v>
      </c>
      <c r="F163" s="3">
        <v>44817</v>
      </c>
      <c r="G163">
        <v>202306</v>
      </c>
      <c r="H163" t="s">
        <v>147</v>
      </c>
      <c r="I163" t="s">
        <v>148</v>
      </c>
      <c r="J163" t="s">
        <v>80</v>
      </c>
      <c r="L163" t="s">
        <v>96</v>
      </c>
      <c r="M163" t="s">
        <v>97</v>
      </c>
      <c r="N163" t="s">
        <v>80</v>
      </c>
      <c r="O163" t="s">
        <v>105</v>
      </c>
      <c r="P163" t="str">
        <f>""</f>
        <v/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60.72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1.4</v>
      </c>
      <c r="BJ163">
        <v>4.4000000000000004</v>
      </c>
      <c r="BK163">
        <v>4.5</v>
      </c>
      <c r="BL163">
        <v>158.66</v>
      </c>
      <c r="BM163">
        <v>23.8</v>
      </c>
      <c r="BN163">
        <v>182.46</v>
      </c>
      <c r="BO163">
        <v>182.46</v>
      </c>
      <c r="BQ163" t="s">
        <v>355</v>
      </c>
      <c r="BR163" t="s">
        <v>193</v>
      </c>
      <c r="BS163" s="3">
        <v>44818</v>
      </c>
      <c r="BT163" s="4">
        <v>0.41944444444444445</v>
      </c>
      <c r="BU163" t="s">
        <v>169</v>
      </c>
      <c r="BV163" t="s">
        <v>83</v>
      </c>
      <c r="BY163">
        <v>21960.799999999999</v>
      </c>
      <c r="BZ163" t="s">
        <v>110</v>
      </c>
      <c r="CA163" t="s">
        <v>170</v>
      </c>
      <c r="CC163" t="s">
        <v>97</v>
      </c>
      <c r="CD163">
        <v>2146</v>
      </c>
      <c r="CE163" t="s">
        <v>85</v>
      </c>
      <c r="CI163">
        <v>1</v>
      </c>
      <c r="CJ163">
        <v>1</v>
      </c>
      <c r="CK163">
        <v>21</v>
      </c>
    </row>
    <row r="164" spans="1:89" x14ac:dyDescent="0.3">
      <c r="A164" t="s">
        <v>72</v>
      </c>
      <c r="B164" t="s">
        <v>73</v>
      </c>
      <c r="C164" t="s">
        <v>74</v>
      </c>
      <c r="E164" t="str">
        <f>"009941108148"</f>
        <v>009941108148</v>
      </c>
      <c r="F164" s="3">
        <v>44817</v>
      </c>
      <c r="G164">
        <v>202306</v>
      </c>
      <c r="H164" t="s">
        <v>88</v>
      </c>
      <c r="I164" t="s">
        <v>89</v>
      </c>
      <c r="J164" t="s">
        <v>166</v>
      </c>
      <c r="L164" t="s">
        <v>112</v>
      </c>
      <c r="M164" t="s">
        <v>113</v>
      </c>
      <c r="N164" t="s">
        <v>415</v>
      </c>
      <c r="O164" t="s">
        <v>81</v>
      </c>
      <c r="P164" t="str">
        <f>"PARTS"</f>
        <v>PARTS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73.63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197.63</v>
      </c>
      <c r="BM164">
        <v>29.64</v>
      </c>
      <c r="BN164">
        <v>227.27</v>
      </c>
      <c r="BO164">
        <v>227.27</v>
      </c>
      <c r="BQ164" t="s">
        <v>114</v>
      </c>
      <c r="BR164" t="s">
        <v>117</v>
      </c>
      <c r="BS164" s="3">
        <v>44818</v>
      </c>
      <c r="BT164" s="4">
        <v>0.57847222222222217</v>
      </c>
      <c r="BU164" t="s">
        <v>416</v>
      </c>
      <c r="BV164" t="s">
        <v>83</v>
      </c>
      <c r="BY164">
        <v>1200</v>
      </c>
      <c r="BZ164" t="s">
        <v>84</v>
      </c>
      <c r="CA164" t="s">
        <v>258</v>
      </c>
      <c r="CC164" t="s">
        <v>113</v>
      </c>
      <c r="CD164">
        <v>9300</v>
      </c>
      <c r="CE164" t="s">
        <v>85</v>
      </c>
      <c r="CI164">
        <v>3</v>
      </c>
      <c r="CJ164">
        <v>1</v>
      </c>
      <c r="CK164">
        <v>43</v>
      </c>
    </row>
    <row r="165" spans="1:89" x14ac:dyDescent="0.3">
      <c r="A165" t="s">
        <v>72</v>
      </c>
      <c r="B165" t="s">
        <v>73</v>
      </c>
      <c r="C165" t="s">
        <v>74</v>
      </c>
      <c r="E165" t="str">
        <f>"009941203025"</f>
        <v>009941203025</v>
      </c>
      <c r="F165" s="3">
        <v>44810</v>
      </c>
      <c r="G165">
        <v>202306</v>
      </c>
      <c r="H165" t="s">
        <v>112</v>
      </c>
      <c r="I165" t="s">
        <v>113</v>
      </c>
      <c r="J165" t="s">
        <v>80</v>
      </c>
      <c r="L165" t="s">
        <v>96</v>
      </c>
      <c r="M165" t="s">
        <v>97</v>
      </c>
      <c r="N165" t="s">
        <v>80</v>
      </c>
      <c r="O165" t="s">
        <v>81</v>
      </c>
      <c r="P165" t="str">
        <f>""</f>
        <v/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124.71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35</v>
      </c>
      <c r="BJ165">
        <v>40.6</v>
      </c>
      <c r="BK165">
        <v>41</v>
      </c>
      <c r="BL165">
        <v>304.38</v>
      </c>
      <c r="BM165">
        <v>45.66</v>
      </c>
      <c r="BN165">
        <v>350.04</v>
      </c>
      <c r="BO165">
        <v>350.04</v>
      </c>
      <c r="BQ165" t="s">
        <v>282</v>
      </c>
      <c r="BR165" t="s">
        <v>417</v>
      </c>
      <c r="BS165" s="3">
        <v>44811</v>
      </c>
      <c r="BT165" s="4">
        <v>0.41875000000000001</v>
      </c>
      <c r="BU165" t="s">
        <v>169</v>
      </c>
      <c r="BV165" t="s">
        <v>83</v>
      </c>
      <c r="BY165">
        <v>202800</v>
      </c>
      <c r="BZ165" t="s">
        <v>84</v>
      </c>
      <c r="CA165" t="s">
        <v>170</v>
      </c>
      <c r="CC165" t="s">
        <v>97</v>
      </c>
      <c r="CD165">
        <v>2146</v>
      </c>
      <c r="CE165" t="s">
        <v>85</v>
      </c>
      <c r="CI165">
        <v>3</v>
      </c>
      <c r="CJ165">
        <v>1</v>
      </c>
      <c r="CK165">
        <v>41</v>
      </c>
    </row>
    <row r="166" spans="1:89" x14ac:dyDescent="0.3">
      <c r="A166" t="s">
        <v>72</v>
      </c>
      <c r="B166" t="s">
        <v>73</v>
      </c>
      <c r="C166" t="s">
        <v>74</v>
      </c>
      <c r="E166" t="str">
        <f>"009941203026"</f>
        <v>009941203026</v>
      </c>
      <c r="F166" s="3">
        <v>44813</v>
      </c>
      <c r="G166">
        <v>202306</v>
      </c>
      <c r="H166" t="s">
        <v>112</v>
      </c>
      <c r="I166" t="s">
        <v>113</v>
      </c>
      <c r="J166" t="s">
        <v>262</v>
      </c>
      <c r="L166" t="s">
        <v>199</v>
      </c>
      <c r="M166" t="s">
        <v>200</v>
      </c>
      <c r="N166" t="s">
        <v>80</v>
      </c>
      <c r="O166" t="s">
        <v>81</v>
      </c>
      <c r="P166" t="str">
        <f>""</f>
        <v/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57.65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155.88999999999999</v>
      </c>
      <c r="BM166">
        <v>23.38</v>
      </c>
      <c r="BN166">
        <v>179.27</v>
      </c>
      <c r="BO166">
        <v>179.27</v>
      </c>
      <c r="BQ166" t="s">
        <v>418</v>
      </c>
      <c r="BR166" t="s">
        <v>240</v>
      </c>
      <c r="BS166" s="3">
        <v>44816</v>
      </c>
      <c r="BT166" s="4">
        <v>0.57638888888888895</v>
      </c>
      <c r="BU166" t="s">
        <v>202</v>
      </c>
      <c r="BV166" t="s">
        <v>83</v>
      </c>
      <c r="BY166">
        <v>1200</v>
      </c>
      <c r="BZ166" t="s">
        <v>84</v>
      </c>
      <c r="CC166" t="s">
        <v>200</v>
      </c>
      <c r="CD166">
        <v>9700</v>
      </c>
      <c r="CE166" t="s">
        <v>85</v>
      </c>
      <c r="CI166">
        <v>4</v>
      </c>
      <c r="CJ166">
        <v>1</v>
      </c>
      <c r="CK166">
        <v>44</v>
      </c>
    </row>
    <row r="167" spans="1:89" x14ac:dyDescent="0.3">
      <c r="A167" t="s">
        <v>72</v>
      </c>
      <c r="B167" t="s">
        <v>73</v>
      </c>
      <c r="C167" t="s">
        <v>74</v>
      </c>
      <c r="E167" t="str">
        <f>"009941291477"</f>
        <v>009941291477</v>
      </c>
      <c r="F167" s="3">
        <v>44813</v>
      </c>
      <c r="G167">
        <v>202306</v>
      </c>
      <c r="H167" t="s">
        <v>96</v>
      </c>
      <c r="I167" t="s">
        <v>97</v>
      </c>
      <c r="J167" t="s">
        <v>80</v>
      </c>
      <c r="L167" t="s">
        <v>147</v>
      </c>
      <c r="M167" t="s">
        <v>148</v>
      </c>
      <c r="N167" t="s">
        <v>80</v>
      </c>
      <c r="O167" t="s">
        <v>81</v>
      </c>
      <c r="P167" t="str">
        <f>"LOCKS"</f>
        <v>LOCKS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78.02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18</v>
      </c>
      <c r="BJ167">
        <v>26.2</v>
      </c>
      <c r="BK167">
        <v>27</v>
      </c>
      <c r="BL167">
        <v>209.11</v>
      </c>
      <c r="BM167">
        <v>31.37</v>
      </c>
      <c r="BN167">
        <v>240.48</v>
      </c>
      <c r="BO167">
        <v>240.48</v>
      </c>
      <c r="BQ167" t="s">
        <v>193</v>
      </c>
      <c r="BR167" t="s">
        <v>115</v>
      </c>
      <c r="BS167" s="3">
        <v>44816</v>
      </c>
      <c r="BT167" s="4">
        <v>0.3888888888888889</v>
      </c>
      <c r="BU167" t="s">
        <v>193</v>
      </c>
      <c r="BV167" t="s">
        <v>83</v>
      </c>
      <c r="BY167">
        <v>130902</v>
      </c>
      <c r="BZ167" t="s">
        <v>362</v>
      </c>
      <c r="CA167" t="s">
        <v>270</v>
      </c>
      <c r="CC167" t="s">
        <v>148</v>
      </c>
      <c r="CD167">
        <v>8000</v>
      </c>
      <c r="CE167" t="s">
        <v>85</v>
      </c>
      <c r="CI167">
        <v>3</v>
      </c>
      <c r="CJ167">
        <v>1</v>
      </c>
      <c r="CK167">
        <v>41</v>
      </c>
    </row>
    <row r="168" spans="1:89" x14ac:dyDescent="0.3">
      <c r="A168" t="s">
        <v>72</v>
      </c>
      <c r="B168" t="s">
        <v>73</v>
      </c>
      <c r="C168" t="s">
        <v>74</v>
      </c>
      <c r="E168" t="str">
        <f>"009941659119"</f>
        <v>009941659119</v>
      </c>
      <c r="F168" s="3">
        <v>44816</v>
      </c>
      <c r="G168">
        <v>202306</v>
      </c>
      <c r="H168" t="s">
        <v>370</v>
      </c>
      <c r="I168" t="s">
        <v>371</v>
      </c>
      <c r="J168" t="s">
        <v>80</v>
      </c>
      <c r="L168" t="s">
        <v>78</v>
      </c>
      <c r="M168" t="s">
        <v>79</v>
      </c>
      <c r="N168" t="s">
        <v>80</v>
      </c>
      <c r="O168" t="s">
        <v>81</v>
      </c>
      <c r="P168" t="str">
        <f>""</f>
        <v/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67.260000000000005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10</v>
      </c>
      <c r="BJ168">
        <v>21.7</v>
      </c>
      <c r="BK168">
        <v>22</v>
      </c>
      <c r="BL168">
        <v>181</v>
      </c>
      <c r="BM168">
        <v>27.15</v>
      </c>
      <c r="BN168">
        <v>208.15</v>
      </c>
      <c r="BO168">
        <v>208.15</v>
      </c>
      <c r="BQ168" t="s">
        <v>167</v>
      </c>
      <c r="BR168" t="s">
        <v>372</v>
      </c>
      <c r="BS168" s="3">
        <v>44819</v>
      </c>
      <c r="BT168" s="4">
        <v>0.375</v>
      </c>
      <c r="BU168" t="s">
        <v>392</v>
      </c>
      <c r="BV168" t="s">
        <v>109</v>
      </c>
      <c r="BY168">
        <v>108680</v>
      </c>
      <c r="CC168" t="s">
        <v>79</v>
      </c>
      <c r="CD168">
        <v>2000</v>
      </c>
      <c r="CE168" t="s">
        <v>85</v>
      </c>
      <c r="CI168">
        <v>3</v>
      </c>
      <c r="CJ168">
        <v>3</v>
      </c>
      <c r="CK168">
        <v>41</v>
      </c>
    </row>
    <row r="169" spans="1:89" x14ac:dyDescent="0.3">
      <c r="A169" t="s">
        <v>72</v>
      </c>
      <c r="B169" t="s">
        <v>73</v>
      </c>
      <c r="C169" t="s">
        <v>74</v>
      </c>
      <c r="E169" t="str">
        <f>"009942317298"</f>
        <v>009942317298</v>
      </c>
      <c r="F169" s="3">
        <v>44817</v>
      </c>
      <c r="G169">
        <v>202306</v>
      </c>
      <c r="H169" t="s">
        <v>94</v>
      </c>
      <c r="I169" t="s">
        <v>95</v>
      </c>
      <c r="J169" t="s">
        <v>80</v>
      </c>
      <c r="L169" t="s">
        <v>96</v>
      </c>
      <c r="M169" t="s">
        <v>97</v>
      </c>
      <c r="N169" t="s">
        <v>80</v>
      </c>
      <c r="O169" t="s">
        <v>81</v>
      </c>
      <c r="P169" t="str">
        <f>""</f>
        <v/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52.2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141.65</v>
      </c>
      <c r="BM169">
        <v>21.25</v>
      </c>
      <c r="BN169">
        <v>162.9</v>
      </c>
      <c r="BO169">
        <v>162.9</v>
      </c>
      <c r="BQ169" t="s">
        <v>419</v>
      </c>
      <c r="BR169" t="s">
        <v>420</v>
      </c>
      <c r="BS169" s="3">
        <v>44818</v>
      </c>
      <c r="BT169" s="4">
        <v>0.4201388888888889</v>
      </c>
      <c r="BU169" t="s">
        <v>169</v>
      </c>
      <c r="BV169" t="s">
        <v>83</v>
      </c>
      <c r="BY169">
        <v>1200</v>
      </c>
      <c r="BZ169" t="s">
        <v>84</v>
      </c>
      <c r="CA169" t="s">
        <v>170</v>
      </c>
      <c r="CC169" t="s">
        <v>97</v>
      </c>
      <c r="CD169">
        <v>2146</v>
      </c>
      <c r="CE169" t="s">
        <v>85</v>
      </c>
      <c r="CI169">
        <v>3</v>
      </c>
      <c r="CJ169">
        <v>1</v>
      </c>
      <c r="CK169">
        <v>41</v>
      </c>
    </row>
    <row r="170" spans="1:89" x14ac:dyDescent="0.3">
      <c r="A170" t="s">
        <v>72</v>
      </c>
      <c r="B170" t="s">
        <v>73</v>
      </c>
      <c r="C170" t="s">
        <v>74</v>
      </c>
      <c r="E170" t="str">
        <f>"009942616661"</f>
        <v>009942616661</v>
      </c>
      <c r="F170" s="3">
        <v>44818</v>
      </c>
      <c r="G170">
        <v>202306</v>
      </c>
      <c r="H170" t="s">
        <v>119</v>
      </c>
      <c r="I170" t="s">
        <v>120</v>
      </c>
      <c r="J170" t="s">
        <v>283</v>
      </c>
      <c r="L170" t="s">
        <v>212</v>
      </c>
      <c r="M170" t="s">
        <v>213</v>
      </c>
      <c r="N170" t="s">
        <v>241</v>
      </c>
      <c r="O170" t="s">
        <v>421</v>
      </c>
      <c r="P170" t="str">
        <f>""</f>
        <v/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50.62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</v>
      </c>
      <c r="BJ170">
        <v>0.7</v>
      </c>
      <c r="BK170">
        <v>2</v>
      </c>
      <c r="BL170">
        <v>132.26</v>
      </c>
      <c r="BM170">
        <v>19.84</v>
      </c>
      <c r="BN170">
        <v>152.1</v>
      </c>
      <c r="BO170">
        <v>152.1</v>
      </c>
      <c r="BQ170" t="s">
        <v>422</v>
      </c>
      <c r="BR170" t="s">
        <v>423</v>
      </c>
      <c r="BS170" s="3">
        <v>44819</v>
      </c>
      <c r="BT170" s="4">
        <v>0.3215277777777778</v>
      </c>
      <c r="BU170" t="s">
        <v>424</v>
      </c>
      <c r="BV170" t="s">
        <v>83</v>
      </c>
      <c r="BY170">
        <v>3600</v>
      </c>
      <c r="BZ170" t="s">
        <v>84</v>
      </c>
      <c r="CA170" t="s">
        <v>217</v>
      </c>
      <c r="CC170" t="s">
        <v>213</v>
      </c>
      <c r="CD170">
        <v>2194</v>
      </c>
      <c r="CE170" t="s">
        <v>85</v>
      </c>
      <c r="CI170">
        <v>1</v>
      </c>
      <c r="CJ170">
        <v>1</v>
      </c>
      <c r="CK170">
        <v>31</v>
      </c>
    </row>
    <row r="171" spans="1:89" x14ac:dyDescent="0.3">
      <c r="A171" t="s">
        <v>72</v>
      </c>
      <c r="B171" t="s">
        <v>73</v>
      </c>
      <c r="C171" t="s">
        <v>74</v>
      </c>
      <c r="E171" t="str">
        <f>"009942616662"</f>
        <v>009942616662</v>
      </c>
      <c r="F171" s="3">
        <v>44818</v>
      </c>
      <c r="G171">
        <v>202306</v>
      </c>
      <c r="H171" t="s">
        <v>119</v>
      </c>
      <c r="I171" t="s">
        <v>120</v>
      </c>
      <c r="J171" t="s">
        <v>283</v>
      </c>
      <c r="L171" t="s">
        <v>78</v>
      </c>
      <c r="M171" t="s">
        <v>79</v>
      </c>
      <c r="N171" t="s">
        <v>425</v>
      </c>
      <c r="O171" t="s">
        <v>421</v>
      </c>
      <c r="P171" t="str">
        <f>""</f>
        <v/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50.62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3</v>
      </c>
      <c r="BJ171">
        <v>3.6</v>
      </c>
      <c r="BK171">
        <v>4</v>
      </c>
      <c r="BL171">
        <v>132.26</v>
      </c>
      <c r="BM171">
        <v>19.84</v>
      </c>
      <c r="BN171">
        <v>152.1</v>
      </c>
      <c r="BO171">
        <v>152.1</v>
      </c>
      <c r="BQ171" t="s">
        <v>379</v>
      </c>
      <c r="BR171" t="s">
        <v>423</v>
      </c>
      <c r="BS171" s="3">
        <v>44819</v>
      </c>
      <c r="BT171" s="4">
        <v>0.30416666666666664</v>
      </c>
      <c r="BU171" t="s">
        <v>426</v>
      </c>
      <c r="BV171" t="s">
        <v>83</v>
      </c>
      <c r="BY171">
        <v>18000</v>
      </c>
      <c r="BZ171" t="s">
        <v>84</v>
      </c>
      <c r="CA171" t="s">
        <v>427</v>
      </c>
      <c r="CC171" t="s">
        <v>79</v>
      </c>
      <c r="CD171">
        <v>2196</v>
      </c>
      <c r="CE171" t="s">
        <v>85</v>
      </c>
      <c r="CI171">
        <v>1</v>
      </c>
      <c r="CJ171">
        <v>1</v>
      </c>
      <c r="CK171">
        <v>31</v>
      </c>
    </row>
    <row r="172" spans="1:89" x14ac:dyDescent="0.3">
      <c r="A172" t="s">
        <v>72</v>
      </c>
      <c r="B172" t="s">
        <v>73</v>
      </c>
      <c r="C172" t="s">
        <v>74</v>
      </c>
      <c r="E172" t="str">
        <f>"009942724019"</f>
        <v>009942724019</v>
      </c>
      <c r="F172" s="3">
        <v>44818</v>
      </c>
      <c r="G172">
        <v>202306</v>
      </c>
      <c r="H172" t="s">
        <v>96</v>
      </c>
      <c r="I172" t="s">
        <v>97</v>
      </c>
      <c r="J172" t="s">
        <v>80</v>
      </c>
      <c r="L172" t="s">
        <v>303</v>
      </c>
      <c r="M172" t="s">
        <v>304</v>
      </c>
      <c r="N172" t="s">
        <v>80</v>
      </c>
      <c r="O172" t="s">
        <v>81</v>
      </c>
      <c r="P172" t="str">
        <f>"SMALL SPARES"</f>
        <v>SMALL SPARES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54.36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4.5999999999999996</v>
      </c>
      <c r="BJ172">
        <v>15.9</v>
      </c>
      <c r="BK172">
        <v>16</v>
      </c>
      <c r="BL172">
        <v>147.28</v>
      </c>
      <c r="BM172">
        <v>22.09</v>
      </c>
      <c r="BN172">
        <v>169.37</v>
      </c>
      <c r="BO172">
        <v>169.37</v>
      </c>
      <c r="BQ172" t="s">
        <v>115</v>
      </c>
      <c r="BR172" t="s">
        <v>428</v>
      </c>
      <c r="BS172" t="s">
        <v>145</v>
      </c>
      <c r="BY172">
        <v>79430.539999999994</v>
      </c>
      <c r="BZ172" t="s">
        <v>84</v>
      </c>
      <c r="CC172" t="s">
        <v>304</v>
      </c>
      <c r="CD172">
        <v>9459</v>
      </c>
      <c r="CE172" t="s">
        <v>85</v>
      </c>
      <c r="CI172">
        <v>3</v>
      </c>
      <c r="CJ172" t="s">
        <v>145</v>
      </c>
      <c r="CK172">
        <v>41</v>
      </c>
    </row>
    <row r="173" spans="1:89" x14ac:dyDescent="0.3">
      <c r="A173" t="s">
        <v>72</v>
      </c>
      <c r="B173" t="s">
        <v>73</v>
      </c>
      <c r="C173" t="s">
        <v>74</v>
      </c>
      <c r="E173" t="str">
        <f>"009939616630"</f>
        <v>009939616630</v>
      </c>
      <c r="F173" s="3">
        <v>44818</v>
      </c>
      <c r="G173">
        <v>202306</v>
      </c>
      <c r="H173" t="s">
        <v>96</v>
      </c>
      <c r="I173" t="s">
        <v>97</v>
      </c>
      <c r="J173" t="s">
        <v>80</v>
      </c>
      <c r="L173" t="s">
        <v>102</v>
      </c>
      <c r="M173" t="s">
        <v>103</v>
      </c>
      <c r="N173" t="s">
        <v>80</v>
      </c>
      <c r="O173" t="s">
        <v>105</v>
      </c>
      <c r="P173" t="str">
        <f t="shared" ref="P173:P182" si="5">"LOCKS"</f>
        <v>LOCKS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52.3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136.66</v>
      </c>
      <c r="BM173">
        <v>20.5</v>
      </c>
      <c r="BN173">
        <v>157.16</v>
      </c>
      <c r="BO173">
        <v>157.16</v>
      </c>
      <c r="BQ173" t="s">
        <v>336</v>
      </c>
      <c r="BR173" t="s">
        <v>107</v>
      </c>
      <c r="BS173" s="3">
        <v>44819</v>
      </c>
      <c r="BT173" s="4">
        <v>0.73888888888888893</v>
      </c>
      <c r="BU173" t="s">
        <v>108</v>
      </c>
      <c r="BV173" t="s">
        <v>109</v>
      </c>
      <c r="BY173">
        <v>1200</v>
      </c>
      <c r="BZ173" t="s">
        <v>110</v>
      </c>
      <c r="CA173" t="s">
        <v>111</v>
      </c>
      <c r="CC173" t="s">
        <v>103</v>
      </c>
      <c r="CD173">
        <v>920</v>
      </c>
      <c r="CE173" t="s">
        <v>85</v>
      </c>
      <c r="CI173">
        <v>1</v>
      </c>
      <c r="CJ173">
        <v>1</v>
      </c>
      <c r="CK173">
        <v>23</v>
      </c>
    </row>
    <row r="174" spans="1:89" x14ac:dyDescent="0.3">
      <c r="A174" t="s">
        <v>72</v>
      </c>
      <c r="B174" t="s">
        <v>73</v>
      </c>
      <c r="C174" t="s">
        <v>74</v>
      </c>
      <c r="E174" t="str">
        <f>"009941291474"</f>
        <v>009941291474</v>
      </c>
      <c r="F174" s="3">
        <v>44818</v>
      </c>
      <c r="G174">
        <v>202306</v>
      </c>
      <c r="H174" t="s">
        <v>96</v>
      </c>
      <c r="I174" t="s">
        <v>97</v>
      </c>
      <c r="J174" t="s">
        <v>80</v>
      </c>
      <c r="L174" t="s">
        <v>147</v>
      </c>
      <c r="M174" t="s">
        <v>148</v>
      </c>
      <c r="N174" t="s">
        <v>80</v>
      </c>
      <c r="O174" t="s">
        <v>105</v>
      </c>
      <c r="P174" t="str">
        <f t="shared" si="5"/>
        <v>LOCKS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26.99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70.53</v>
      </c>
      <c r="BM174">
        <v>10.58</v>
      </c>
      <c r="BN174">
        <v>81.11</v>
      </c>
      <c r="BO174">
        <v>81.11</v>
      </c>
      <c r="BQ174" t="s">
        <v>429</v>
      </c>
      <c r="BR174" t="s">
        <v>115</v>
      </c>
      <c r="BS174" s="3">
        <v>44819</v>
      </c>
      <c r="BT174" s="4">
        <v>0.3611111111111111</v>
      </c>
      <c r="BU174" t="s">
        <v>338</v>
      </c>
      <c r="BV174" t="s">
        <v>83</v>
      </c>
      <c r="BY174">
        <v>1200</v>
      </c>
      <c r="BZ174" t="s">
        <v>110</v>
      </c>
      <c r="CA174" t="s">
        <v>195</v>
      </c>
      <c r="CC174" t="s">
        <v>148</v>
      </c>
      <c r="CD174">
        <v>8000</v>
      </c>
      <c r="CE174" t="s">
        <v>85</v>
      </c>
      <c r="CI174">
        <v>1</v>
      </c>
      <c r="CJ174">
        <v>1</v>
      </c>
      <c r="CK174">
        <v>21</v>
      </c>
    </row>
    <row r="175" spans="1:89" x14ac:dyDescent="0.3">
      <c r="A175" t="s">
        <v>72</v>
      </c>
      <c r="B175" t="s">
        <v>73</v>
      </c>
      <c r="C175" t="s">
        <v>74</v>
      </c>
      <c r="E175" t="str">
        <f>"009941618882"</f>
        <v>009941618882</v>
      </c>
      <c r="F175" s="3">
        <v>44818</v>
      </c>
      <c r="G175">
        <v>202306</v>
      </c>
      <c r="H175" t="s">
        <v>96</v>
      </c>
      <c r="I175" t="s">
        <v>97</v>
      </c>
      <c r="J175" t="s">
        <v>80</v>
      </c>
      <c r="L175" t="s">
        <v>136</v>
      </c>
      <c r="M175" t="s">
        <v>137</v>
      </c>
      <c r="N175" t="s">
        <v>262</v>
      </c>
      <c r="O175" t="s">
        <v>105</v>
      </c>
      <c r="P175" t="str">
        <f t="shared" si="5"/>
        <v>LOCKS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99.55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3.8</v>
      </c>
      <c r="BJ175">
        <v>3.7</v>
      </c>
      <c r="BK175">
        <v>4</v>
      </c>
      <c r="BL175">
        <v>260.11</v>
      </c>
      <c r="BM175">
        <v>39.020000000000003</v>
      </c>
      <c r="BN175">
        <v>299.13</v>
      </c>
      <c r="BO175">
        <v>299.13</v>
      </c>
      <c r="BQ175" t="s">
        <v>138</v>
      </c>
      <c r="BR175" t="s">
        <v>430</v>
      </c>
      <c r="BS175" s="3">
        <v>44819</v>
      </c>
      <c r="BT175" s="4">
        <v>0.36527777777777781</v>
      </c>
      <c r="BU175" t="s">
        <v>218</v>
      </c>
      <c r="BV175" t="s">
        <v>83</v>
      </c>
      <c r="BY175">
        <v>18583.13</v>
      </c>
      <c r="BZ175" t="s">
        <v>110</v>
      </c>
      <c r="CA175" t="s">
        <v>140</v>
      </c>
      <c r="CC175" t="s">
        <v>137</v>
      </c>
      <c r="CD175">
        <v>1034</v>
      </c>
      <c r="CE175" t="s">
        <v>85</v>
      </c>
      <c r="CI175">
        <v>1</v>
      </c>
      <c r="CJ175">
        <v>1</v>
      </c>
      <c r="CK175">
        <v>23</v>
      </c>
    </row>
    <row r="176" spans="1:89" x14ac:dyDescent="0.3">
      <c r="A176" t="s">
        <v>72</v>
      </c>
      <c r="B176" t="s">
        <v>73</v>
      </c>
      <c r="C176" t="s">
        <v>74</v>
      </c>
      <c r="E176" t="str">
        <f>"009942319894"</f>
        <v>009942319894</v>
      </c>
      <c r="F176" s="3">
        <v>44818</v>
      </c>
      <c r="G176">
        <v>202306</v>
      </c>
      <c r="H176" t="s">
        <v>96</v>
      </c>
      <c r="I176" t="s">
        <v>97</v>
      </c>
      <c r="J176" t="s">
        <v>80</v>
      </c>
      <c r="L176" t="s">
        <v>225</v>
      </c>
      <c r="M176" t="s">
        <v>226</v>
      </c>
      <c r="N176" t="s">
        <v>80</v>
      </c>
      <c r="O176" t="s">
        <v>105</v>
      </c>
      <c r="P176" t="str">
        <f t="shared" si="5"/>
        <v>LOCKS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52.3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136.66</v>
      </c>
      <c r="BM176">
        <v>20.5</v>
      </c>
      <c r="BN176">
        <v>157.16</v>
      </c>
      <c r="BO176">
        <v>157.16</v>
      </c>
      <c r="BQ176" t="s">
        <v>227</v>
      </c>
      <c r="BR176" t="s">
        <v>124</v>
      </c>
      <c r="BS176" s="3">
        <v>44819</v>
      </c>
      <c r="BT176" s="4">
        <v>0.34930555555555554</v>
      </c>
      <c r="BU176" t="s">
        <v>431</v>
      </c>
      <c r="BV176" t="s">
        <v>83</v>
      </c>
      <c r="BY176">
        <v>1200</v>
      </c>
      <c r="BZ176" t="s">
        <v>110</v>
      </c>
      <c r="CA176" t="s">
        <v>229</v>
      </c>
      <c r="CC176" t="s">
        <v>226</v>
      </c>
      <c r="CD176">
        <v>4240</v>
      </c>
      <c r="CE176" t="s">
        <v>85</v>
      </c>
      <c r="CI176">
        <v>1</v>
      </c>
      <c r="CJ176">
        <v>1</v>
      </c>
      <c r="CK176">
        <v>23</v>
      </c>
    </row>
    <row r="177" spans="1:89" x14ac:dyDescent="0.3">
      <c r="A177" t="s">
        <v>72</v>
      </c>
      <c r="B177" t="s">
        <v>73</v>
      </c>
      <c r="C177" t="s">
        <v>74</v>
      </c>
      <c r="E177" t="str">
        <f>"009941618846"</f>
        <v>009941618846</v>
      </c>
      <c r="F177" s="3">
        <v>44818</v>
      </c>
      <c r="G177">
        <v>202306</v>
      </c>
      <c r="H177" t="s">
        <v>96</v>
      </c>
      <c r="I177" t="s">
        <v>97</v>
      </c>
      <c r="J177" t="s">
        <v>80</v>
      </c>
      <c r="L177" t="s">
        <v>136</v>
      </c>
      <c r="M177" t="s">
        <v>137</v>
      </c>
      <c r="N177" t="s">
        <v>80</v>
      </c>
      <c r="O177" t="s">
        <v>81</v>
      </c>
      <c r="P177" t="str">
        <f t="shared" si="5"/>
        <v>LOCKS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171.47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28.4</v>
      </c>
      <c r="BJ177">
        <v>40.5</v>
      </c>
      <c r="BK177">
        <v>41</v>
      </c>
      <c r="BL177">
        <v>453.29</v>
      </c>
      <c r="BM177">
        <v>67.989999999999995</v>
      </c>
      <c r="BN177">
        <v>521.28</v>
      </c>
      <c r="BO177">
        <v>521.28</v>
      </c>
      <c r="BQ177" t="s">
        <v>138</v>
      </c>
      <c r="BR177" t="s">
        <v>107</v>
      </c>
      <c r="BS177" s="3">
        <v>44819</v>
      </c>
      <c r="BT177" s="4">
        <v>0.36527777777777781</v>
      </c>
      <c r="BU177" t="s">
        <v>218</v>
      </c>
      <c r="BV177" t="s">
        <v>83</v>
      </c>
      <c r="BY177">
        <v>202427.1</v>
      </c>
      <c r="BZ177" t="s">
        <v>84</v>
      </c>
      <c r="CA177" t="s">
        <v>140</v>
      </c>
      <c r="CC177" t="s">
        <v>137</v>
      </c>
      <c r="CD177">
        <v>1034</v>
      </c>
      <c r="CE177" t="s">
        <v>85</v>
      </c>
      <c r="CI177">
        <v>4</v>
      </c>
      <c r="CJ177">
        <v>1</v>
      </c>
      <c r="CK177">
        <v>43</v>
      </c>
    </row>
    <row r="178" spans="1:89" x14ac:dyDescent="0.3">
      <c r="A178" t="s">
        <v>72</v>
      </c>
      <c r="B178" t="s">
        <v>73</v>
      </c>
      <c r="C178" t="s">
        <v>74</v>
      </c>
      <c r="E178" t="str">
        <f>"009942724018"</f>
        <v>009942724018</v>
      </c>
      <c r="F178" s="3">
        <v>44818</v>
      </c>
      <c r="G178">
        <v>202306</v>
      </c>
      <c r="H178" t="s">
        <v>96</v>
      </c>
      <c r="I178" t="s">
        <v>97</v>
      </c>
      <c r="J178" t="s">
        <v>80</v>
      </c>
      <c r="L178" t="s">
        <v>303</v>
      </c>
      <c r="M178" t="s">
        <v>304</v>
      </c>
      <c r="N178" t="s">
        <v>80</v>
      </c>
      <c r="O178" t="s">
        <v>81</v>
      </c>
      <c r="P178" t="str">
        <f t="shared" si="5"/>
        <v>LOCKS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192.05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4</v>
      </c>
      <c r="BI178">
        <v>79.3</v>
      </c>
      <c r="BJ178">
        <v>49.1</v>
      </c>
      <c r="BK178">
        <v>80</v>
      </c>
      <c r="BL178">
        <v>507.05</v>
      </c>
      <c r="BM178">
        <v>76.06</v>
      </c>
      <c r="BN178">
        <v>583.11</v>
      </c>
      <c r="BO178">
        <v>583.11</v>
      </c>
      <c r="BQ178" t="s">
        <v>349</v>
      </c>
      <c r="BR178" t="s">
        <v>107</v>
      </c>
      <c r="BS178" s="3">
        <v>44819</v>
      </c>
      <c r="BT178" s="4">
        <v>0.40138888888888885</v>
      </c>
      <c r="BU178" t="s">
        <v>305</v>
      </c>
      <c r="BV178" t="s">
        <v>83</v>
      </c>
      <c r="BY178">
        <v>245382.38</v>
      </c>
      <c r="BZ178" t="s">
        <v>84</v>
      </c>
      <c r="CC178" t="s">
        <v>304</v>
      </c>
      <c r="CD178">
        <v>9459</v>
      </c>
      <c r="CE178" t="s">
        <v>85</v>
      </c>
      <c r="CI178">
        <v>3</v>
      </c>
      <c r="CJ178">
        <v>1</v>
      </c>
      <c r="CK178">
        <v>41</v>
      </c>
    </row>
    <row r="179" spans="1:89" x14ac:dyDescent="0.3">
      <c r="A179" t="s">
        <v>72</v>
      </c>
      <c r="B179" t="s">
        <v>73</v>
      </c>
      <c r="C179" t="s">
        <v>74</v>
      </c>
      <c r="E179" t="str">
        <f>"009942319897"</f>
        <v>009942319897</v>
      </c>
      <c r="F179" s="3">
        <v>44818</v>
      </c>
      <c r="G179">
        <v>202306</v>
      </c>
      <c r="H179" t="s">
        <v>96</v>
      </c>
      <c r="I179" t="s">
        <v>97</v>
      </c>
      <c r="J179" t="s">
        <v>80</v>
      </c>
      <c r="L179" t="s">
        <v>86</v>
      </c>
      <c r="M179" t="s">
        <v>87</v>
      </c>
      <c r="N179" t="s">
        <v>80</v>
      </c>
      <c r="O179" t="s">
        <v>105</v>
      </c>
      <c r="P179" t="str">
        <f t="shared" si="5"/>
        <v>LOCKS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52.3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136.66</v>
      </c>
      <c r="BM179">
        <v>20.5</v>
      </c>
      <c r="BN179">
        <v>157.16</v>
      </c>
      <c r="BO179">
        <v>157.16</v>
      </c>
      <c r="BQ179" t="s">
        <v>432</v>
      </c>
      <c r="BR179" t="s">
        <v>124</v>
      </c>
      <c r="BS179" s="3">
        <v>44820</v>
      </c>
      <c r="BT179" s="4">
        <v>0.64930555555555558</v>
      </c>
      <c r="BU179" t="s">
        <v>433</v>
      </c>
      <c r="BV179" t="s">
        <v>109</v>
      </c>
      <c r="BY179">
        <v>1200</v>
      </c>
      <c r="BZ179" t="s">
        <v>110</v>
      </c>
      <c r="CA179" t="s">
        <v>434</v>
      </c>
      <c r="CC179" t="s">
        <v>87</v>
      </c>
      <c r="CD179">
        <v>2570</v>
      </c>
      <c r="CE179" t="s">
        <v>85</v>
      </c>
      <c r="CI179">
        <v>1</v>
      </c>
      <c r="CJ179">
        <v>2</v>
      </c>
      <c r="CK179">
        <v>23</v>
      </c>
    </row>
    <row r="180" spans="1:89" x14ac:dyDescent="0.3">
      <c r="A180" t="s">
        <v>72</v>
      </c>
      <c r="B180" t="s">
        <v>73</v>
      </c>
      <c r="C180" t="s">
        <v>74</v>
      </c>
      <c r="E180" t="str">
        <f>"009942724016"</f>
        <v>009942724016</v>
      </c>
      <c r="F180" s="3">
        <v>44818</v>
      </c>
      <c r="G180">
        <v>202306</v>
      </c>
      <c r="H180" t="s">
        <v>96</v>
      </c>
      <c r="I180" t="s">
        <v>97</v>
      </c>
      <c r="J180" t="s">
        <v>80</v>
      </c>
      <c r="L180" t="s">
        <v>178</v>
      </c>
      <c r="M180" t="s">
        <v>179</v>
      </c>
      <c r="N180" t="s">
        <v>80</v>
      </c>
      <c r="O180" t="s">
        <v>105</v>
      </c>
      <c r="P180" t="str">
        <f t="shared" si="5"/>
        <v>LOCKS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26.99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70.53</v>
      </c>
      <c r="BM180">
        <v>10.58</v>
      </c>
      <c r="BN180">
        <v>81.11</v>
      </c>
      <c r="BO180">
        <v>81.11</v>
      </c>
      <c r="BQ180" t="s">
        <v>435</v>
      </c>
      <c r="BR180" t="s">
        <v>107</v>
      </c>
      <c r="BS180" s="3">
        <v>44831</v>
      </c>
      <c r="BT180" s="4">
        <v>0.61805555555555558</v>
      </c>
      <c r="BU180" t="s">
        <v>181</v>
      </c>
      <c r="BV180" t="s">
        <v>109</v>
      </c>
      <c r="BY180">
        <v>1200</v>
      </c>
      <c r="BZ180" t="s">
        <v>110</v>
      </c>
      <c r="CA180" t="s">
        <v>182</v>
      </c>
      <c r="CC180" t="s">
        <v>179</v>
      </c>
      <c r="CD180">
        <v>1200</v>
      </c>
      <c r="CE180" t="s">
        <v>85</v>
      </c>
      <c r="CI180">
        <v>1</v>
      </c>
      <c r="CJ180">
        <v>9</v>
      </c>
      <c r="CK180">
        <v>21</v>
      </c>
    </row>
    <row r="181" spans="1:89" x14ac:dyDescent="0.3">
      <c r="A181" t="s">
        <v>72</v>
      </c>
      <c r="B181" t="s">
        <v>73</v>
      </c>
      <c r="C181" t="s">
        <v>74</v>
      </c>
      <c r="E181" t="str">
        <f>"009941209310"</f>
        <v>009941209310</v>
      </c>
      <c r="F181" s="3">
        <v>44818</v>
      </c>
      <c r="G181">
        <v>202306</v>
      </c>
      <c r="H181" t="s">
        <v>96</v>
      </c>
      <c r="I181" t="s">
        <v>97</v>
      </c>
      <c r="J181" t="s">
        <v>80</v>
      </c>
      <c r="L181" t="s">
        <v>112</v>
      </c>
      <c r="M181" t="s">
        <v>113</v>
      </c>
      <c r="N181" t="s">
        <v>80</v>
      </c>
      <c r="O181" t="s">
        <v>81</v>
      </c>
      <c r="P181" t="str">
        <f t="shared" si="5"/>
        <v>LOCKS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121.05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3</v>
      </c>
      <c r="BI181">
        <v>46.9</v>
      </c>
      <c r="BJ181">
        <v>37.5</v>
      </c>
      <c r="BK181">
        <v>47</v>
      </c>
      <c r="BL181">
        <v>321.54000000000002</v>
      </c>
      <c r="BM181">
        <v>48.23</v>
      </c>
      <c r="BN181">
        <v>369.77</v>
      </c>
      <c r="BO181">
        <v>369.77</v>
      </c>
      <c r="BQ181" t="s">
        <v>114</v>
      </c>
      <c r="BR181" t="s">
        <v>115</v>
      </c>
      <c r="BS181" s="3">
        <v>44819</v>
      </c>
      <c r="BT181" s="4">
        <v>0.48055555555555557</v>
      </c>
      <c r="BU181" t="s">
        <v>293</v>
      </c>
      <c r="BV181" t="s">
        <v>83</v>
      </c>
      <c r="BY181">
        <v>187676.4</v>
      </c>
      <c r="BZ181" t="s">
        <v>84</v>
      </c>
      <c r="CA181" t="s">
        <v>258</v>
      </c>
      <c r="CC181" t="s">
        <v>113</v>
      </c>
      <c r="CD181">
        <v>9300</v>
      </c>
      <c r="CE181" t="s">
        <v>85</v>
      </c>
      <c r="CI181">
        <v>3</v>
      </c>
      <c r="CJ181">
        <v>1</v>
      </c>
      <c r="CK181">
        <v>41</v>
      </c>
    </row>
    <row r="182" spans="1:89" x14ac:dyDescent="0.3">
      <c r="A182" t="s">
        <v>72</v>
      </c>
      <c r="B182" t="s">
        <v>73</v>
      </c>
      <c r="C182" t="s">
        <v>74</v>
      </c>
      <c r="E182" t="str">
        <f>"009942724017"</f>
        <v>009942724017</v>
      </c>
      <c r="F182" s="3">
        <v>44818</v>
      </c>
      <c r="G182">
        <v>202306</v>
      </c>
      <c r="H182" t="s">
        <v>96</v>
      </c>
      <c r="I182" t="s">
        <v>97</v>
      </c>
      <c r="J182" t="s">
        <v>80</v>
      </c>
      <c r="L182" t="s">
        <v>199</v>
      </c>
      <c r="M182" t="s">
        <v>200</v>
      </c>
      <c r="N182" t="s">
        <v>80</v>
      </c>
      <c r="O182" t="s">
        <v>81</v>
      </c>
      <c r="P182" t="str">
        <f t="shared" si="5"/>
        <v>LOCKS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175.24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21</v>
      </c>
      <c r="BJ182">
        <v>41.8</v>
      </c>
      <c r="BK182">
        <v>42</v>
      </c>
      <c r="BL182">
        <v>463.13</v>
      </c>
      <c r="BM182">
        <v>69.47</v>
      </c>
      <c r="BN182">
        <v>532.6</v>
      </c>
      <c r="BO182">
        <v>532.6</v>
      </c>
      <c r="BQ182" t="s">
        <v>201</v>
      </c>
      <c r="BR182" t="s">
        <v>107</v>
      </c>
      <c r="BS182" s="3">
        <v>44820</v>
      </c>
      <c r="BT182" s="4">
        <v>0.43263888888888885</v>
      </c>
      <c r="BU182" t="s">
        <v>202</v>
      </c>
      <c r="BV182" t="s">
        <v>109</v>
      </c>
      <c r="BY182">
        <v>208964.96</v>
      </c>
      <c r="BZ182" t="s">
        <v>84</v>
      </c>
      <c r="CA182" t="s">
        <v>436</v>
      </c>
      <c r="CC182" t="s">
        <v>200</v>
      </c>
      <c r="CD182">
        <v>9700</v>
      </c>
      <c r="CE182" t="s">
        <v>85</v>
      </c>
      <c r="CI182">
        <v>4</v>
      </c>
      <c r="CJ182">
        <v>2</v>
      </c>
      <c r="CK182">
        <v>43</v>
      </c>
    </row>
    <row r="183" spans="1:89" x14ac:dyDescent="0.3">
      <c r="A183" t="s">
        <v>72</v>
      </c>
      <c r="B183" t="s">
        <v>73</v>
      </c>
      <c r="C183" t="s">
        <v>74</v>
      </c>
      <c r="E183" t="str">
        <f>"009942616660"</f>
        <v>009942616660</v>
      </c>
      <c r="F183" s="3">
        <v>44818</v>
      </c>
      <c r="G183">
        <v>202306</v>
      </c>
      <c r="H183" t="s">
        <v>119</v>
      </c>
      <c r="I183" t="s">
        <v>120</v>
      </c>
      <c r="J183" t="s">
        <v>283</v>
      </c>
      <c r="L183" t="s">
        <v>96</v>
      </c>
      <c r="M183" t="s">
        <v>97</v>
      </c>
      <c r="N183" t="s">
        <v>425</v>
      </c>
      <c r="O183" t="s">
        <v>81</v>
      </c>
      <c r="P183" t="str">
        <f>""</f>
        <v/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149.02000000000001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3</v>
      </c>
      <c r="BI183">
        <v>60</v>
      </c>
      <c r="BJ183">
        <v>1.4</v>
      </c>
      <c r="BK183">
        <v>60</v>
      </c>
      <c r="BL183">
        <v>394.62</v>
      </c>
      <c r="BM183">
        <v>59.19</v>
      </c>
      <c r="BN183">
        <v>453.81</v>
      </c>
      <c r="BO183">
        <v>453.81</v>
      </c>
      <c r="BQ183" t="s">
        <v>282</v>
      </c>
      <c r="BR183" t="s">
        <v>437</v>
      </c>
      <c r="BS183" s="3">
        <v>44819</v>
      </c>
      <c r="BT183" s="4">
        <v>0.35000000000000003</v>
      </c>
      <c r="BU183" t="s">
        <v>169</v>
      </c>
      <c r="BV183" t="s">
        <v>83</v>
      </c>
      <c r="BY183">
        <v>2250</v>
      </c>
      <c r="BZ183" t="s">
        <v>84</v>
      </c>
      <c r="CA183" t="s">
        <v>170</v>
      </c>
      <c r="CC183" t="s">
        <v>97</v>
      </c>
      <c r="CD183">
        <v>2146</v>
      </c>
      <c r="CE183" t="s">
        <v>85</v>
      </c>
      <c r="CI183">
        <v>3</v>
      </c>
      <c r="CJ183">
        <v>1</v>
      </c>
      <c r="CK183">
        <v>41</v>
      </c>
    </row>
    <row r="184" spans="1:89" x14ac:dyDescent="0.3">
      <c r="A184" t="s">
        <v>72</v>
      </c>
      <c r="B184" t="s">
        <v>73</v>
      </c>
      <c r="C184" t="s">
        <v>74</v>
      </c>
      <c r="E184" t="str">
        <f>"009942724005"</f>
        <v>009942724005</v>
      </c>
      <c r="F184" s="3">
        <v>44819</v>
      </c>
      <c r="G184">
        <v>202306</v>
      </c>
      <c r="H184" t="s">
        <v>96</v>
      </c>
      <c r="I184" t="s">
        <v>97</v>
      </c>
      <c r="J184" t="s">
        <v>80</v>
      </c>
      <c r="L184" t="s">
        <v>158</v>
      </c>
      <c r="M184" t="s">
        <v>159</v>
      </c>
      <c r="N184" t="s">
        <v>80</v>
      </c>
      <c r="O184" t="s">
        <v>105</v>
      </c>
      <c r="P184" t="str">
        <f>"LOCKS"</f>
        <v>LOCKS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52.3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136.66</v>
      </c>
      <c r="BM184">
        <v>20.5</v>
      </c>
      <c r="BN184">
        <v>157.16</v>
      </c>
      <c r="BO184">
        <v>157.16</v>
      </c>
      <c r="BQ184" t="s">
        <v>160</v>
      </c>
      <c r="BR184" t="s">
        <v>107</v>
      </c>
      <c r="BS184" s="3">
        <v>44823</v>
      </c>
      <c r="BT184" s="4">
        <v>0.375</v>
      </c>
      <c r="BU184" t="s">
        <v>161</v>
      </c>
      <c r="BV184" t="s">
        <v>109</v>
      </c>
      <c r="BY184">
        <v>1200</v>
      </c>
      <c r="BZ184" t="s">
        <v>110</v>
      </c>
      <c r="CC184" t="s">
        <v>159</v>
      </c>
      <c r="CD184">
        <v>2940</v>
      </c>
      <c r="CE184" t="s">
        <v>85</v>
      </c>
      <c r="CI184">
        <v>1</v>
      </c>
      <c r="CJ184">
        <v>2</v>
      </c>
      <c r="CK184">
        <v>23</v>
      </c>
    </row>
    <row r="185" spans="1:89" x14ac:dyDescent="0.3">
      <c r="A185" t="s">
        <v>72</v>
      </c>
      <c r="B185" t="s">
        <v>73</v>
      </c>
      <c r="C185" t="s">
        <v>74</v>
      </c>
      <c r="E185" t="str">
        <f>"080010593047"</f>
        <v>080010593047</v>
      </c>
      <c r="F185" s="3">
        <v>44819</v>
      </c>
      <c r="G185">
        <v>202306</v>
      </c>
      <c r="H185" t="s">
        <v>212</v>
      </c>
      <c r="I185" t="s">
        <v>213</v>
      </c>
      <c r="J185" t="s">
        <v>241</v>
      </c>
      <c r="L185" t="s">
        <v>75</v>
      </c>
      <c r="M185" t="s">
        <v>76</v>
      </c>
      <c r="N185" t="s">
        <v>438</v>
      </c>
      <c r="O185" t="s">
        <v>105</v>
      </c>
      <c r="P185" t="str">
        <f>"-"</f>
        <v>-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26.99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70.53</v>
      </c>
      <c r="BM185">
        <v>10.58</v>
      </c>
      <c r="BN185">
        <v>81.11</v>
      </c>
      <c r="BO185">
        <v>81.11</v>
      </c>
      <c r="BP185" t="s">
        <v>145</v>
      </c>
      <c r="BQ185" t="s">
        <v>439</v>
      </c>
      <c r="BR185" t="s">
        <v>243</v>
      </c>
      <c r="BS185" s="3">
        <v>44820</v>
      </c>
      <c r="BT185" s="4">
        <v>0.57638888888888895</v>
      </c>
      <c r="BU185" t="s">
        <v>78</v>
      </c>
      <c r="BV185" t="s">
        <v>109</v>
      </c>
      <c r="BY185">
        <v>1200</v>
      </c>
      <c r="BZ185" t="s">
        <v>110</v>
      </c>
      <c r="CC185" t="s">
        <v>76</v>
      </c>
      <c r="CD185">
        <v>6530</v>
      </c>
      <c r="CE185" t="s">
        <v>244</v>
      </c>
      <c r="CI185">
        <v>1</v>
      </c>
      <c r="CJ185">
        <v>1</v>
      </c>
      <c r="CK185">
        <v>21</v>
      </c>
    </row>
    <row r="186" spans="1:89" x14ac:dyDescent="0.3">
      <c r="A186" t="s">
        <v>72</v>
      </c>
      <c r="B186" t="s">
        <v>73</v>
      </c>
      <c r="C186" t="s">
        <v>74</v>
      </c>
      <c r="E186" t="str">
        <f>"080010593029"</f>
        <v>080010593029</v>
      </c>
      <c r="F186" s="3">
        <v>44819</v>
      </c>
      <c r="G186">
        <v>202306</v>
      </c>
      <c r="H186" t="s">
        <v>212</v>
      </c>
      <c r="I186" t="s">
        <v>213</v>
      </c>
      <c r="J186" t="s">
        <v>241</v>
      </c>
      <c r="L186" t="s">
        <v>78</v>
      </c>
      <c r="M186" t="s">
        <v>79</v>
      </c>
      <c r="N186" t="s">
        <v>440</v>
      </c>
      <c r="O186" t="s">
        <v>105</v>
      </c>
      <c r="P186" t="str">
        <f>"-"</f>
        <v>-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21.09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55.1</v>
      </c>
      <c r="BM186">
        <v>8.27</v>
      </c>
      <c r="BN186">
        <v>63.37</v>
      </c>
      <c r="BO186">
        <v>63.37</v>
      </c>
      <c r="BP186" t="s">
        <v>145</v>
      </c>
      <c r="BQ186" t="s">
        <v>441</v>
      </c>
      <c r="BR186" t="s">
        <v>243</v>
      </c>
      <c r="BS186" s="3">
        <v>44820</v>
      </c>
      <c r="BT186" s="4">
        <v>0.36944444444444446</v>
      </c>
      <c r="BU186" t="s">
        <v>442</v>
      </c>
      <c r="BV186" t="s">
        <v>83</v>
      </c>
      <c r="BY186">
        <v>1200</v>
      </c>
      <c r="BZ186" t="s">
        <v>110</v>
      </c>
      <c r="CA186" t="s">
        <v>211</v>
      </c>
      <c r="CC186" t="s">
        <v>79</v>
      </c>
      <c r="CD186">
        <v>2090</v>
      </c>
      <c r="CE186" t="s">
        <v>244</v>
      </c>
      <c r="CI186">
        <v>1</v>
      </c>
      <c r="CJ186">
        <v>1</v>
      </c>
      <c r="CK186">
        <v>22</v>
      </c>
    </row>
    <row r="187" spans="1:89" x14ac:dyDescent="0.3">
      <c r="A187" t="s">
        <v>72</v>
      </c>
      <c r="B187" t="s">
        <v>73</v>
      </c>
      <c r="C187" t="s">
        <v>74</v>
      </c>
      <c r="E187" t="str">
        <f>"080010593034"</f>
        <v>080010593034</v>
      </c>
      <c r="F187" s="3">
        <v>44819</v>
      </c>
      <c r="G187">
        <v>202306</v>
      </c>
      <c r="H187" t="s">
        <v>212</v>
      </c>
      <c r="I187" t="s">
        <v>213</v>
      </c>
      <c r="J187" t="s">
        <v>241</v>
      </c>
      <c r="L187" t="s">
        <v>147</v>
      </c>
      <c r="M187" t="s">
        <v>148</v>
      </c>
      <c r="N187" t="s">
        <v>80</v>
      </c>
      <c r="O187" t="s">
        <v>105</v>
      </c>
      <c r="P187" t="str">
        <f>"-"</f>
        <v>-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26.99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70.53</v>
      </c>
      <c r="BM187">
        <v>10.58</v>
      </c>
      <c r="BN187">
        <v>81.11</v>
      </c>
      <c r="BO187">
        <v>81.11</v>
      </c>
      <c r="BP187" t="s">
        <v>145</v>
      </c>
      <c r="BQ187" t="s">
        <v>443</v>
      </c>
      <c r="BR187" t="s">
        <v>243</v>
      </c>
      <c r="BS187" s="3">
        <v>44820</v>
      </c>
      <c r="BT187" s="4">
        <v>0.35902777777777778</v>
      </c>
      <c r="BU187" t="s">
        <v>444</v>
      </c>
      <c r="BV187" t="s">
        <v>83</v>
      </c>
      <c r="BY187">
        <v>1200</v>
      </c>
      <c r="BZ187" t="s">
        <v>110</v>
      </c>
      <c r="CA187" t="s">
        <v>195</v>
      </c>
      <c r="CC187" t="s">
        <v>148</v>
      </c>
      <c r="CD187">
        <v>7700</v>
      </c>
      <c r="CE187" t="s">
        <v>244</v>
      </c>
      <c r="CI187">
        <v>1</v>
      </c>
      <c r="CJ187">
        <v>1</v>
      </c>
      <c r="CK187">
        <v>21</v>
      </c>
    </row>
    <row r="188" spans="1:89" x14ac:dyDescent="0.3">
      <c r="A188" t="s">
        <v>72</v>
      </c>
      <c r="B188" t="s">
        <v>73</v>
      </c>
      <c r="C188" t="s">
        <v>74</v>
      </c>
      <c r="E188" t="str">
        <f>"080010593044"</f>
        <v>080010593044</v>
      </c>
      <c r="F188" s="3">
        <v>44819</v>
      </c>
      <c r="G188">
        <v>202306</v>
      </c>
      <c r="H188" t="s">
        <v>212</v>
      </c>
      <c r="I188" t="s">
        <v>213</v>
      </c>
      <c r="J188" t="s">
        <v>241</v>
      </c>
      <c r="L188" t="s">
        <v>112</v>
      </c>
      <c r="M188" t="s">
        <v>113</v>
      </c>
      <c r="N188" t="s">
        <v>445</v>
      </c>
      <c r="O188" t="s">
        <v>105</v>
      </c>
      <c r="P188" t="str">
        <f>"-"</f>
        <v>-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26.99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70.53</v>
      </c>
      <c r="BM188">
        <v>10.58</v>
      </c>
      <c r="BN188">
        <v>81.11</v>
      </c>
      <c r="BO188">
        <v>81.11</v>
      </c>
      <c r="BP188" t="s">
        <v>145</v>
      </c>
      <c r="BQ188" t="s">
        <v>446</v>
      </c>
      <c r="BR188" t="s">
        <v>243</v>
      </c>
      <c r="BS188" s="3">
        <v>44820</v>
      </c>
      <c r="BT188" s="4">
        <v>0.49652777777777773</v>
      </c>
      <c r="BU188" t="s">
        <v>293</v>
      </c>
      <c r="BV188" t="s">
        <v>109</v>
      </c>
      <c r="BY188">
        <v>1200</v>
      </c>
      <c r="BZ188" t="s">
        <v>110</v>
      </c>
      <c r="CA188" t="s">
        <v>258</v>
      </c>
      <c r="CC188" t="s">
        <v>113</v>
      </c>
      <c r="CD188">
        <v>9301</v>
      </c>
      <c r="CE188" t="s">
        <v>244</v>
      </c>
      <c r="CI188">
        <v>1</v>
      </c>
      <c r="CJ188">
        <v>1</v>
      </c>
      <c r="CK188">
        <v>21</v>
      </c>
    </row>
    <row r="189" spans="1:89" x14ac:dyDescent="0.3">
      <c r="A189" t="s">
        <v>72</v>
      </c>
      <c r="B189" t="s">
        <v>73</v>
      </c>
      <c r="C189" t="s">
        <v>74</v>
      </c>
      <c r="E189" t="str">
        <f>"009942665853"</f>
        <v>009942665853</v>
      </c>
      <c r="F189" s="3">
        <v>44819</v>
      </c>
      <c r="G189">
        <v>202306</v>
      </c>
      <c r="H189" t="s">
        <v>266</v>
      </c>
      <c r="I189" t="s">
        <v>267</v>
      </c>
      <c r="J189" t="s">
        <v>80</v>
      </c>
      <c r="L189" t="s">
        <v>151</v>
      </c>
      <c r="M189" t="s">
        <v>152</v>
      </c>
      <c r="N189" t="s">
        <v>447</v>
      </c>
      <c r="O189" t="s">
        <v>81</v>
      </c>
      <c r="P189" t="str">
        <f>""</f>
        <v/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52.2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141.65</v>
      </c>
      <c r="BM189">
        <v>21.25</v>
      </c>
      <c r="BN189">
        <v>162.9</v>
      </c>
      <c r="BO189">
        <v>162.9</v>
      </c>
      <c r="BQ189" t="s">
        <v>379</v>
      </c>
      <c r="BR189" t="s">
        <v>377</v>
      </c>
      <c r="BS189" s="3">
        <v>44824</v>
      </c>
      <c r="BT189" s="4">
        <v>0.3972222222222222</v>
      </c>
      <c r="BU189" t="s">
        <v>156</v>
      </c>
      <c r="BV189" t="s">
        <v>83</v>
      </c>
      <c r="BY189">
        <v>1200</v>
      </c>
      <c r="BZ189" t="s">
        <v>84</v>
      </c>
      <c r="CA189" t="s">
        <v>157</v>
      </c>
      <c r="CC189" t="s">
        <v>152</v>
      </c>
      <c r="CD189">
        <v>1682</v>
      </c>
      <c r="CE189" t="s">
        <v>380</v>
      </c>
      <c r="CI189">
        <v>0</v>
      </c>
      <c r="CJ189">
        <v>0</v>
      </c>
      <c r="CK189">
        <v>41</v>
      </c>
    </row>
    <row r="190" spans="1:89" x14ac:dyDescent="0.3">
      <c r="A190" t="s">
        <v>72</v>
      </c>
      <c r="B190" t="s">
        <v>73</v>
      </c>
      <c r="C190" t="s">
        <v>74</v>
      </c>
      <c r="E190" t="str">
        <f>"009942317370"</f>
        <v>009942317370</v>
      </c>
      <c r="F190" s="3">
        <v>44819</v>
      </c>
      <c r="G190">
        <v>202306</v>
      </c>
      <c r="H190" t="s">
        <v>94</v>
      </c>
      <c r="I190" t="s">
        <v>95</v>
      </c>
      <c r="J190" t="s">
        <v>80</v>
      </c>
      <c r="L190" t="s">
        <v>78</v>
      </c>
      <c r="M190" t="s">
        <v>79</v>
      </c>
      <c r="N190" t="s">
        <v>80</v>
      </c>
      <c r="O190" t="s">
        <v>81</v>
      </c>
      <c r="P190" t="str">
        <f>""</f>
        <v/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52.2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141.65</v>
      </c>
      <c r="BM190">
        <v>21.25</v>
      </c>
      <c r="BN190">
        <v>162.9</v>
      </c>
      <c r="BO190">
        <v>162.9</v>
      </c>
      <c r="BQ190" t="s">
        <v>448</v>
      </c>
      <c r="BR190" t="s">
        <v>449</v>
      </c>
      <c r="BS190" s="3">
        <v>44820</v>
      </c>
      <c r="BT190" s="4">
        <v>0.36944444444444446</v>
      </c>
      <c r="BU190" t="s">
        <v>442</v>
      </c>
      <c r="BV190" t="s">
        <v>83</v>
      </c>
      <c r="BY190">
        <v>1200</v>
      </c>
      <c r="BZ190" t="s">
        <v>84</v>
      </c>
      <c r="CA190" t="s">
        <v>211</v>
      </c>
      <c r="CC190" t="s">
        <v>79</v>
      </c>
      <c r="CD190">
        <v>2196</v>
      </c>
      <c r="CE190" t="s">
        <v>85</v>
      </c>
      <c r="CI190">
        <v>3</v>
      </c>
      <c r="CJ190">
        <v>1</v>
      </c>
      <c r="CK190">
        <v>41</v>
      </c>
    </row>
    <row r="191" spans="1:89" x14ac:dyDescent="0.3">
      <c r="A191" t="s">
        <v>72</v>
      </c>
      <c r="B191" t="s">
        <v>73</v>
      </c>
      <c r="C191" t="s">
        <v>74</v>
      </c>
      <c r="E191" t="str">
        <f>"009942724010"</f>
        <v>009942724010</v>
      </c>
      <c r="F191" s="3">
        <v>44819</v>
      </c>
      <c r="G191">
        <v>202306</v>
      </c>
      <c r="H191" t="s">
        <v>96</v>
      </c>
      <c r="I191" t="s">
        <v>97</v>
      </c>
      <c r="J191" t="s">
        <v>80</v>
      </c>
      <c r="L191" t="s">
        <v>131</v>
      </c>
      <c r="M191" t="s">
        <v>132</v>
      </c>
      <c r="N191" t="s">
        <v>450</v>
      </c>
      <c r="O191" t="s">
        <v>105</v>
      </c>
      <c r="P191" t="str">
        <f t="shared" ref="P191:P203" si="6">"LOCKS"</f>
        <v>LOCKS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64.11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0.8</v>
      </c>
      <c r="BJ191">
        <v>2.4</v>
      </c>
      <c r="BK191">
        <v>2.5</v>
      </c>
      <c r="BL191">
        <v>167.52</v>
      </c>
      <c r="BM191">
        <v>25.13</v>
      </c>
      <c r="BN191">
        <v>192.65</v>
      </c>
      <c r="BO191">
        <v>192.65</v>
      </c>
      <c r="BQ191" t="s">
        <v>451</v>
      </c>
      <c r="BR191" t="s">
        <v>115</v>
      </c>
      <c r="BS191" s="3">
        <v>44820</v>
      </c>
      <c r="BT191" s="4">
        <v>0.62847222222222221</v>
      </c>
      <c r="BU191" t="s">
        <v>452</v>
      </c>
      <c r="BV191" t="s">
        <v>83</v>
      </c>
      <c r="BY191">
        <v>12196.8</v>
      </c>
      <c r="BZ191" t="s">
        <v>110</v>
      </c>
      <c r="CA191" t="s">
        <v>322</v>
      </c>
      <c r="CC191" t="s">
        <v>132</v>
      </c>
      <c r="CD191">
        <v>1150</v>
      </c>
      <c r="CE191" t="s">
        <v>85</v>
      </c>
      <c r="CI191">
        <v>1</v>
      </c>
      <c r="CJ191">
        <v>1</v>
      </c>
      <c r="CK191">
        <v>23</v>
      </c>
    </row>
    <row r="192" spans="1:89" x14ac:dyDescent="0.3">
      <c r="A192" t="s">
        <v>72</v>
      </c>
      <c r="B192" t="s">
        <v>73</v>
      </c>
      <c r="C192" t="s">
        <v>74</v>
      </c>
      <c r="E192" t="str">
        <f>"009941856075"</f>
        <v>009941856075</v>
      </c>
      <c r="F192" s="3">
        <v>44819</v>
      </c>
      <c r="G192">
        <v>202306</v>
      </c>
      <c r="H192" t="s">
        <v>96</v>
      </c>
      <c r="I192" t="s">
        <v>97</v>
      </c>
      <c r="J192" t="s">
        <v>80</v>
      </c>
      <c r="L192" t="s">
        <v>147</v>
      </c>
      <c r="M192" t="s">
        <v>148</v>
      </c>
      <c r="N192" t="s">
        <v>80</v>
      </c>
      <c r="O192" t="s">
        <v>105</v>
      </c>
      <c r="P192" t="str">
        <f t="shared" si="6"/>
        <v>LOCKS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26.99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70.53</v>
      </c>
      <c r="BM192">
        <v>10.58</v>
      </c>
      <c r="BN192">
        <v>81.11</v>
      </c>
      <c r="BO192">
        <v>81.11</v>
      </c>
      <c r="BQ192" t="s">
        <v>193</v>
      </c>
      <c r="BR192" t="s">
        <v>107</v>
      </c>
      <c r="BS192" s="3">
        <v>44820</v>
      </c>
      <c r="BT192" s="4">
        <v>0.35902777777777778</v>
      </c>
      <c r="BU192" t="s">
        <v>389</v>
      </c>
      <c r="BV192" t="s">
        <v>83</v>
      </c>
      <c r="BY192">
        <v>1200</v>
      </c>
      <c r="BZ192" t="s">
        <v>110</v>
      </c>
      <c r="CA192" t="s">
        <v>195</v>
      </c>
      <c r="CC192" t="s">
        <v>148</v>
      </c>
      <c r="CD192">
        <v>7925</v>
      </c>
      <c r="CE192" t="s">
        <v>85</v>
      </c>
      <c r="CI192">
        <v>1</v>
      </c>
      <c r="CJ192">
        <v>1</v>
      </c>
      <c r="CK192">
        <v>21</v>
      </c>
    </row>
    <row r="193" spans="1:89" x14ac:dyDescent="0.3">
      <c r="A193" t="s">
        <v>72</v>
      </c>
      <c r="B193" t="s">
        <v>73</v>
      </c>
      <c r="C193" t="s">
        <v>74</v>
      </c>
      <c r="E193" t="str">
        <f>"009939616631"</f>
        <v>009939616631</v>
      </c>
      <c r="F193" s="3">
        <v>44819</v>
      </c>
      <c r="G193">
        <v>202306</v>
      </c>
      <c r="H193" t="s">
        <v>96</v>
      </c>
      <c r="I193" t="s">
        <v>97</v>
      </c>
      <c r="J193" t="s">
        <v>80</v>
      </c>
      <c r="L193" t="s">
        <v>102</v>
      </c>
      <c r="M193" t="s">
        <v>103</v>
      </c>
      <c r="N193" t="s">
        <v>80</v>
      </c>
      <c r="O193" t="s">
        <v>105</v>
      </c>
      <c r="P193" t="str">
        <f t="shared" si="6"/>
        <v>LOCKS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52.3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1.2</v>
      </c>
      <c r="BK193">
        <v>1.5</v>
      </c>
      <c r="BL193">
        <v>151.66</v>
      </c>
      <c r="BM193">
        <v>22.75</v>
      </c>
      <c r="BN193">
        <v>174.41</v>
      </c>
      <c r="BO193">
        <v>174.41</v>
      </c>
      <c r="BQ193" t="s">
        <v>453</v>
      </c>
      <c r="BR193" t="s">
        <v>124</v>
      </c>
      <c r="BS193" s="3">
        <v>44820</v>
      </c>
      <c r="BT193" s="4">
        <v>0.75</v>
      </c>
      <c r="BU193" t="s">
        <v>108</v>
      </c>
      <c r="BV193" t="s">
        <v>109</v>
      </c>
      <c r="BY193">
        <v>5773.32</v>
      </c>
      <c r="BZ193" t="s">
        <v>146</v>
      </c>
      <c r="CA193" t="s">
        <v>111</v>
      </c>
      <c r="CC193" t="s">
        <v>103</v>
      </c>
      <c r="CD193">
        <v>922</v>
      </c>
      <c r="CE193" t="s">
        <v>85</v>
      </c>
      <c r="CI193">
        <v>1</v>
      </c>
      <c r="CJ193">
        <v>1</v>
      </c>
      <c r="CK193">
        <v>23</v>
      </c>
    </row>
    <row r="194" spans="1:89" x14ac:dyDescent="0.3">
      <c r="A194" t="s">
        <v>72</v>
      </c>
      <c r="B194" t="s">
        <v>73</v>
      </c>
      <c r="C194" t="s">
        <v>74</v>
      </c>
      <c r="E194" t="str">
        <f>"009941332865"</f>
        <v>009941332865</v>
      </c>
      <c r="F194" s="3">
        <v>44819</v>
      </c>
      <c r="G194">
        <v>202306</v>
      </c>
      <c r="H194" t="s">
        <v>96</v>
      </c>
      <c r="I194" t="s">
        <v>97</v>
      </c>
      <c r="J194" t="s">
        <v>80</v>
      </c>
      <c r="L194" t="s">
        <v>119</v>
      </c>
      <c r="M194" t="s">
        <v>120</v>
      </c>
      <c r="N194" t="s">
        <v>80</v>
      </c>
      <c r="O194" t="s">
        <v>81</v>
      </c>
      <c r="P194" t="str">
        <f t="shared" si="6"/>
        <v>LOCKS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84.48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29.7</v>
      </c>
      <c r="BJ194">
        <v>27.3</v>
      </c>
      <c r="BK194">
        <v>30</v>
      </c>
      <c r="BL194">
        <v>225.98</v>
      </c>
      <c r="BM194">
        <v>33.9</v>
      </c>
      <c r="BN194">
        <v>259.88</v>
      </c>
      <c r="BO194">
        <v>259.88</v>
      </c>
      <c r="BQ194" t="s">
        <v>115</v>
      </c>
      <c r="BR194" t="s">
        <v>115</v>
      </c>
      <c r="BS194" s="3">
        <v>44820</v>
      </c>
      <c r="BT194" s="4">
        <v>0.5229166666666667</v>
      </c>
      <c r="BU194" t="s">
        <v>454</v>
      </c>
      <c r="BV194" t="s">
        <v>83</v>
      </c>
      <c r="BY194">
        <v>136456.10999999999</v>
      </c>
      <c r="BZ194" t="s">
        <v>84</v>
      </c>
      <c r="CA194" t="s">
        <v>455</v>
      </c>
      <c r="CC194" t="s">
        <v>120</v>
      </c>
      <c r="CD194">
        <v>4091</v>
      </c>
      <c r="CE194" t="s">
        <v>85</v>
      </c>
      <c r="CI194">
        <v>4</v>
      </c>
      <c r="CJ194">
        <v>1</v>
      </c>
      <c r="CK194">
        <v>41</v>
      </c>
    </row>
    <row r="195" spans="1:89" x14ac:dyDescent="0.3">
      <c r="A195" t="s">
        <v>72</v>
      </c>
      <c r="B195" t="s">
        <v>73</v>
      </c>
      <c r="C195" t="s">
        <v>74</v>
      </c>
      <c r="E195" t="str">
        <f>"009942724009"</f>
        <v>009942724009</v>
      </c>
      <c r="F195" s="3">
        <v>44819</v>
      </c>
      <c r="G195">
        <v>202306</v>
      </c>
      <c r="H195" t="s">
        <v>96</v>
      </c>
      <c r="I195" t="s">
        <v>97</v>
      </c>
      <c r="J195" t="s">
        <v>80</v>
      </c>
      <c r="L195" t="s">
        <v>162</v>
      </c>
      <c r="M195" t="s">
        <v>163</v>
      </c>
      <c r="N195" t="s">
        <v>80</v>
      </c>
      <c r="O195" t="s">
        <v>105</v>
      </c>
      <c r="P195" t="str">
        <f t="shared" si="6"/>
        <v>LOCKS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26.99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70.53</v>
      </c>
      <c r="BM195">
        <v>10.58</v>
      </c>
      <c r="BN195">
        <v>81.11</v>
      </c>
      <c r="BO195">
        <v>81.11</v>
      </c>
      <c r="BQ195" t="s">
        <v>294</v>
      </c>
      <c r="BR195" t="s">
        <v>107</v>
      </c>
      <c r="BS195" s="3">
        <v>44824</v>
      </c>
      <c r="BT195" s="4">
        <v>0.40972222222222227</v>
      </c>
      <c r="BU195" t="s">
        <v>165</v>
      </c>
      <c r="BV195" t="s">
        <v>109</v>
      </c>
      <c r="BY195">
        <v>1200</v>
      </c>
      <c r="BZ195" t="s">
        <v>110</v>
      </c>
      <c r="CC195" t="s">
        <v>163</v>
      </c>
      <c r="CD195">
        <v>3900</v>
      </c>
      <c r="CE195" t="s">
        <v>85</v>
      </c>
      <c r="CI195">
        <v>1</v>
      </c>
      <c r="CJ195">
        <v>3</v>
      </c>
      <c r="CK195">
        <v>21</v>
      </c>
    </row>
    <row r="196" spans="1:89" x14ac:dyDescent="0.3">
      <c r="A196" t="s">
        <v>72</v>
      </c>
      <c r="B196" t="s">
        <v>73</v>
      </c>
      <c r="C196" t="s">
        <v>74</v>
      </c>
      <c r="E196" t="str">
        <f>"009941618845"</f>
        <v>009941618845</v>
      </c>
      <c r="F196" s="3">
        <v>44819</v>
      </c>
      <c r="G196">
        <v>202306</v>
      </c>
      <c r="H196" t="s">
        <v>96</v>
      </c>
      <c r="I196" t="s">
        <v>97</v>
      </c>
      <c r="J196" t="s">
        <v>80</v>
      </c>
      <c r="L196" t="s">
        <v>136</v>
      </c>
      <c r="M196" t="s">
        <v>137</v>
      </c>
      <c r="N196" t="s">
        <v>80</v>
      </c>
      <c r="O196" t="s">
        <v>81</v>
      </c>
      <c r="P196" t="str">
        <f t="shared" si="6"/>
        <v>LOCKS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73.63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3.7</v>
      </c>
      <c r="BK196">
        <v>4</v>
      </c>
      <c r="BL196">
        <v>197.63</v>
      </c>
      <c r="BM196">
        <v>29.64</v>
      </c>
      <c r="BN196">
        <v>227.27</v>
      </c>
      <c r="BO196">
        <v>227.27</v>
      </c>
      <c r="BQ196" t="s">
        <v>138</v>
      </c>
      <c r="BR196" t="s">
        <v>107</v>
      </c>
      <c r="BS196" s="3">
        <v>44820</v>
      </c>
      <c r="BT196" s="4">
        <v>0.39861111111111108</v>
      </c>
      <c r="BU196" t="s">
        <v>218</v>
      </c>
      <c r="BV196" t="s">
        <v>83</v>
      </c>
      <c r="BY196">
        <v>18341.93</v>
      </c>
      <c r="BZ196" t="s">
        <v>84</v>
      </c>
      <c r="CA196" t="s">
        <v>140</v>
      </c>
      <c r="CC196" t="s">
        <v>137</v>
      </c>
      <c r="CD196">
        <v>1034</v>
      </c>
      <c r="CE196" t="s">
        <v>85</v>
      </c>
      <c r="CI196">
        <v>4</v>
      </c>
      <c r="CJ196">
        <v>1</v>
      </c>
      <c r="CK196">
        <v>43</v>
      </c>
    </row>
    <row r="197" spans="1:89" x14ac:dyDescent="0.3">
      <c r="A197" t="s">
        <v>72</v>
      </c>
      <c r="B197" t="s">
        <v>73</v>
      </c>
      <c r="C197" t="s">
        <v>74</v>
      </c>
      <c r="E197" t="str">
        <f>"009941618843"</f>
        <v>009941618843</v>
      </c>
      <c r="F197" s="3">
        <v>44819</v>
      </c>
      <c r="G197">
        <v>202306</v>
      </c>
      <c r="H197" t="s">
        <v>96</v>
      </c>
      <c r="I197" t="s">
        <v>97</v>
      </c>
      <c r="J197" t="s">
        <v>80</v>
      </c>
      <c r="L197" t="s">
        <v>136</v>
      </c>
      <c r="M197" t="s">
        <v>137</v>
      </c>
      <c r="N197" t="s">
        <v>80</v>
      </c>
      <c r="O197" t="s">
        <v>105</v>
      </c>
      <c r="P197" t="str">
        <f t="shared" si="6"/>
        <v>LOCKS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52.3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136.66</v>
      </c>
      <c r="BM197">
        <v>20.5</v>
      </c>
      <c r="BN197">
        <v>157.16</v>
      </c>
      <c r="BO197">
        <v>157.16</v>
      </c>
      <c r="BQ197" t="s">
        <v>138</v>
      </c>
      <c r="BR197" t="s">
        <v>107</v>
      </c>
      <c r="BS197" s="3">
        <v>44820</v>
      </c>
      <c r="BT197" s="4">
        <v>0.39861111111111108</v>
      </c>
      <c r="BU197" t="s">
        <v>218</v>
      </c>
      <c r="BV197" t="s">
        <v>83</v>
      </c>
      <c r="BY197">
        <v>1200</v>
      </c>
      <c r="BZ197" t="s">
        <v>110</v>
      </c>
      <c r="CA197" t="s">
        <v>140</v>
      </c>
      <c r="CC197" t="s">
        <v>137</v>
      </c>
      <c r="CD197">
        <v>1034</v>
      </c>
      <c r="CE197" t="s">
        <v>85</v>
      </c>
      <c r="CI197">
        <v>1</v>
      </c>
      <c r="CJ197">
        <v>1</v>
      </c>
      <c r="CK197">
        <v>23</v>
      </c>
    </row>
    <row r="198" spans="1:89" x14ac:dyDescent="0.3">
      <c r="A198" t="s">
        <v>72</v>
      </c>
      <c r="B198" t="s">
        <v>73</v>
      </c>
      <c r="C198" t="s">
        <v>74</v>
      </c>
      <c r="E198" t="str">
        <f>"009941310029"</f>
        <v>009941310029</v>
      </c>
      <c r="F198" s="3">
        <v>44819</v>
      </c>
      <c r="G198">
        <v>202306</v>
      </c>
      <c r="H198" t="s">
        <v>96</v>
      </c>
      <c r="I198" t="s">
        <v>97</v>
      </c>
      <c r="J198" t="s">
        <v>80</v>
      </c>
      <c r="L198" t="s">
        <v>88</v>
      </c>
      <c r="M198" t="s">
        <v>89</v>
      </c>
      <c r="N198" t="s">
        <v>80</v>
      </c>
      <c r="O198" t="s">
        <v>81</v>
      </c>
      <c r="P198" t="str">
        <f t="shared" si="6"/>
        <v>LOCKS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348.35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87.2</v>
      </c>
      <c r="BJ198">
        <v>75</v>
      </c>
      <c r="BK198">
        <v>88</v>
      </c>
      <c r="BL198">
        <v>915.46</v>
      </c>
      <c r="BM198">
        <v>137.32</v>
      </c>
      <c r="BN198">
        <v>1052.78</v>
      </c>
      <c r="BO198">
        <v>1052.78</v>
      </c>
      <c r="BQ198" t="s">
        <v>117</v>
      </c>
      <c r="BR198" t="s">
        <v>115</v>
      </c>
      <c r="BS198" s="3">
        <v>44820</v>
      </c>
      <c r="BT198" s="4">
        <v>0.51180555555555551</v>
      </c>
      <c r="BU198" t="s">
        <v>92</v>
      </c>
      <c r="BV198" t="s">
        <v>83</v>
      </c>
      <c r="BY198">
        <v>375228.14</v>
      </c>
      <c r="BZ198" t="s">
        <v>84</v>
      </c>
      <c r="CA198" t="s">
        <v>255</v>
      </c>
      <c r="CC198" t="s">
        <v>89</v>
      </c>
      <c r="CD198">
        <v>300</v>
      </c>
      <c r="CE198" t="s">
        <v>85</v>
      </c>
      <c r="CI198">
        <v>4</v>
      </c>
      <c r="CJ198">
        <v>1</v>
      </c>
      <c r="CK198">
        <v>43</v>
      </c>
    </row>
    <row r="199" spans="1:89" x14ac:dyDescent="0.3">
      <c r="A199" t="s">
        <v>72</v>
      </c>
      <c r="B199" t="s">
        <v>73</v>
      </c>
      <c r="C199" t="s">
        <v>74</v>
      </c>
      <c r="E199" t="str">
        <f>"009942724008"</f>
        <v>009942724008</v>
      </c>
      <c r="F199" s="3">
        <v>44819</v>
      </c>
      <c r="G199">
        <v>202306</v>
      </c>
      <c r="H199" t="s">
        <v>96</v>
      </c>
      <c r="I199" t="s">
        <v>97</v>
      </c>
      <c r="J199" t="s">
        <v>80</v>
      </c>
      <c r="L199" t="s">
        <v>125</v>
      </c>
      <c r="M199" t="s">
        <v>126</v>
      </c>
      <c r="N199" t="s">
        <v>80</v>
      </c>
      <c r="O199" t="s">
        <v>105</v>
      </c>
      <c r="P199" t="str">
        <f t="shared" si="6"/>
        <v>LOCKS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26.99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70.53</v>
      </c>
      <c r="BM199">
        <v>10.58</v>
      </c>
      <c r="BN199">
        <v>81.11</v>
      </c>
      <c r="BO199">
        <v>81.11</v>
      </c>
      <c r="BQ199" t="s">
        <v>456</v>
      </c>
      <c r="BR199" t="s">
        <v>107</v>
      </c>
      <c r="BS199" s="3">
        <v>44823</v>
      </c>
      <c r="BT199" s="4">
        <v>0.45833333333333331</v>
      </c>
      <c r="BU199" t="s">
        <v>292</v>
      </c>
      <c r="BV199" t="s">
        <v>109</v>
      </c>
      <c r="BY199">
        <v>1200</v>
      </c>
      <c r="BZ199" t="s">
        <v>110</v>
      </c>
      <c r="CC199" t="s">
        <v>126</v>
      </c>
      <c r="CD199">
        <v>3201</v>
      </c>
      <c r="CE199" t="s">
        <v>85</v>
      </c>
      <c r="CI199">
        <v>1</v>
      </c>
      <c r="CJ199">
        <v>2</v>
      </c>
      <c r="CK199">
        <v>21</v>
      </c>
    </row>
    <row r="200" spans="1:89" x14ac:dyDescent="0.3">
      <c r="A200" t="s">
        <v>72</v>
      </c>
      <c r="B200" t="s">
        <v>73</v>
      </c>
      <c r="C200" t="s">
        <v>74</v>
      </c>
      <c r="E200" t="str">
        <f>"009942724007"</f>
        <v>009942724007</v>
      </c>
      <c r="F200" s="3">
        <v>44819</v>
      </c>
      <c r="G200">
        <v>202306</v>
      </c>
      <c r="H200" t="s">
        <v>96</v>
      </c>
      <c r="I200" t="s">
        <v>97</v>
      </c>
      <c r="J200" t="s">
        <v>80</v>
      </c>
      <c r="L200" t="s">
        <v>225</v>
      </c>
      <c r="M200" t="s">
        <v>226</v>
      </c>
      <c r="N200" t="s">
        <v>80</v>
      </c>
      <c r="O200" t="s">
        <v>421</v>
      </c>
      <c r="P200" t="str">
        <f t="shared" si="6"/>
        <v>LOCKS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52.3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136.66</v>
      </c>
      <c r="BM200">
        <v>20.5</v>
      </c>
      <c r="BN200">
        <v>157.16</v>
      </c>
      <c r="BO200">
        <v>157.16</v>
      </c>
      <c r="BQ200" t="s">
        <v>457</v>
      </c>
      <c r="BR200" t="s">
        <v>107</v>
      </c>
      <c r="BS200" s="3">
        <v>44820</v>
      </c>
      <c r="BT200" s="4">
        <v>0.4381944444444445</v>
      </c>
      <c r="BU200" t="s">
        <v>228</v>
      </c>
      <c r="BV200" t="s">
        <v>83</v>
      </c>
      <c r="BY200">
        <v>1200</v>
      </c>
      <c r="BZ200" t="s">
        <v>84</v>
      </c>
      <c r="CA200" t="s">
        <v>229</v>
      </c>
      <c r="CC200" t="s">
        <v>226</v>
      </c>
      <c r="CD200">
        <v>4240</v>
      </c>
      <c r="CE200" t="s">
        <v>85</v>
      </c>
      <c r="CI200">
        <v>1</v>
      </c>
      <c r="CJ200">
        <v>1</v>
      </c>
      <c r="CK200">
        <v>33</v>
      </c>
    </row>
    <row r="201" spans="1:89" x14ac:dyDescent="0.3">
      <c r="A201" t="s">
        <v>72</v>
      </c>
      <c r="B201" t="s">
        <v>73</v>
      </c>
      <c r="C201" t="s">
        <v>74</v>
      </c>
      <c r="E201" t="str">
        <f>"009942724006"</f>
        <v>009942724006</v>
      </c>
      <c r="F201" s="3">
        <v>44819</v>
      </c>
      <c r="G201">
        <v>202306</v>
      </c>
      <c r="H201" t="s">
        <v>96</v>
      </c>
      <c r="I201" t="s">
        <v>97</v>
      </c>
      <c r="J201" t="s">
        <v>80</v>
      </c>
      <c r="L201" t="s">
        <v>458</v>
      </c>
      <c r="M201" t="s">
        <v>459</v>
      </c>
      <c r="N201" t="s">
        <v>80</v>
      </c>
      <c r="O201" t="s">
        <v>105</v>
      </c>
      <c r="P201" t="str">
        <f t="shared" si="6"/>
        <v>LOCKS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52.3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136.66</v>
      </c>
      <c r="BM201">
        <v>20.5</v>
      </c>
      <c r="BN201">
        <v>157.16</v>
      </c>
      <c r="BO201">
        <v>157.16</v>
      </c>
      <c r="BQ201" t="s">
        <v>460</v>
      </c>
      <c r="BR201" t="s">
        <v>107</v>
      </c>
      <c r="BS201" s="3">
        <v>44820</v>
      </c>
      <c r="BT201" s="4">
        <v>0.47500000000000003</v>
      </c>
      <c r="BU201" t="s">
        <v>461</v>
      </c>
      <c r="BV201" t="s">
        <v>83</v>
      </c>
      <c r="BY201">
        <v>1200</v>
      </c>
      <c r="BZ201" t="s">
        <v>110</v>
      </c>
      <c r="CA201" t="s">
        <v>462</v>
      </c>
      <c r="CC201" t="s">
        <v>459</v>
      </c>
      <c r="CD201">
        <v>3370</v>
      </c>
      <c r="CE201" t="s">
        <v>85</v>
      </c>
      <c r="CI201">
        <v>1</v>
      </c>
      <c r="CJ201">
        <v>1</v>
      </c>
      <c r="CK201">
        <v>23</v>
      </c>
    </row>
    <row r="202" spans="1:89" x14ac:dyDescent="0.3">
      <c r="A202" t="s">
        <v>72</v>
      </c>
      <c r="B202" t="s">
        <v>73</v>
      </c>
      <c r="C202" t="s">
        <v>74</v>
      </c>
      <c r="E202" t="str">
        <f>"009942600817"</f>
        <v>009942600817</v>
      </c>
      <c r="F202" s="3">
        <v>44819</v>
      </c>
      <c r="G202">
        <v>202306</v>
      </c>
      <c r="H202" t="s">
        <v>96</v>
      </c>
      <c r="I202" t="s">
        <v>97</v>
      </c>
      <c r="J202" t="s">
        <v>80</v>
      </c>
      <c r="L202" t="s">
        <v>94</v>
      </c>
      <c r="M202" t="s">
        <v>95</v>
      </c>
      <c r="N202" t="s">
        <v>327</v>
      </c>
      <c r="O202" t="s">
        <v>81</v>
      </c>
      <c r="P202" t="str">
        <f t="shared" si="6"/>
        <v>LOCKS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355.55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78</v>
      </c>
      <c r="BJ202">
        <v>156</v>
      </c>
      <c r="BK202">
        <v>156</v>
      </c>
      <c r="BL202">
        <v>934.27</v>
      </c>
      <c r="BM202">
        <v>140.13999999999999</v>
      </c>
      <c r="BN202">
        <v>1074.4100000000001</v>
      </c>
      <c r="BO202">
        <v>1074.4100000000001</v>
      </c>
      <c r="BQ202" t="s">
        <v>285</v>
      </c>
      <c r="BR202" t="s">
        <v>107</v>
      </c>
      <c r="BS202" s="3">
        <v>44823</v>
      </c>
      <c r="BT202" s="4">
        <v>0.57986111111111105</v>
      </c>
      <c r="BU202" t="s">
        <v>463</v>
      </c>
      <c r="BV202" t="s">
        <v>109</v>
      </c>
      <c r="BY202">
        <v>780000</v>
      </c>
      <c r="BZ202" t="s">
        <v>84</v>
      </c>
      <c r="CC202" t="s">
        <v>95</v>
      </c>
      <c r="CD202">
        <v>699</v>
      </c>
      <c r="CE202" t="s">
        <v>85</v>
      </c>
      <c r="CI202">
        <v>3</v>
      </c>
      <c r="CJ202">
        <v>2</v>
      </c>
      <c r="CK202">
        <v>41</v>
      </c>
    </row>
    <row r="203" spans="1:89" x14ac:dyDescent="0.3">
      <c r="A203" t="s">
        <v>72</v>
      </c>
      <c r="B203" t="s">
        <v>73</v>
      </c>
      <c r="C203" t="s">
        <v>74</v>
      </c>
      <c r="E203" t="str">
        <f>"009941856074"</f>
        <v>009941856074</v>
      </c>
      <c r="F203" s="3">
        <v>44820</v>
      </c>
      <c r="G203">
        <v>202306</v>
      </c>
      <c r="H203" t="s">
        <v>96</v>
      </c>
      <c r="I203" t="s">
        <v>97</v>
      </c>
      <c r="J203" t="s">
        <v>80</v>
      </c>
      <c r="L203" t="s">
        <v>147</v>
      </c>
      <c r="M203" t="s">
        <v>148</v>
      </c>
      <c r="N203" t="s">
        <v>80</v>
      </c>
      <c r="O203" t="s">
        <v>105</v>
      </c>
      <c r="P203" t="str">
        <f t="shared" si="6"/>
        <v>LOCKS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53.98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3.7</v>
      </c>
      <c r="BJ203">
        <v>2.4</v>
      </c>
      <c r="BK203">
        <v>4</v>
      </c>
      <c r="BL203">
        <v>141.04</v>
      </c>
      <c r="BM203">
        <v>21.16</v>
      </c>
      <c r="BN203">
        <v>162.19999999999999</v>
      </c>
      <c r="BO203">
        <v>162.19999999999999</v>
      </c>
      <c r="BQ203" t="s">
        <v>464</v>
      </c>
      <c r="BR203" t="s">
        <v>107</v>
      </c>
      <c r="BS203" s="3">
        <v>44823</v>
      </c>
      <c r="BT203" s="4">
        <v>0.3666666666666667</v>
      </c>
      <c r="BU203" t="s">
        <v>389</v>
      </c>
      <c r="BV203" t="s">
        <v>83</v>
      </c>
      <c r="BY203">
        <v>12166.56</v>
      </c>
      <c r="BZ203" t="s">
        <v>110</v>
      </c>
      <c r="CA203" t="s">
        <v>195</v>
      </c>
      <c r="CC203" t="s">
        <v>148</v>
      </c>
      <c r="CD203">
        <v>7700</v>
      </c>
      <c r="CE203" t="s">
        <v>85</v>
      </c>
      <c r="CI203">
        <v>1</v>
      </c>
      <c r="CJ203">
        <v>1</v>
      </c>
      <c r="CK203">
        <v>21</v>
      </c>
    </row>
    <row r="204" spans="1:89" x14ac:dyDescent="0.3">
      <c r="A204" t="s">
        <v>72</v>
      </c>
      <c r="B204" t="s">
        <v>73</v>
      </c>
      <c r="C204" t="s">
        <v>74</v>
      </c>
      <c r="E204" t="str">
        <f>"009939946805"</f>
        <v>009939946805</v>
      </c>
      <c r="F204" s="3">
        <v>44820</v>
      </c>
      <c r="G204">
        <v>202306</v>
      </c>
      <c r="H204" t="s">
        <v>119</v>
      </c>
      <c r="I204" t="s">
        <v>120</v>
      </c>
      <c r="J204" t="s">
        <v>283</v>
      </c>
      <c r="L204" t="s">
        <v>78</v>
      </c>
      <c r="M204" t="s">
        <v>79</v>
      </c>
      <c r="N204" t="s">
        <v>425</v>
      </c>
      <c r="O204" t="s">
        <v>421</v>
      </c>
      <c r="P204" t="str">
        <f>""</f>
        <v/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50.62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132.26</v>
      </c>
      <c r="BM204">
        <v>19.84</v>
      </c>
      <c r="BN204">
        <v>152.1</v>
      </c>
      <c r="BO204">
        <v>152.1</v>
      </c>
      <c r="BQ204" t="s">
        <v>465</v>
      </c>
      <c r="BR204" t="s">
        <v>423</v>
      </c>
      <c r="BS204" s="3">
        <v>44823</v>
      </c>
      <c r="BT204" s="4">
        <v>0.47430555555555554</v>
      </c>
      <c r="BU204" t="s">
        <v>169</v>
      </c>
      <c r="BV204" t="s">
        <v>83</v>
      </c>
      <c r="BY204">
        <v>1200</v>
      </c>
      <c r="BZ204" t="s">
        <v>84</v>
      </c>
      <c r="CA204" t="s">
        <v>211</v>
      </c>
      <c r="CC204" t="s">
        <v>79</v>
      </c>
      <c r="CD204">
        <v>2001</v>
      </c>
      <c r="CE204" t="s">
        <v>85</v>
      </c>
      <c r="CI204">
        <v>1</v>
      </c>
      <c r="CJ204">
        <v>1</v>
      </c>
      <c r="CK204">
        <v>31</v>
      </c>
    </row>
    <row r="205" spans="1:89" x14ac:dyDescent="0.3">
      <c r="A205" t="s">
        <v>72</v>
      </c>
      <c r="B205" t="s">
        <v>73</v>
      </c>
      <c r="C205" t="s">
        <v>74</v>
      </c>
      <c r="E205" t="str">
        <f>"009942600818"</f>
        <v>009942600818</v>
      </c>
      <c r="F205" s="3">
        <v>44820</v>
      </c>
      <c r="G205">
        <v>202306</v>
      </c>
      <c r="H205" t="s">
        <v>96</v>
      </c>
      <c r="I205" t="s">
        <v>97</v>
      </c>
      <c r="J205" t="s">
        <v>80</v>
      </c>
      <c r="L205" t="s">
        <v>94</v>
      </c>
      <c r="M205" t="s">
        <v>95</v>
      </c>
      <c r="N205" t="s">
        <v>80</v>
      </c>
      <c r="O205" t="s">
        <v>105</v>
      </c>
      <c r="P205" t="str">
        <f>"STORES"</f>
        <v>STORES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26.99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1.4</v>
      </c>
      <c r="BK205">
        <v>1.5</v>
      </c>
      <c r="BL205">
        <v>70.53</v>
      </c>
      <c r="BM205">
        <v>10.58</v>
      </c>
      <c r="BN205">
        <v>81.11</v>
      </c>
      <c r="BO205">
        <v>81.11</v>
      </c>
      <c r="BQ205" t="s">
        <v>115</v>
      </c>
      <c r="BR205" t="s">
        <v>115</v>
      </c>
      <c r="BS205" s="3">
        <v>44823</v>
      </c>
      <c r="BT205" s="4">
        <v>0.55277777777777781</v>
      </c>
      <c r="BU205" t="s">
        <v>286</v>
      </c>
      <c r="BV205" t="s">
        <v>109</v>
      </c>
      <c r="BY205">
        <v>6766.38</v>
      </c>
      <c r="BZ205" t="s">
        <v>110</v>
      </c>
      <c r="CA205" t="s">
        <v>287</v>
      </c>
      <c r="CC205" t="s">
        <v>95</v>
      </c>
      <c r="CD205">
        <v>699</v>
      </c>
      <c r="CE205" t="s">
        <v>85</v>
      </c>
      <c r="CI205">
        <v>1</v>
      </c>
      <c r="CJ205">
        <v>1</v>
      </c>
      <c r="CK205">
        <v>21</v>
      </c>
    </row>
    <row r="206" spans="1:89" x14ac:dyDescent="0.3">
      <c r="A206" t="s">
        <v>72</v>
      </c>
      <c r="B206" t="s">
        <v>73</v>
      </c>
      <c r="C206" t="s">
        <v>74</v>
      </c>
      <c r="E206" t="str">
        <f>"009941209309"</f>
        <v>009941209309</v>
      </c>
      <c r="F206" s="3">
        <v>44820</v>
      </c>
      <c r="G206">
        <v>202306</v>
      </c>
      <c r="H206" t="s">
        <v>96</v>
      </c>
      <c r="I206" t="s">
        <v>97</v>
      </c>
      <c r="J206" t="s">
        <v>80</v>
      </c>
      <c r="L206" t="s">
        <v>112</v>
      </c>
      <c r="M206" t="s">
        <v>113</v>
      </c>
      <c r="N206" t="s">
        <v>80</v>
      </c>
      <c r="O206" t="s">
        <v>105</v>
      </c>
      <c r="P206" t="str">
        <f t="shared" ref="P206:P213" si="7">"LOCKS"</f>
        <v>LOCKS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60.72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1.1000000000000001</v>
      </c>
      <c r="BJ206">
        <v>4.2</v>
      </c>
      <c r="BK206">
        <v>4.5</v>
      </c>
      <c r="BL206">
        <v>158.66</v>
      </c>
      <c r="BM206">
        <v>23.8</v>
      </c>
      <c r="BN206">
        <v>182.46</v>
      </c>
      <c r="BO206">
        <v>182.46</v>
      </c>
      <c r="BQ206" t="s">
        <v>114</v>
      </c>
      <c r="BR206" t="s">
        <v>115</v>
      </c>
      <c r="BS206" s="3">
        <v>44823</v>
      </c>
      <c r="BT206" s="4">
        <v>0.50347222222222221</v>
      </c>
      <c r="BU206" t="s">
        <v>466</v>
      </c>
      <c r="BV206" t="s">
        <v>109</v>
      </c>
      <c r="BY206">
        <v>21012.11</v>
      </c>
      <c r="BZ206" t="s">
        <v>110</v>
      </c>
      <c r="CA206" t="s">
        <v>258</v>
      </c>
      <c r="CC206" t="s">
        <v>113</v>
      </c>
      <c r="CD206">
        <v>9300</v>
      </c>
      <c r="CE206" t="s">
        <v>85</v>
      </c>
      <c r="CI206">
        <v>1</v>
      </c>
      <c r="CJ206">
        <v>1</v>
      </c>
      <c r="CK206">
        <v>21</v>
      </c>
    </row>
    <row r="207" spans="1:89" x14ac:dyDescent="0.3">
      <c r="A207" t="s">
        <v>72</v>
      </c>
      <c r="B207" t="s">
        <v>73</v>
      </c>
      <c r="C207" t="s">
        <v>74</v>
      </c>
      <c r="E207" t="str">
        <f>"009941735508"</f>
        <v>009941735508</v>
      </c>
      <c r="F207" s="3">
        <v>44820</v>
      </c>
      <c r="G207">
        <v>202306</v>
      </c>
      <c r="H207" t="s">
        <v>96</v>
      </c>
      <c r="I207" t="s">
        <v>97</v>
      </c>
      <c r="J207" t="s">
        <v>80</v>
      </c>
      <c r="L207" t="s">
        <v>136</v>
      </c>
      <c r="M207" t="s">
        <v>137</v>
      </c>
      <c r="N207" t="s">
        <v>80</v>
      </c>
      <c r="O207" t="s">
        <v>105</v>
      </c>
      <c r="P207" t="str">
        <f t="shared" si="7"/>
        <v>LOCKS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52.3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1.5</v>
      </c>
      <c r="BJ207">
        <v>1.2</v>
      </c>
      <c r="BK207">
        <v>1.5</v>
      </c>
      <c r="BL207">
        <v>136.66</v>
      </c>
      <c r="BM207">
        <v>20.5</v>
      </c>
      <c r="BN207">
        <v>157.16</v>
      </c>
      <c r="BO207">
        <v>157.16</v>
      </c>
      <c r="BQ207" t="s">
        <v>138</v>
      </c>
      <c r="BR207" t="s">
        <v>107</v>
      </c>
      <c r="BS207" s="3">
        <v>44823</v>
      </c>
      <c r="BT207" s="4">
        <v>0.38611111111111113</v>
      </c>
      <c r="BU207" t="s">
        <v>467</v>
      </c>
      <c r="BV207" t="s">
        <v>83</v>
      </c>
      <c r="BY207">
        <v>6192.86</v>
      </c>
      <c r="BZ207" t="s">
        <v>110</v>
      </c>
      <c r="CA207" t="s">
        <v>140</v>
      </c>
      <c r="CC207" t="s">
        <v>137</v>
      </c>
      <c r="CD207">
        <v>1034</v>
      </c>
      <c r="CE207" t="s">
        <v>85</v>
      </c>
      <c r="CI207">
        <v>1</v>
      </c>
      <c r="CJ207">
        <v>1</v>
      </c>
      <c r="CK207">
        <v>23</v>
      </c>
    </row>
    <row r="208" spans="1:89" x14ac:dyDescent="0.3">
      <c r="A208" t="s">
        <v>72</v>
      </c>
      <c r="B208" t="s">
        <v>73</v>
      </c>
      <c r="C208" t="s">
        <v>74</v>
      </c>
      <c r="E208" t="str">
        <f>"009935989277"</f>
        <v>009935989277</v>
      </c>
      <c r="F208" s="3">
        <v>44820</v>
      </c>
      <c r="G208">
        <v>202306</v>
      </c>
      <c r="H208" t="s">
        <v>96</v>
      </c>
      <c r="I208" t="s">
        <v>97</v>
      </c>
      <c r="J208" t="s">
        <v>80</v>
      </c>
      <c r="L208" t="s">
        <v>260</v>
      </c>
      <c r="M208" t="s">
        <v>261</v>
      </c>
      <c r="N208" t="s">
        <v>80</v>
      </c>
      <c r="O208" t="s">
        <v>81</v>
      </c>
      <c r="P208" t="str">
        <f t="shared" si="7"/>
        <v>LOCKS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126.31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18.100000000000001</v>
      </c>
      <c r="BJ208">
        <v>28.3</v>
      </c>
      <c r="BK208">
        <v>29</v>
      </c>
      <c r="BL208">
        <v>335.29</v>
      </c>
      <c r="BM208">
        <v>50.29</v>
      </c>
      <c r="BN208">
        <v>385.58</v>
      </c>
      <c r="BO208">
        <v>385.58</v>
      </c>
      <c r="BQ208" t="s">
        <v>115</v>
      </c>
      <c r="BR208" t="s">
        <v>468</v>
      </c>
      <c r="BS208" s="3">
        <v>44825</v>
      </c>
      <c r="BT208" s="4">
        <v>0.64583333333333337</v>
      </c>
      <c r="BU208" t="s">
        <v>265</v>
      </c>
      <c r="BV208" t="s">
        <v>83</v>
      </c>
      <c r="BY208">
        <v>141401.85</v>
      </c>
      <c r="BZ208" t="s">
        <v>84</v>
      </c>
      <c r="CA208" t="s">
        <v>469</v>
      </c>
      <c r="CC208" t="s">
        <v>261</v>
      </c>
      <c r="CD208">
        <v>8530</v>
      </c>
      <c r="CE208" t="s">
        <v>85</v>
      </c>
      <c r="CI208">
        <v>4</v>
      </c>
      <c r="CJ208">
        <v>3</v>
      </c>
      <c r="CK208">
        <v>43</v>
      </c>
    </row>
    <row r="209" spans="1:89" x14ac:dyDescent="0.3">
      <c r="A209" t="s">
        <v>72</v>
      </c>
      <c r="B209" t="s">
        <v>73</v>
      </c>
      <c r="C209" t="s">
        <v>74</v>
      </c>
      <c r="E209" t="str">
        <f>"009941291473"</f>
        <v>009941291473</v>
      </c>
      <c r="F209" s="3">
        <v>44820</v>
      </c>
      <c r="G209">
        <v>202306</v>
      </c>
      <c r="H209" t="s">
        <v>96</v>
      </c>
      <c r="I209" t="s">
        <v>97</v>
      </c>
      <c r="J209" t="s">
        <v>80</v>
      </c>
      <c r="L209" t="s">
        <v>147</v>
      </c>
      <c r="M209" t="s">
        <v>148</v>
      </c>
      <c r="N209" t="s">
        <v>80</v>
      </c>
      <c r="O209" t="s">
        <v>81</v>
      </c>
      <c r="P209" t="str">
        <f t="shared" si="7"/>
        <v>LOCKS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323.27999999999997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7</v>
      </c>
      <c r="BI209">
        <v>140.80000000000001</v>
      </c>
      <c r="BJ209">
        <v>94.2</v>
      </c>
      <c r="BK209">
        <v>141</v>
      </c>
      <c r="BL209">
        <v>849.95</v>
      </c>
      <c r="BM209">
        <v>127.49</v>
      </c>
      <c r="BN209">
        <v>977.44</v>
      </c>
      <c r="BO209">
        <v>977.44</v>
      </c>
      <c r="BQ209" t="s">
        <v>193</v>
      </c>
      <c r="BR209" t="s">
        <v>107</v>
      </c>
      <c r="BS209" s="3">
        <v>44827</v>
      </c>
      <c r="BT209" s="4">
        <v>0.41666666666666669</v>
      </c>
      <c r="BU209" t="s">
        <v>193</v>
      </c>
      <c r="BV209" t="s">
        <v>109</v>
      </c>
      <c r="BY209">
        <v>471010.64</v>
      </c>
      <c r="BZ209" t="s">
        <v>84</v>
      </c>
      <c r="CA209" t="s">
        <v>270</v>
      </c>
      <c r="CC209" t="s">
        <v>148</v>
      </c>
      <c r="CD209">
        <v>8000</v>
      </c>
      <c r="CE209" t="s">
        <v>85</v>
      </c>
      <c r="CI209">
        <v>3</v>
      </c>
      <c r="CJ209">
        <v>5</v>
      </c>
      <c r="CK209">
        <v>41</v>
      </c>
    </row>
    <row r="210" spans="1:89" x14ac:dyDescent="0.3">
      <c r="A210" t="s">
        <v>72</v>
      </c>
      <c r="B210" t="s">
        <v>73</v>
      </c>
      <c r="C210" t="s">
        <v>74</v>
      </c>
      <c r="E210" t="str">
        <f>"009935987947"</f>
        <v>009935987947</v>
      </c>
      <c r="F210" s="3">
        <v>44820</v>
      </c>
      <c r="G210">
        <v>202306</v>
      </c>
      <c r="H210" t="s">
        <v>96</v>
      </c>
      <c r="I210" t="s">
        <v>97</v>
      </c>
      <c r="J210" t="s">
        <v>80</v>
      </c>
      <c r="L210" t="s">
        <v>370</v>
      </c>
      <c r="M210" t="s">
        <v>371</v>
      </c>
      <c r="N210" t="s">
        <v>80</v>
      </c>
      <c r="O210" t="s">
        <v>81</v>
      </c>
      <c r="P210" t="str">
        <f t="shared" si="7"/>
        <v>LOCKS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97.38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13</v>
      </c>
      <c r="BJ210">
        <v>35.1</v>
      </c>
      <c r="BK210">
        <v>36</v>
      </c>
      <c r="BL210">
        <v>259.7</v>
      </c>
      <c r="BM210">
        <v>38.96</v>
      </c>
      <c r="BN210">
        <v>298.66000000000003</v>
      </c>
      <c r="BO210">
        <v>298.66000000000003</v>
      </c>
      <c r="BQ210" t="s">
        <v>372</v>
      </c>
      <c r="BR210" t="s">
        <v>264</v>
      </c>
      <c r="BS210" s="3">
        <v>44824</v>
      </c>
      <c r="BT210" s="4">
        <v>0.3923611111111111</v>
      </c>
      <c r="BU210" t="s">
        <v>470</v>
      </c>
      <c r="BV210" t="s">
        <v>83</v>
      </c>
      <c r="BY210">
        <v>175292.1</v>
      </c>
      <c r="BZ210" t="s">
        <v>84</v>
      </c>
      <c r="CA210" t="s">
        <v>373</v>
      </c>
      <c r="CC210" t="s">
        <v>371</v>
      </c>
      <c r="CD210">
        <v>5206</v>
      </c>
      <c r="CE210" t="s">
        <v>85</v>
      </c>
      <c r="CI210">
        <v>3</v>
      </c>
      <c r="CJ210">
        <v>2</v>
      </c>
      <c r="CK210">
        <v>41</v>
      </c>
    </row>
    <row r="211" spans="1:89" x14ac:dyDescent="0.3">
      <c r="A211" t="s">
        <v>72</v>
      </c>
      <c r="B211" t="s">
        <v>73</v>
      </c>
      <c r="C211" t="s">
        <v>74</v>
      </c>
      <c r="E211" t="str">
        <f>"009942600736"</f>
        <v>009942600736</v>
      </c>
      <c r="F211" s="3">
        <v>44820</v>
      </c>
      <c r="G211">
        <v>202306</v>
      </c>
      <c r="H211" t="s">
        <v>96</v>
      </c>
      <c r="I211" t="s">
        <v>97</v>
      </c>
      <c r="J211" t="s">
        <v>80</v>
      </c>
      <c r="L211" t="s">
        <v>186</v>
      </c>
      <c r="M211" t="s">
        <v>187</v>
      </c>
      <c r="N211" t="s">
        <v>80</v>
      </c>
      <c r="O211" t="s">
        <v>81</v>
      </c>
      <c r="P211" t="str">
        <f t="shared" si="7"/>
        <v>LOCKS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633.08000000000004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2</v>
      </c>
      <c r="BI211">
        <v>280.3</v>
      </c>
      <c r="BJ211">
        <v>284.7</v>
      </c>
      <c r="BK211">
        <v>285</v>
      </c>
      <c r="BL211">
        <v>1659.43</v>
      </c>
      <c r="BM211">
        <v>248.91</v>
      </c>
      <c r="BN211">
        <v>1908.34</v>
      </c>
      <c r="BO211">
        <v>1908.34</v>
      </c>
      <c r="BQ211" t="s">
        <v>221</v>
      </c>
      <c r="BR211" t="s">
        <v>107</v>
      </c>
      <c r="BS211" s="3">
        <v>44824</v>
      </c>
      <c r="BT211" s="4">
        <v>0.46736111111111112</v>
      </c>
      <c r="BU211" t="s">
        <v>278</v>
      </c>
      <c r="BV211" t="s">
        <v>83</v>
      </c>
      <c r="BY211">
        <v>1423341.04</v>
      </c>
      <c r="BZ211" t="s">
        <v>84</v>
      </c>
      <c r="CA211" t="s">
        <v>471</v>
      </c>
      <c r="CC211" t="s">
        <v>187</v>
      </c>
      <c r="CD211">
        <v>6045</v>
      </c>
      <c r="CE211" t="s">
        <v>85</v>
      </c>
      <c r="CI211">
        <v>3</v>
      </c>
      <c r="CJ211">
        <v>2</v>
      </c>
      <c r="CK211">
        <v>41</v>
      </c>
    </row>
    <row r="212" spans="1:89" x14ac:dyDescent="0.3">
      <c r="A212" t="s">
        <v>72</v>
      </c>
      <c r="B212" t="s">
        <v>73</v>
      </c>
      <c r="C212" t="s">
        <v>74</v>
      </c>
      <c r="E212" t="str">
        <f>"009941291472"</f>
        <v>009941291472</v>
      </c>
      <c r="F212" s="3">
        <v>44820</v>
      </c>
      <c r="G212">
        <v>202306</v>
      </c>
      <c r="H212" t="s">
        <v>96</v>
      </c>
      <c r="I212" t="s">
        <v>97</v>
      </c>
      <c r="J212" t="s">
        <v>80</v>
      </c>
      <c r="L212" t="s">
        <v>147</v>
      </c>
      <c r="M212" t="s">
        <v>148</v>
      </c>
      <c r="N212" t="s">
        <v>80</v>
      </c>
      <c r="O212" t="s">
        <v>81</v>
      </c>
      <c r="P212" t="str">
        <f t="shared" si="7"/>
        <v>LOCKS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71.569999999999993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6.7</v>
      </c>
      <c r="BJ212">
        <v>23.4</v>
      </c>
      <c r="BK212">
        <v>24</v>
      </c>
      <c r="BL212">
        <v>192.25</v>
      </c>
      <c r="BM212">
        <v>28.84</v>
      </c>
      <c r="BN212">
        <v>221.09</v>
      </c>
      <c r="BO212">
        <v>221.09</v>
      </c>
      <c r="BQ212" t="s">
        <v>193</v>
      </c>
      <c r="BR212" t="s">
        <v>472</v>
      </c>
      <c r="BS212" s="3">
        <v>44823</v>
      </c>
      <c r="BT212" s="4">
        <v>0.41666666666666669</v>
      </c>
      <c r="BU212" t="s">
        <v>193</v>
      </c>
      <c r="BV212" t="s">
        <v>83</v>
      </c>
      <c r="BY212">
        <v>117239.95</v>
      </c>
      <c r="BZ212" t="s">
        <v>84</v>
      </c>
      <c r="CA212" t="s">
        <v>270</v>
      </c>
      <c r="CC212" t="s">
        <v>148</v>
      </c>
      <c r="CD212">
        <v>8000</v>
      </c>
      <c r="CE212" t="s">
        <v>85</v>
      </c>
      <c r="CI212">
        <v>3</v>
      </c>
      <c r="CJ212">
        <v>1</v>
      </c>
      <c r="CK212">
        <v>41</v>
      </c>
    </row>
    <row r="213" spans="1:89" x14ac:dyDescent="0.3">
      <c r="A213" t="s">
        <v>72</v>
      </c>
      <c r="B213" t="s">
        <v>73</v>
      </c>
      <c r="C213" t="s">
        <v>74</v>
      </c>
      <c r="E213" t="str">
        <f>"009942600735"</f>
        <v>009942600735</v>
      </c>
      <c r="F213" s="3">
        <v>44820</v>
      </c>
      <c r="G213">
        <v>202306</v>
      </c>
      <c r="H213" t="s">
        <v>96</v>
      </c>
      <c r="I213" t="s">
        <v>97</v>
      </c>
      <c r="J213" t="s">
        <v>80</v>
      </c>
      <c r="L213" t="s">
        <v>186</v>
      </c>
      <c r="M213" t="s">
        <v>187</v>
      </c>
      <c r="N213" t="s">
        <v>80</v>
      </c>
      <c r="O213" t="s">
        <v>105</v>
      </c>
      <c r="P213" t="str">
        <f t="shared" si="7"/>
        <v>LOCKS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26.99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0.9</v>
      </c>
      <c r="BK213">
        <v>1</v>
      </c>
      <c r="BL213">
        <v>70.53</v>
      </c>
      <c r="BM213">
        <v>10.58</v>
      </c>
      <c r="BN213">
        <v>81.11</v>
      </c>
      <c r="BO213">
        <v>81.11</v>
      </c>
      <c r="BQ213" t="s">
        <v>221</v>
      </c>
      <c r="BR213" t="s">
        <v>107</v>
      </c>
      <c r="BS213" s="3">
        <v>44823</v>
      </c>
      <c r="BT213" s="4">
        <v>0.3888888888888889</v>
      </c>
      <c r="BU213" t="s">
        <v>278</v>
      </c>
      <c r="BV213" t="s">
        <v>83</v>
      </c>
      <c r="BY213">
        <v>4315.95</v>
      </c>
      <c r="BZ213" t="s">
        <v>110</v>
      </c>
      <c r="CA213" t="s">
        <v>189</v>
      </c>
      <c r="CC213" t="s">
        <v>187</v>
      </c>
      <c r="CD213">
        <v>6045</v>
      </c>
      <c r="CE213" t="s">
        <v>85</v>
      </c>
      <c r="CI213">
        <v>1</v>
      </c>
      <c r="CJ213">
        <v>1</v>
      </c>
      <c r="CK213">
        <v>21</v>
      </c>
    </row>
    <row r="214" spans="1:89" x14ac:dyDescent="0.3">
      <c r="A214" t="s">
        <v>72</v>
      </c>
      <c r="B214" t="s">
        <v>73</v>
      </c>
      <c r="C214" t="s">
        <v>74</v>
      </c>
      <c r="E214" t="str">
        <f>"009942493450"</f>
        <v>009942493450</v>
      </c>
      <c r="F214" s="3">
        <v>44820</v>
      </c>
      <c r="G214">
        <v>202306</v>
      </c>
      <c r="H214" t="s">
        <v>136</v>
      </c>
      <c r="I214" t="s">
        <v>137</v>
      </c>
      <c r="J214" t="s">
        <v>150</v>
      </c>
      <c r="L214" t="s">
        <v>178</v>
      </c>
      <c r="M214" t="s">
        <v>179</v>
      </c>
      <c r="N214" t="s">
        <v>473</v>
      </c>
      <c r="O214" t="s">
        <v>81</v>
      </c>
      <c r="P214" t="str">
        <f>"083 601 5869"</f>
        <v>083 601 5869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412.33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3</v>
      </c>
      <c r="BI214">
        <v>105</v>
      </c>
      <c r="BJ214">
        <v>5.4</v>
      </c>
      <c r="BK214">
        <v>105</v>
      </c>
      <c r="BL214">
        <v>1082.6300000000001</v>
      </c>
      <c r="BM214">
        <v>162.38999999999999</v>
      </c>
      <c r="BN214">
        <v>1245.02</v>
      </c>
      <c r="BO214">
        <v>1245.02</v>
      </c>
      <c r="BQ214" t="s">
        <v>474</v>
      </c>
      <c r="BR214" t="s">
        <v>475</v>
      </c>
      <c r="BS214" s="3">
        <v>44823</v>
      </c>
      <c r="BT214" s="4">
        <v>0.47916666666666669</v>
      </c>
      <c r="BU214" t="s">
        <v>476</v>
      </c>
      <c r="BV214" t="s">
        <v>83</v>
      </c>
      <c r="BY214">
        <v>9000</v>
      </c>
      <c r="BZ214" t="s">
        <v>84</v>
      </c>
      <c r="CA214" t="s">
        <v>477</v>
      </c>
      <c r="CC214" t="s">
        <v>179</v>
      </c>
      <c r="CD214">
        <v>1200</v>
      </c>
      <c r="CE214" t="s">
        <v>85</v>
      </c>
      <c r="CI214">
        <v>4</v>
      </c>
      <c r="CJ214">
        <v>1</v>
      </c>
      <c r="CK214">
        <v>43</v>
      </c>
    </row>
    <row r="215" spans="1:89" x14ac:dyDescent="0.3">
      <c r="A215" t="s">
        <v>72</v>
      </c>
      <c r="B215" t="s">
        <v>73</v>
      </c>
      <c r="C215" t="s">
        <v>74</v>
      </c>
      <c r="E215" t="str">
        <f>"009942724023"</f>
        <v>009942724023</v>
      </c>
      <c r="F215" s="3">
        <v>44823</v>
      </c>
      <c r="G215">
        <v>202306</v>
      </c>
      <c r="H215" t="s">
        <v>96</v>
      </c>
      <c r="I215" t="s">
        <v>97</v>
      </c>
      <c r="J215" t="s">
        <v>80</v>
      </c>
      <c r="L215" t="s">
        <v>266</v>
      </c>
      <c r="M215" t="s">
        <v>267</v>
      </c>
      <c r="N215" t="s">
        <v>80</v>
      </c>
      <c r="O215" t="s">
        <v>81</v>
      </c>
      <c r="P215" t="str">
        <f>"LOCKS"</f>
        <v>LOCKS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145.13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33.4</v>
      </c>
      <c r="BJ215">
        <v>26.2</v>
      </c>
      <c r="BK215">
        <v>34</v>
      </c>
      <c r="BL215">
        <v>384.46</v>
      </c>
      <c r="BM215">
        <v>57.67</v>
      </c>
      <c r="BN215">
        <v>442.13</v>
      </c>
      <c r="BO215">
        <v>442.13</v>
      </c>
      <c r="BQ215" t="s">
        <v>478</v>
      </c>
      <c r="BR215" t="s">
        <v>107</v>
      </c>
      <c r="BS215" s="3">
        <v>44833</v>
      </c>
      <c r="BT215" s="4">
        <v>0.55208333333333337</v>
      </c>
      <c r="BU215" t="s">
        <v>479</v>
      </c>
      <c r="BV215" t="s">
        <v>109</v>
      </c>
      <c r="BY215">
        <v>131118.75</v>
      </c>
      <c r="BZ215" t="s">
        <v>84</v>
      </c>
      <c r="CA215" t="s">
        <v>480</v>
      </c>
      <c r="CC215" t="s">
        <v>267</v>
      </c>
      <c r="CD215">
        <v>5099</v>
      </c>
      <c r="CE215" t="s">
        <v>85</v>
      </c>
      <c r="CI215">
        <v>4</v>
      </c>
      <c r="CJ215">
        <v>8</v>
      </c>
      <c r="CK215">
        <v>43</v>
      </c>
    </row>
    <row r="216" spans="1:89" x14ac:dyDescent="0.3">
      <c r="A216" t="s">
        <v>72</v>
      </c>
      <c r="B216" t="s">
        <v>73</v>
      </c>
      <c r="C216" t="s">
        <v>74</v>
      </c>
      <c r="E216" t="str">
        <f>"009941745927"</f>
        <v>009941745927</v>
      </c>
      <c r="F216" s="3">
        <v>44823</v>
      </c>
      <c r="G216">
        <v>202306</v>
      </c>
      <c r="H216" t="s">
        <v>131</v>
      </c>
      <c r="I216" t="s">
        <v>132</v>
      </c>
      <c r="J216" t="s">
        <v>80</v>
      </c>
      <c r="L216" t="s">
        <v>94</v>
      </c>
      <c r="M216" t="s">
        <v>95</v>
      </c>
      <c r="N216" t="s">
        <v>80</v>
      </c>
      <c r="O216" t="s">
        <v>81</v>
      </c>
      <c r="P216" t="str">
        <f>""</f>
        <v/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80.16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15</v>
      </c>
      <c r="BJ216">
        <v>30</v>
      </c>
      <c r="BK216">
        <v>30</v>
      </c>
      <c r="BL216">
        <v>214.7</v>
      </c>
      <c r="BM216">
        <v>32.21</v>
      </c>
      <c r="BN216">
        <v>246.91</v>
      </c>
      <c r="BO216">
        <v>246.91</v>
      </c>
      <c r="BQ216" t="s">
        <v>300</v>
      </c>
      <c r="BS216" s="3">
        <v>44823</v>
      </c>
      <c r="BT216" s="4">
        <v>0.55277777777777781</v>
      </c>
      <c r="BU216" t="s">
        <v>286</v>
      </c>
      <c r="BV216" t="s">
        <v>83</v>
      </c>
      <c r="BY216">
        <v>149760</v>
      </c>
      <c r="BZ216" t="s">
        <v>84</v>
      </c>
      <c r="CA216" t="s">
        <v>287</v>
      </c>
      <c r="CC216" t="s">
        <v>95</v>
      </c>
      <c r="CD216">
        <v>700</v>
      </c>
      <c r="CE216" t="s">
        <v>85</v>
      </c>
      <c r="CI216">
        <v>3</v>
      </c>
      <c r="CJ216">
        <v>0</v>
      </c>
      <c r="CK216">
        <v>44</v>
      </c>
    </row>
    <row r="217" spans="1:89" x14ac:dyDescent="0.3">
      <c r="A217" t="s">
        <v>72</v>
      </c>
      <c r="B217" t="s">
        <v>73</v>
      </c>
      <c r="C217" t="s">
        <v>74</v>
      </c>
      <c r="E217" t="str">
        <f>"080010595440"</f>
        <v>080010595440</v>
      </c>
      <c r="F217" s="3">
        <v>44823</v>
      </c>
      <c r="G217">
        <v>202306</v>
      </c>
      <c r="H217" t="s">
        <v>212</v>
      </c>
      <c r="I217" t="s">
        <v>213</v>
      </c>
      <c r="J217" t="s">
        <v>241</v>
      </c>
      <c r="L217" t="s">
        <v>78</v>
      </c>
      <c r="M217" t="s">
        <v>79</v>
      </c>
      <c r="N217" t="s">
        <v>481</v>
      </c>
      <c r="O217" t="s">
        <v>105</v>
      </c>
      <c r="P217" t="str">
        <f>"-"</f>
        <v>-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21.09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55.1</v>
      </c>
      <c r="BM217">
        <v>8.27</v>
      </c>
      <c r="BN217">
        <v>63.37</v>
      </c>
      <c r="BO217">
        <v>63.37</v>
      </c>
      <c r="BP217" t="s">
        <v>145</v>
      </c>
      <c r="BQ217" t="s">
        <v>482</v>
      </c>
      <c r="BR217" t="s">
        <v>316</v>
      </c>
      <c r="BS217" s="3">
        <v>44824</v>
      </c>
      <c r="BT217" s="4">
        <v>0.43055555555555558</v>
      </c>
      <c r="BU217" t="s">
        <v>442</v>
      </c>
      <c r="BV217" t="s">
        <v>83</v>
      </c>
      <c r="BY217">
        <v>1200</v>
      </c>
      <c r="CA217" t="s">
        <v>211</v>
      </c>
      <c r="CC217" t="s">
        <v>79</v>
      </c>
      <c r="CD217">
        <v>2090</v>
      </c>
      <c r="CE217" t="s">
        <v>244</v>
      </c>
      <c r="CI217">
        <v>1</v>
      </c>
      <c r="CJ217">
        <v>1</v>
      </c>
      <c r="CK217">
        <v>22</v>
      </c>
    </row>
    <row r="218" spans="1:89" x14ac:dyDescent="0.3">
      <c r="A218" t="s">
        <v>72</v>
      </c>
      <c r="B218" t="s">
        <v>73</v>
      </c>
      <c r="C218" t="s">
        <v>74</v>
      </c>
      <c r="E218" t="str">
        <f>"009942343397"</f>
        <v>009942343397</v>
      </c>
      <c r="F218" s="3">
        <v>44823</v>
      </c>
      <c r="G218">
        <v>202306</v>
      </c>
      <c r="H218" t="s">
        <v>125</v>
      </c>
      <c r="I218" t="s">
        <v>126</v>
      </c>
      <c r="J218" t="s">
        <v>262</v>
      </c>
      <c r="L218" t="s">
        <v>78</v>
      </c>
      <c r="M218" t="s">
        <v>79</v>
      </c>
      <c r="N218" t="s">
        <v>262</v>
      </c>
      <c r="O218" t="s">
        <v>81</v>
      </c>
      <c r="P218" t="str">
        <f>""</f>
        <v/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52.2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141.65</v>
      </c>
      <c r="BM218">
        <v>21.25</v>
      </c>
      <c r="BN218">
        <v>162.9</v>
      </c>
      <c r="BO218">
        <v>162.9</v>
      </c>
      <c r="BQ218" t="s">
        <v>483</v>
      </c>
      <c r="BR218" t="s">
        <v>484</v>
      </c>
      <c r="BS218" s="3">
        <v>44824</v>
      </c>
      <c r="BT218" s="4">
        <v>0.35902777777777778</v>
      </c>
      <c r="BU218" t="s">
        <v>382</v>
      </c>
      <c r="BV218" t="s">
        <v>83</v>
      </c>
      <c r="BY218">
        <v>1200</v>
      </c>
      <c r="BZ218" t="s">
        <v>84</v>
      </c>
      <c r="CA218" t="s">
        <v>170</v>
      </c>
      <c r="CC218" t="s">
        <v>79</v>
      </c>
      <c r="CD218">
        <v>2196</v>
      </c>
      <c r="CE218" t="s">
        <v>85</v>
      </c>
      <c r="CI218">
        <v>3</v>
      </c>
      <c r="CJ218">
        <v>1</v>
      </c>
      <c r="CK218">
        <v>41</v>
      </c>
    </row>
    <row r="219" spans="1:89" x14ac:dyDescent="0.3">
      <c r="A219" t="s">
        <v>72</v>
      </c>
      <c r="B219" t="s">
        <v>73</v>
      </c>
      <c r="C219" t="s">
        <v>74</v>
      </c>
      <c r="E219" t="str">
        <f>"009941119681"</f>
        <v>009941119681</v>
      </c>
      <c r="F219" s="3">
        <v>44823</v>
      </c>
      <c r="G219">
        <v>202306</v>
      </c>
      <c r="H219" t="s">
        <v>125</v>
      </c>
      <c r="I219" t="s">
        <v>126</v>
      </c>
      <c r="J219" t="s">
        <v>262</v>
      </c>
      <c r="L219" t="s">
        <v>78</v>
      </c>
      <c r="M219" t="s">
        <v>79</v>
      </c>
      <c r="N219" t="s">
        <v>262</v>
      </c>
      <c r="O219" t="s">
        <v>81</v>
      </c>
      <c r="P219" t="str">
        <f>""</f>
        <v/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71.569999999999993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2</v>
      </c>
      <c r="BI219">
        <v>21</v>
      </c>
      <c r="BJ219">
        <v>23.4</v>
      </c>
      <c r="BK219">
        <v>24</v>
      </c>
      <c r="BL219">
        <v>192.25</v>
      </c>
      <c r="BM219">
        <v>28.84</v>
      </c>
      <c r="BN219">
        <v>221.09</v>
      </c>
      <c r="BO219">
        <v>221.09</v>
      </c>
      <c r="BR219" t="s">
        <v>485</v>
      </c>
      <c r="BS219" s="3">
        <v>44824</v>
      </c>
      <c r="BT219" s="4">
        <v>0.35625000000000001</v>
      </c>
      <c r="BU219" t="s">
        <v>382</v>
      </c>
      <c r="BV219" t="s">
        <v>83</v>
      </c>
      <c r="BY219">
        <v>117064</v>
      </c>
      <c r="BZ219" t="s">
        <v>84</v>
      </c>
      <c r="CA219" t="s">
        <v>170</v>
      </c>
      <c r="CC219" t="s">
        <v>79</v>
      </c>
      <c r="CD219">
        <v>2196</v>
      </c>
      <c r="CE219" t="s">
        <v>85</v>
      </c>
      <c r="CI219">
        <v>3</v>
      </c>
      <c r="CJ219">
        <v>1</v>
      </c>
      <c r="CK219">
        <v>41</v>
      </c>
    </row>
    <row r="220" spans="1:89" x14ac:dyDescent="0.3">
      <c r="A220" t="s">
        <v>72</v>
      </c>
      <c r="B220" t="s">
        <v>73</v>
      </c>
      <c r="C220" t="s">
        <v>74</v>
      </c>
      <c r="E220" t="str">
        <f>"009942600819"</f>
        <v>009942600819</v>
      </c>
      <c r="F220" s="3">
        <v>44823</v>
      </c>
      <c r="G220">
        <v>202306</v>
      </c>
      <c r="H220" t="s">
        <v>96</v>
      </c>
      <c r="I220" t="s">
        <v>97</v>
      </c>
      <c r="J220" t="s">
        <v>80</v>
      </c>
      <c r="L220" t="s">
        <v>94</v>
      </c>
      <c r="M220" t="s">
        <v>95</v>
      </c>
      <c r="N220" t="s">
        <v>80</v>
      </c>
      <c r="O220" t="s">
        <v>81</v>
      </c>
      <c r="P220" t="str">
        <f t="shared" ref="P220:P228" si="8">"LOCKS"</f>
        <v>LOCKS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123.2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3</v>
      </c>
      <c r="BI220">
        <v>47.2</v>
      </c>
      <c r="BJ220">
        <v>45.5</v>
      </c>
      <c r="BK220">
        <v>48</v>
      </c>
      <c r="BL220">
        <v>327.16000000000003</v>
      </c>
      <c r="BM220">
        <v>49.07</v>
      </c>
      <c r="BN220">
        <v>376.23</v>
      </c>
      <c r="BO220">
        <v>376.23</v>
      </c>
      <c r="BQ220" t="s">
        <v>115</v>
      </c>
      <c r="BR220" t="s">
        <v>115</v>
      </c>
      <c r="BS220" s="3">
        <v>44824</v>
      </c>
      <c r="BT220" s="4">
        <v>0.44097222222222227</v>
      </c>
      <c r="BU220" t="s">
        <v>343</v>
      </c>
      <c r="BV220" t="s">
        <v>83</v>
      </c>
      <c r="BY220">
        <v>227273.93</v>
      </c>
      <c r="BZ220" t="s">
        <v>84</v>
      </c>
      <c r="CA220" t="s">
        <v>287</v>
      </c>
      <c r="CC220" t="s">
        <v>95</v>
      </c>
      <c r="CD220">
        <v>699</v>
      </c>
      <c r="CE220" t="s">
        <v>85</v>
      </c>
      <c r="CI220">
        <v>3</v>
      </c>
      <c r="CJ220">
        <v>1</v>
      </c>
      <c r="CK220">
        <v>41</v>
      </c>
    </row>
    <row r="221" spans="1:89" x14ac:dyDescent="0.3">
      <c r="A221" t="s">
        <v>72</v>
      </c>
      <c r="B221" t="s">
        <v>73</v>
      </c>
      <c r="C221" t="s">
        <v>74</v>
      </c>
      <c r="E221" t="str">
        <f>"009941209440"</f>
        <v>009941209440</v>
      </c>
      <c r="F221" s="3">
        <v>44823</v>
      </c>
      <c r="G221">
        <v>202306</v>
      </c>
      <c r="H221" t="s">
        <v>96</v>
      </c>
      <c r="I221" t="s">
        <v>97</v>
      </c>
      <c r="J221" t="s">
        <v>80</v>
      </c>
      <c r="L221" t="s">
        <v>75</v>
      </c>
      <c r="M221" t="s">
        <v>76</v>
      </c>
      <c r="N221" t="s">
        <v>413</v>
      </c>
      <c r="O221" t="s">
        <v>81</v>
      </c>
      <c r="P221" t="str">
        <f t="shared" si="8"/>
        <v>LOCKS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82.32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28.9</v>
      </c>
      <c r="BJ221">
        <v>26.8</v>
      </c>
      <c r="BK221">
        <v>29</v>
      </c>
      <c r="BL221">
        <v>220.35</v>
      </c>
      <c r="BM221">
        <v>33.049999999999997</v>
      </c>
      <c r="BN221">
        <v>253.4</v>
      </c>
      <c r="BO221">
        <v>253.4</v>
      </c>
      <c r="BQ221" t="s">
        <v>115</v>
      </c>
      <c r="BR221" t="s">
        <v>115</v>
      </c>
      <c r="BS221" s="3">
        <v>44825</v>
      </c>
      <c r="BT221" s="4">
        <v>0.40972222222222227</v>
      </c>
      <c r="BU221" t="s">
        <v>486</v>
      </c>
      <c r="BV221" t="s">
        <v>83</v>
      </c>
      <c r="BY221">
        <v>134171.1</v>
      </c>
      <c r="BZ221" t="s">
        <v>84</v>
      </c>
      <c r="CA221" t="s">
        <v>289</v>
      </c>
      <c r="CC221" t="s">
        <v>76</v>
      </c>
      <c r="CD221">
        <v>6536</v>
      </c>
      <c r="CE221" t="s">
        <v>85</v>
      </c>
      <c r="CI221">
        <v>3</v>
      </c>
      <c r="CJ221">
        <v>2</v>
      </c>
      <c r="CK221">
        <v>41</v>
      </c>
    </row>
    <row r="222" spans="1:89" x14ac:dyDescent="0.3">
      <c r="A222" t="s">
        <v>72</v>
      </c>
      <c r="B222" t="s">
        <v>73</v>
      </c>
      <c r="C222" t="s">
        <v>74</v>
      </c>
      <c r="E222" t="str">
        <f>"009942724022"</f>
        <v>009942724022</v>
      </c>
      <c r="F222" s="3">
        <v>44823</v>
      </c>
      <c r="G222">
        <v>202306</v>
      </c>
      <c r="H222" t="s">
        <v>96</v>
      </c>
      <c r="I222" t="s">
        <v>97</v>
      </c>
      <c r="J222" t="s">
        <v>80</v>
      </c>
      <c r="L222" t="s">
        <v>131</v>
      </c>
      <c r="M222" t="s">
        <v>132</v>
      </c>
      <c r="N222" t="s">
        <v>80</v>
      </c>
      <c r="O222" t="s">
        <v>81</v>
      </c>
      <c r="P222" t="str">
        <f t="shared" si="8"/>
        <v>LOCKS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148.88999999999999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15.2</v>
      </c>
      <c r="BJ222">
        <v>34.9</v>
      </c>
      <c r="BK222">
        <v>35</v>
      </c>
      <c r="BL222">
        <v>394.29</v>
      </c>
      <c r="BM222">
        <v>59.14</v>
      </c>
      <c r="BN222">
        <v>453.43</v>
      </c>
      <c r="BO222">
        <v>453.43</v>
      </c>
      <c r="BQ222" t="s">
        <v>320</v>
      </c>
      <c r="BR222" t="s">
        <v>107</v>
      </c>
      <c r="BS222" s="3">
        <v>44825</v>
      </c>
      <c r="BT222" s="4">
        <v>0.55069444444444449</v>
      </c>
      <c r="BU222" t="s">
        <v>487</v>
      </c>
      <c r="BV222" t="s">
        <v>83</v>
      </c>
      <c r="BY222">
        <v>174251.28</v>
      </c>
      <c r="BZ222" t="s">
        <v>84</v>
      </c>
      <c r="CA222" t="s">
        <v>322</v>
      </c>
      <c r="CC222" t="s">
        <v>132</v>
      </c>
      <c r="CD222">
        <v>1150</v>
      </c>
      <c r="CE222" t="s">
        <v>85</v>
      </c>
      <c r="CI222">
        <v>4</v>
      </c>
      <c r="CJ222">
        <v>2</v>
      </c>
      <c r="CK222">
        <v>43</v>
      </c>
    </row>
    <row r="223" spans="1:89" x14ac:dyDescent="0.3">
      <c r="A223" t="s">
        <v>72</v>
      </c>
      <c r="B223" t="s">
        <v>73</v>
      </c>
      <c r="C223" t="s">
        <v>74</v>
      </c>
      <c r="E223" t="str">
        <f>"009941332864"</f>
        <v>009941332864</v>
      </c>
      <c r="F223" s="3">
        <v>44823</v>
      </c>
      <c r="G223">
        <v>202306</v>
      </c>
      <c r="H223" t="s">
        <v>96</v>
      </c>
      <c r="I223" t="s">
        <v>97</v>
      </c>
      <c r="J223" t="s">
        <v>80</v>
      </c>
      <c r="L223" t="s">
        <v>119</v>
      </c>
      <c r="M223" t="s">
        <v>120</v>
      </c>
      <c r="N223" t="s">
        <v>80</v>
      </c>
      <c r="O223" t="s">
        <v>105</v>
      </c>
      <c r="P223" t="str">
        <f t="shared" si="8"/>
        <v>LOCKS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26.99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70.53</v>
      </c>
      <c r="BM223">
        <v>10.58</v>
      </c>
      <c r="BN223">
        <v>81.11</v>
      </c>
      <c r="BO223">
        <v>81.11</v>
      </c>
      <c r="BQ223" t="s">
        <v>488</v>
      </c>
      <c r="BR223" t="s">
        <v>115</v>
      </c>
      <c r="BS223" s="3">
        <v>44824</v>
      </c>
      <c r="BT223" s="4">
        <v>0.39652777777777781</v>
      </c>
      <c r="BU223" t="s">
        <v>122</v>
      </c>
      <c r="BV223" t="s">
        <v>83</v>
      </c>
      <c r="BY223">
        <v>1200</v>
      </c>
      <c r="BZ223" t="s">
        <v>110</v>
      </c>
      <c r="CA223" t="s">
        <v>123</v>
      </c>
      <c r="CC223" t="s">
        <v>120</v>
      </c>
      <c r="CD223">
        <v>4091</v>
      </c>
      <c r="CE223" t="s">
        <v>85</v>
      </c>
      <c r="CI223">
        <v>1</v>
      </c>
      <c r="CJ223">
        <v>1</v>
      </c>
      <c r="CK223">
        <v>21</v>
      </c>
    </row>
    <row r="224" spans="1:89" x14ac:dyDescent="0.3">
      <c r="A224" t="s">
        <v>72</v>
      </c>
      <c r="B224" t="s">
        <v>73</v>
      </c>
      <c r="C224" t="s">
        <v>74</v>
      </c>
      <c r="E224" t="str">
        <f>"009941567838"</f>
        <v>009941567838</v>
      </c>
      <c r="F224" s="3">
        <v>44823</v>
      </c>
      <c r="G224">
        <v>202306</v>
      </c>
      <c r="H224" t="s">
        <v>96</v>
      </c>
      <c r="I224" t="s">
        <v>97</v>
      </c>
      <c r="J224" t="s">
        <v>80</v>
      </c>
      <c r="L224" t="s">
        <v>141</v>
      </c>
      <c r="M224" t="s">
        <v>142</v>
      </c>
      <c r="N224" t="s">
        <v>80</v>
      </c>
      <c r="O224" t="s">
        <v>105</v>
      </c>
      <c r="P224" t="str">
        <f t="shared" si="8"/>
        <v>LOCKS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217.66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15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4.7</v>
      </c>
      <c r="BJ224">
        <v>9</v>
      </c>
      <c r="BK224">
        <v>9</v>
      </c>
      <c r="BL224">
        <v>583.72</v>
      </c>
      <c r="BM224">
        <v>87.56</v>
      </c>
      <c r="BN224">
        <v>671.28</v>
      </c>
      <c r="BO224">
        <v>671.28</v>
      </c>
      <c r="BQ224" t="s">
        <v>489</v>
      </c>
      <c r="BR224" t="s">
        <v>107</v>
      </c>
      <c r="BS224" s="3">
        <v>44825</v>
      </c>
      <c r="BT224" s="4">
        <v>0.70138888888888884</v>
      </c>
      <c r="BU224" t="s">
        <v>174</v>
      </c>
      <c r="BV224" t="s">
        <v>109</v>
      </c>
      <c r="BY224">
        <v>44904.6</v>
      </c>
      <c r="BZ224" t="s">
        <v>146</v>
      </c>
      <c r="CC224" t="s">
        <v>142</v>
      </c>
      <c r="CD224">
        <v>2745</v>
      </c>
      <c r="CE224" t="s">
        <v>85</v>
      </c>
      <c r="CI224">
        <v>1</v>
      </c>
      <c r="CJ224">
        <v>2</v>
      </c>
      <c r="CK224">
        <v>23</v>
      </c>
    </row>
    <row r="225" spans="1:89" x14ac:dyDescent="0.3">
      <c r="A225" t="s">
        <v>72</v>
      </c>
      <c r="B225" t="s">
        <v>73</v>
      </c>
      <c r="C225" t="s">
        <v>74</v>
      </c>
      <c r="E225" t="str">
        <f>"009942724021"</f>
        <v>009942724021</v>
      </c>
      <c r="F225" s="3">
        <v>44823</v>
      </c>
      <c r="G225">
        <v>202306</v>
      </c>
      <c r="H225" t="s">
        <v>96</v>
      </c>
      <c r="I225" t="s">
        <v>97</v>
      </c>
      <c r="J225" t="s">
        <v>80</v>
      </c>
      <c r="L225" t="s">
        <v>490</v>
      </c>
      <c r="M225" t="s">
        <v>491</v>
      </c>
      <c r="N225" t="s">
        <v>492</v>
      </c>
      <c r="O225" t="s">
        <v>81</v>
      </c>
      <c r="P225" t="str">
        <f t="shared" si="8"/>
        <v>LOCKS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52.2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3.8</v>
      </c>
      <c r="BJ225">
        <v>1.9</v>
      </c>
      <c r="BK225">
        <v>4</v>
      </c>
      <c r="BL225">
        <v>141.65</v>
      </c>
      <c r="BM225">
        <v>21.25</v>
      </c>
      <c r="BN225">
        <v>162.9</v>
      </c>
      <c r="BO225">
        <v>162.9</v>
      </c>
      <c r="BQ225" t="s">
        <v>493</v>
      </c>
      <c r="BR225" t="s">
        <v>107</v>
      </c>
      <c r="BS225" s="3">
        <v>44824</v>
      </c>
      <c r="BT225" s="4">
        <v>0.44097222222222227</v>
      </c>
      <c r="BU225" t="s">
        <v>494</v>
      </c>
      <c r="BV225" t="s">
        <v>83</v>
      </c>
      <c r="BY225">
        <v>9517.5</v>
      </c>
      <c r="BZ225" t="s">
        <v>84</v>
      </c>
      <c r="CA225" t="s">
        <v>495</v>
      </c>
      <c r="CC225" t="s">
        <v>491</v>
      </c>
      <c r="CD225">
        <v>46</v>
      </c>
      <c r="CE225" t="s">
        <v>85</v>
      </c>
      <c r="CI225">
        <v>3</v>
      </c>
      <c r="CJ225">
        <v>1</v>
      </c>
      <c r="CK225">
        <v>41</v>
      </c>
    </row>
    <row r="226" spans="1:89" x14ac:dyDescent="0.3">
      <c r="A226" t="s">
        <v>72</v>
      </c>
      <c r="B226" t="s">
        <v>73</v>
      </c>
      <c r="C226" t="s">
        <v>74</v>
      </c>
      <c r="E226" t="str">
        <f>"009942724020"</f>
        <v>009942724020</v>
      </c>
      <c r="F226" s="3">
        <v>44823</v>
      </c>
      <c r="G226">
        <v>202306</v>
      </c>
      <c r="H226" t="s">
        <v>96</v>
      </c>
      <c r="I226" t="s">
        <v>97</v>
      </c>
      <c r="J226" t="s">
        <v>80</v>
      </c>
      <c r="L226" t="s">
        <v>78</v>
      </c>
      <c r="M226" t="s">
        <v>79</v>
      </c>
      <c r="N226" t="s">
        <v>496</v>
      </c>
      <c r="O226" t="s">
        <v>81</v>
      </c>
      <c r="P226" t="str">
        <f t="shared" si="8"/>
        <v>LOCKS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40.28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5</v>
      </c>
      <c r="BJ226">
        <v>4.7</v>
      </c>
      <c r="BK226">
        <v>5</v>
      </c>
      <c r="BL226">
        <v>110.5</v>
      </c>
      <c r="BM226">
        <v>16.579999999999998</v>
      </c>
      <c r="BN226">
        <v>127.08</v>
      </c>
      <c r="BO226">
        <v>127.08</v>
      </c>
      <c r="BQ226" t="s">
        <v>493</v>
      </c>
      <c r="BR226" t="s">
        <v>107</v>
      </c>
      <c r="BS226" s="3">
        <v>44824</v>
      </c>
      <c r="BT226" s="4">
        <v>0.61875000000000002</v>
      </c>
      <c r="BU226" t="s">
        <v>497</v>
      </c>
      <c r="BV226" t="s">
        <v>83</v>
      </c>
      <c r="BY226">
        <v>23379.84</v>
      </c>
      <c r="BZ226" t="s">
        <v>84</v>
      </c>
      <c r="CA226" t="s">
        <v>276</v>
      </c>
      <c r="CC226" t="s">
        <v>79</v>
      </c>
      <c r="CD226">
        <v>2196</v>
      </c>
      <c r="CE226" t="s">
        <v>85</v>
      </c>
      <c r="CI226">
        <v>3</v>
      </c>
      <c r="CJ226">
        <v>1</v>
      </c>
      <c r="CK226">
        <v>42</v>
      </c>
    </row>
    <row r="227" spans="1:89" x14ac:dyDescent="0.3">
      <c r="A227" t="s">
        <v>72</v>
      </c>
      <c r="B227" t="s">
        <v>73</v>
      </c>
      <c r="C227" t="s">
        <v>74</v>
      </c>
      <c r="E227" t="str">
        <f>"009941567837"</f>
        <v>009941567837</v>
      </c>
      <c r="F227" s="3">
        <v>44823</v>
      </c>
      <c r="G227">
        <v>202306</v>
      </c>
      <c r="H227" t="s">
        <v>96</v>
      </c>
      <c r="I227" t="s">
        <v>97</v>
      </c>
      <c r="J227" t="s">
        <v>80</v>
      </c>
      <c r="L227" t="s">
        <v>86</v>
      </c>
      <c r="M227" t="s">
        <v>87</v>
      </c>
      <c r="N227" t="s">
        <v>80</v>
      </c>
      <c r="O227" t="s">
        <v>105</v>
      </c>
      <c r="P227" t="str">
        <f t="shared" si="8"/>
        <v>LOCKS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52.3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136.66</v>
      </c>
      <c r="BM227">
        <v>20.5</v>
      </c>
      <c r="BN227">
        <v>157.16</v>
      </c>
      <c r="BO227">
        <v>157.16</v>
      </c>
      <c r="BQ227" t="s">
        <v>498</v>
      </c>
      <c r="BR227" t="s">
        <v>144</v>
      </c>
      <c r="BS227" s="3">
        <v>44824</v>
      </c>
      <c r="BT227" s="4">
        <v>0.43055555555555558</v>
      </c>
      <c r="BU227" t="s">
        <v>433</v>
      </c>
      <c r="BV227" t="s">
        <v>83</v>
      </c>
      <c r="BY227">
        <v>1200</v>
      </c>
      <c r="BZ227" t="s">
        <v>110</v>
      </c>
      <c r="CC227" t="s">
        <v>87</v>
      </c>
      <c r="CD227">
        <v>2570</v>
      </c>
      <c r="CE227" t="s">
        <v>85</v>
      </c>
      <c r="CI227">
        <v>1</v>
      </c>
      <c r="CJ227">
        <v>1</v>
      </c>
      <c r="CK227">
        <v>23</v>
      </c>
    </row>
    <row r="228" spans="1:89" x14ac:dyDescent="0.3">
      <c r="A228" t="s">
        <v>72</v>
      </c>
      <c r="B228" t="s">
        <v>73</v>
      </c>
      <c r="C228" t="s">
        <v>74</v>
      </c>
      <c r="E228" t="str">
        <f>"009941856073"</f>
        <v>009941856073</v>
      </c>
      <c r="F228" s="3">
        <v>44823</v>
      </c>
      <c r="G228">
        <v>202306</v>
      </c>
      <c r="H228" t="s">
        <v>96</v>
      </c>
      <c r="I228" t="s">
        <v>97</v>
      </c>
      <c r="J228" t="s">
        <v>80</v>
      </c>
      <c r="L228" t="s">
        <v>147</v>
      </c>
      <c r="M228" t="s">
        <v>148</v>
      </c>
      <c r="N228" t="s">
        <v>80</v>
      </c>
      <c r="O228" t="s">
        <v>105</v>
      </c>
      <c r="P228" t="str">
        <f t="shared" si="8"/>
        <v>LOCKS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26.99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0.8</v>
      </c>
      <c r="BJ228">
        <v>1</v>
      </c>
      <c r="BK228">
        <v>1</v>
      </c>
      <c r="BL228">
        <v>70.53</v>
      </c>
      <c r="BM228">
        <v>10.58</v>
      </c>
      <c r="BN228">
        <v>81.11</v>
      </c>
      <c r="BO228">
        <v>81.11</v>
      </c>
      <c r="BQ228" t="s">
        <v>193</v>
      </c>
      <c r="BR228" t="s">
        <v>107</v>
      </c>
      <c r="BS228" s="3">
        <v>44824</v>
      </c>
      <c r="BT228" s="4">
        <v>0.3527777777777778</v>
      </c>
      <c r="BU228" t="s">
        <v>389</v>
      </c>
      <c r="BV228" t="s">
        <v>83</v>
      </c>
      <c r="BY228">
        <v>4874.17</v>
      </c>
      <c r="BZ228" t="s">
        <v>110</v>
      </c>
      <c r="CA228" t="s">
        <v>195</v>
      </c>
      <c r="CC228" t="s">
        <v>148</v>
      </c>
      <c r="CD228">
        <v>7700</v>
      </c>
      <c r="CE228" t="s">
        <v>85</v>
      </c>
      <c r="CI228">
        <v>1</v>
      </c>
      <c r="CJ228">
        <v>1</v>
      </c>
      <c r="CK228">
        <v>21</v>
      </c>
    </row>
    <row r="229" spans="1:89" x14ac:dyDescent="0.3">
      <c r="A229" t="s">
        <v>72</v>
      </c>
      <c r="B229" t="s">
        <v>73</v>
      </c>
      <c r="C229" t="s">
        <v>74</v>
      </c>
      <c r="E229" t="str">
        <f>"009942317296"</f>
        <v>009942317296</v>
      </c>
      <c r="F229" s="3">
        <v>44823</v>
      </c>
      <c r="G229">
        <v>202306</v>
      </c>
      <c r="H229" t="s">
        <v>102</v>
      </c>
      <c r="I229" t="s">
        <v>103</v>
      </c>
      <c r="J229" t="s">
        <v>333</v>
      </c>
      <c r="L229" t="s">
        <v>96</v>
      </c>
      <c r="M229" t="s">
        <v>97</v>
      </c>
      <c r="N229" t="s">
        <v>262</v>
      </c>
      <c r="O229" t="s">
        <v>81</v>
      </c>
      <c r="P229" t="str">
        <f>""</f>
        <v/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401.04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3</v>
      </c>
      <c r="BI229">
        <v>90</v>
      </c>
      <c r="BJ229">
        <v>101.2</v>
      </c>
      <c r="BK229">
        <v>102</v>
      </c>
      <c r="BL229">
        <v>1053.1300000000001</v>
      </c>
      <c r="BM229">
        <v>157.97</v>
      </c>
      <c r="BN229">
        <v>1211.0999999999999</v>
      </c>
      <c r="BO229">
        <v>1211.0999999999999</v>
      </c>
      <c r="BQ229" t="s">
        <v>167</v>
      </c>
      <c r="BR229" t="s">
        <v>499</v>
      </c>
      <c r="BS229" s="3">
        <v>44824</v>
      </c>
      <c r="BT229" s="4">
        <v>0.35694444444444445</v>
      </c>
      <c r="BU229" t="s">
        <v>382</v>
      </c>
      <c r="BV229" t="s">
        <v>83</v>
      </c>
      <c r="BY229">
        <v>506136</v>
      </c>
      <c r="BZ229" t="s">
        <v>84</v>
      </c>
      <c r="CA229" t="s">
        <v>170</v>
      </c>
      <c r="CC229" t="s">
        <v>97</v>
      </c>
      <c r="CD229">
        <v>2146</v>
      </c>
      <c r="CE229" t="s">
        <v>85</v>
      </c>
      <c r="CI229">
        <v>3</v>
      </c>
      <c r="CJ229">
        <v>1</v>
      </c>
      <c r="CK229">
        <v>43</v>
      </c>
    </row>
    <row r="230" spans="1:89" x14ac:dyDescent="0.3">
      <c r="A230" t="s">
        <v>72</v>
      </c>
      <c r="B230" t="s">
        <v>73</v>
      </c>
      <c r="C230" t="s">
        <v>74</v>
      </c>
      <c r="E230" t="str">
        <f>"009941274004"</f>
        <v>009941274004</v>
      </c>
      <c r="F230" s="3">
        <v>44823</v>
      </c>
      <c r="G230">
        <v>202306</v>
      </c>
      <c r="H230" t="s">
        <v>199</v>
      </c>
      <c r="I230" t="s">
        <v>200</v>
      </c>
      <c r="J230" t="s">
        <v>80</v>
      </c>
      <c r="L230" t="s">
        <v>96</v>
      </c>
      <c r="M230" t="s">
        <v>97</v>
      </c>
      <c r="N230" t="s">
        <v>80</v>
      </c>
      <c r="O230" t="s">
        <v>81</v>
      </c>
      <c r="P230" t="str">
        <f>""</f>
        <v/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52.2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141.65</v>
      </c>
      <c r="BM230">
        <v>21.25</v>
      </c>
      <c r="BN230">
        <v>162.9</v>
      </c>
      <c r="BO230">
        <v>162.9</v>
      </c>
      <c r="BQ230" t="s">
        <v>124</v>
      </c>
      <c r="BR230" t="s">
        <v>500</v>
      </c>
      <c r="BS230" s="3">
        <v>44824</v>
      </c>
      <c r="BT230" s="4">
        <v>0.35902777777777778</v>
      </c>
      <c r="BU230" t="s">
        <v>382</v>
      </c>
      <c r="BV230" t="s">
        <v>83</v>
      </c>
      <c r="BY230">
        <v>1200</v>
      </c>
      <c r="BZ230" t="s">
        <v>84</v>
      </c>
      <c r="CA230" t="s">
        <v>170</v>
      </c>
      <c r="CC230" t="s">
        <v>97</v>
      </c>
      <c r="CD230">
        <v>2146</v>
      </c>
      <c r="CE230" t="s">
        <v>85</v>
      </c>
      <c r="CI230">
        <v>3</v>
      </c>
      <c r="CJ230">
        <v>1</v>
      </c>
      <c r="CK230">
        <v>41</v>
      </c>
    </row>
    <row r="231" spans="1:89" x14ac:dyDescent="0.3">
      <c r="A231" t="s">
        <v>72</v>
      </c>
      <c r="B231" t="s">
        <v>73</v>
      </c>
      <c r="C231" t="s">
        <v>74</v>
      </c>
      <c r="E231" t="str">
        <f>"009942333490"</f>
        <v>009942333490</v>
      </c>
      <c r="F231" s="3">
        <v>44824</v>
      </c>
      <c r="G231">
        <v>202306</v>
      </c>
      <c r="H231" t="s">
        <v>303</v>
      </c>
      <c r="I231" t="s">
        <v>304</v>
      </c>
      <c r="J231" t="s">
        <v>262</v>
      </c>
      <c r="L231" t="s">
        <v>96</v>
      </c>
      <c r="M231" t="s">
        <v>97</v>
      </c>
      <c r="N231" t="s">
        <v>501</v>
      </c>
      <c r="O231" t="s">
        <v>81</v>
      </c>
      <c r="P231" t="str">
        <f>""</f>
        <v/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54.36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10.5</v>
      </c>
      <c r="BJ231">
        <v>15.1</v>
      </c>
      <c r="BK231">
        <v>16</v>
      </c>
      <c r="BL231">
        <v>147.28</v>
      </c>
      <c r="BM231">
        <v>22.09</v>
      </c>
      <c r="BN231">
        <v>169.37</v>
      </c>
      <c r="BO231">
        <v>169.37</v>
      </c>
      <c r="BQ231" t="s">
        <v>167</v>
      </c>
      <c r="BR231" t="s">
        <v>305</v>
      </c>
      <c r="BS231" s="3">
        <v>44825</v>
      </c>
      <c r="BT231" s="4">
        <v>0.34236111111111112</v>
      </c>
      <c r="BU231" t="s">
        <v>382</v>
      </c>
      <c r="BV231" t="s">
        <v>83</v>
      </c>
      <c r="BY231">
        <v>75520</v>
      </c>
      <c r="CA231" t="s">
        <v>170</v>
      </c>
      <c r="CC231" t="s">
        <v>97</v>
      </c>
      <c r="CD231">
        <v>2146</v>
      </c>
      <c r="CE231" t="s">
        <v>85</v>
      </c>
      <c r="CI231">
        <v>3</v>
      </c>
      <c r="CJ231">
        <v>1</v>
      </c>
      <c r="CK231">
        <v>41</v>
      </c>
    </row>
    <row r="232" spans="1:89" x14ac:dyDescent="0.3">
      <c r="A232" t="s">
        <v>72</v>
      </c>
      <c r="B232" t="s">
        <v>73</v>
      </c>
      <c r="C232" t="s">
        <v>74</v>
      </c>
      <c r="E232" t="str">
        <f>"009941399036"</f>
        <v>009941399036</v>
      </c>
      <c r="F232" s="3">
        <v>44824</v>
      </c>
      <c r="G232">
        <v>202306</v>
      </c>
      <c r="H232" t="s">
        <v>136</v>
      </c>
      <c r="I232" t="s">
        <v>137</v>
      </c>
      <c r="J232" t="s">
        <v>248</v>
      </c>
      <c r="L232" t="s">
        <v>112</v>
      </c>
      <c r="M232" t="s">
        <v>113</v>
      </c>
      <c r="N232" t="s">
        <v>502</v>
      </c>
      <c r="O232" t="s">
        <v>105</v>
      </c>
      <c r="P232" t="str">
        <f>""</f>
        <v/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52.3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136.66</v>
      </c>
      <c r="BM232">
        <v>20.5</v>
      </c>
      <c r="BN232">
        <v>157.16</v>
      </c>
      <c r="BO232">
        <v>157.16</v>
      </c>
      <c r="BQ232" t="s">
        <v>461</v>
      </c>
      <c r="BR232" t="s">
        <v>251</v>
      </c>
      <c r="BS232" s="3">
        <v>44825</v>
      </c>
      <c r="BT232" s="4">
        <v>0.58958333333333335</v>
      </c>
      <c r="BU232" t="s">
        <v>461</v>
      </c>
      <c r="BV232" t="s">
        <v>109</v>
      </c>
      <c r="BY232">
        <v>1200</v>
      </c>
      <c r="BZ232" t="s">
        <v>110</v>
      </c>
      <c r="CA232" t="s">
        <v>503</v>
      </c>
      <c r="CC232" t="s">
        <v>113</v>
      </c>
      <c r="CD232">
        <v>9330</v>
      </c>
      <c r="CE232" t="s">
        <v>85</v>
      </c>
      <c r="CI232">
        <v>2</v>
      </c>
      <c r="CJ232">
        <v>1</v>
      </c>
      <c r="CK232">
        <v>23</v>
      </c>
    </row>
    <row r="233" spans="1:89" x14ac:dyDescent="0.3">
      <c r="A233" t="s">
        <v>72</v>
      </c>
      <c r="B233" t="s">
        <v>73</v>
      </c>
      <c r="C233" t="s">
        <v>74</v>
      </c>
      <c r="E233" t="str">
        <f>"009939946803"</f>
        <v>009939946803</v>
      </c>
      <c r="F233" s="3">
        <v>44824</v>
      </c>
      <c r="G233">
        <v>202306</v>
      </c>
      <c r="H233" t="s">
        <v>119</v>
      </c>
      <c r="I233" t="s">
        <v>120</v>
      </c>
      <c r="J233" t="s">
        <v>283</v>
      </c>
      <c r="L233" t="s">
        <v>78</v>
      </c>
      <c r="M233" t="s">
        <v>79</v>
      </c>
      <c r="N233" t="s">
        <v>425</v>
      </c>
      <c r="O233" t="s">
        <v>421</v>
      </c>
      <c r="P233" t="str">
        <f t="shared" ref="P233:P243" si="9">"LOCKS"</f>
        <v>LOCKS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50.62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132.26</v>
      </c>
      <c r="BM233">
        <v>19.84</v>
      </c>
      <c r="BN233">
        <v>152.1</v>
      </c>
      <c r="BO233">
        <v>152.1</v>
      </c>
      <c r="BQ233" t="s">
        <v>379</v>
      </c>
      <c r="BR233" t="s">
        <v>423</v>
      </c>
      <c r="BS233" s="3">
        <v>44825</v>
      </c>
      <c r="BT233" s="4">
        <v>0.4777777777777778</v>
      </c>
      <c r="BU233" t="s">
        <v>169</v>
      </c>
      <c r="BV233" t="s">
        <v>83</v>
      </c>
      <c r="BY233">
        <v>1200</v>
      </c>
      <c r="BZ233" t="s">
        <v>84</v>
      </c>
      <c r="CA233" t="s">
        <v>211</v>
      </c>
      <c r="CC233" t="s">
        <v>79</v>
      </c>
      <c r="CD233">
        <v>2090</v>
      </c>
      <c r="CE233" t="s">
        <v>85</v>
      </c>
      <c r="CI233">
        <v>1</v>
      </c>
      <c r="CJ233">
        <v>1</v>
      </c>
      <c r="CK233">
        <v>31</v>
      </c>
    </row>
    <row r="234" spans="1:89" x14ac:dyDescent="0.3">
      <c r="A234" t="s">
        <v>72</v>
      </c>
      <c r="B234" t="s">
        <v>73</v>
      </c>
      <c r="C234" t="s">
        <v>74</v>
      </c>
      <c r="E234" t="str">
        <f>"009942319895"</f>
        <v>009942319895</v>
      </c>
      <c r="F234" s="3">
        <v>44824</v>
      </c>
      <c r="G234">
        <v>202306</v>
      </c>
      <c r="H234" t="s">
        <v>96</v>
      </c>
      <c r="I234" t="s">
        <v>97</v>
      </c>
      <c r="J234" t="s">
        <v>80</v>
      </c>
      <c r="L234" t="s">
        <v>303</v>
      </c>
      <c r="M234" t="s">
        <v>304</v>
      </c>
      <c r="N234" t="s">
        <v>80</v>
      </c>
      <c r="O234" t="s">
        <v>105</v>
      </c>
      <c r="P234" t="str">
        <f t="shared" si="9"/>
        <v>LOCKS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26.99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1.4</v>
      </c>
      <c r="BJ234">
        <v>1.3</v>
      </c>
      <c r="BK234">
        <v>1.5</v>
      </c>
      <c r="BL234">
        <v>70.53</v>
      </c>
      <c r="BM234">
        <v>10.58</v>
      </c>
      <c r="BN234">
        <v>81.11</v>
      </c>
      <c r="BO234">
        <v>81.11</v>
      </c>
      <c r="BQ234" t="s">
        <v>504</v>
      </c>
      <c r="BR234" t="s">
        <v>124</v>
      </c>
      <c r="BS234" s="3">
        <v>44825</v>
      </c>
      <c r="BT234" s="4">
        <v>0.375</v>
      </c>
      <c r="BU234" t="s">
        <v>305</v>
      </c>
      <c r="BV234" t="s">
        <v>83</v>
      </c>
      <c r="BY234">
        <v>6570.72</v>
      </c>
      <c r="BZ234" t="s">
        <v>110</v>
      </c>
      <c r="CC234" t="s">
        <v>304</v>
      </c>
      <c r="CD234">
        <v>9459</v>
      </c>
      <c r="CE234" t="s">
        <v>85</v>
      </c>
      <c r="CI234">
        <v>1</v>
      </c>
      <c r="CJ234">
        <v>1</v>
      </c>
      <c r="CK234">
        <v>21</v>
      </c>
    </row>
    <row r="235" spans="1:89" x14ac:dyDescent="0.3">
      <c r="A235" t="s">
        <v>72</v>
      </c>
      <c r="B235" t="s">
        <v>73</v>
      </c>
      <c r="C235" t="s">
        <v>74</v>
      </c>
      <c r="E235" t="str">
        <f>"009941735704"</f>
        <v>009941735704</v>
      </c>
      <c r="F235" s="3">
        <v>44824</v>
      </c>
      <c r="G235">
        <v>202306</v>
      </c>
      <c r="H235" t="s">
        <v>96</v>
      </c>
      <c r="I235" t="s">
        <v>97</v>
      </c>
      <c r="J235" t="s">
        <v>80</v>
      </c>
      <c r="L235" t="s">
        <v>131</v>
      </c>
      <c r="M235" t="s">
        <v>132</v>
      </c>
      <c r="N235" t="s">
        <v>80</v>
      </c>
      <c r="O235" t="s">
        <v>105</v>
      </c>
      <c r="P235" t="str">
        <f t="shared" si="9"/>
        <v>LOCKS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52.3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136.66</v>
      </c>
      <c r="BM235">
        <v>20.5</v>
      </c>
      <c r="BN235">
        <v>157.16</v>
      </c>
      <c r="BO235">
        <v>157.16</v>
      </c>
      <c r="BQ235" t="s">
        <v>301</v>
      </c>
      <c r="BR235" t="s">
        <v>149</v>
      </c>
      <c r="BS235" s="3">
        <v>44825</v>
      </c>
      <c r="BT235" s="4">
        <v>0.56458333333333333</v>
      </c>
      <c r="BU235" t="s">
        <v>487</v>
      </c>
      <c r="BV235" t="s">
        <v>83</v>
      </c>
      <c r="BY235">
        <v>1200</v>
      </c>
      <c r="BZ235" t="s">
        <v>110</v>
      </c>
      <c r="CA235" t="s">
        <v>322</v>
      </c>
      <c r="CC235" t="s">
        <v>132</v>
      </c>
      <c r="CD235">
        <v>1150</v>
      </c>
      <c r="CE235" t="s">
        <v>85</v>
      </c>
      <c r="CI235">
        <v>1</v>
      </c>
      <c r="CJ235">
        <v>1</v>
      </c>
      <c r="CK235">
        <v>23</v>
      </c>
    </row>
    <row r="236" spans="1:89" x14ac:dyDescent="0.3">
      <c r="A236" t="s">
        <v>72</v>
      </c>
      <c r="B236" t="s">
        <v>73</v>
      </c>
      <c r="C236" t="s">
        <v>74</v>
      </c>
      <c r="E236" t="str">
        <f>"009941310030"</f>
        <v>009941310030</v>
      </c>
      <c r="F236" s="3">
        <v>44824</v>
      </c>
      <c r="G236">
        <v>202306</v>
      </c>
      <c r="H236" t="s">
        <v>96</v>
      </c>
      <c r="I236" t="s">
        <v>97</v>
      </c>
      <c r="J236" t="s">
        <v>80</v>
      </c>
      <c r="L236" t="s">
        <v>88</v>
      </c>
      <c r="M236" t="s">
        <v>89</v>
      </c>
      <c r="N236" t="s">
        <v>80</v>
      </c>
      <c r="O236" t="s">
        <v>81</v>
      </c>
      <c r="P236" t="str">
        <f t="shared" si="9"/>
        <v>LOCKS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115.02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5.3</v>
      </c>
      <c r="BJ236">
        <v>25.9</v>
      </c>
      <c r="BK236">
        <v>26</v>
      </c>
      <c r="BL236">
        <v>305.79000000000002</v>
      </c>
      <c r="BM236">
        <v>45.87</v>
      </c>
      <c r="BN236">
        <v>351.66</v>
      </c>
      <c r="BO236">
        <v>351.66</v>
      </c>
      <c r="BQ236" t="s">
        <v>117</v>
      </c>
      <c r="BR236" t="s">
        <v>115</v>
      </c>
      <c r="BS236" s="3">
        <v>44825</v>
      </c>
      <c r="BT236" s="4">
        <v>0.5131944444444444</v>
      </c>
      <c r="BU236" t="s">
        <v>92</v>
      </c>
      <c r="BV236" t="s">
        <v>83</v>
      </c>
      <c r="BY236">
        <v>129748.15</v>
      </c>
      <c r="BZ236" t="s">
        <v>84</v>
      </c>
      <c r="CA236" t="s">
        <v>255</v>
      </c>
      <c r="CC236" t="s">
        <v>89</v>
      </c>
      <c r="CD236">
        <v>300</v>
      </c>
      <c r="CE236" t="s">
        <v>85</v>
      </c>
      <c r="CI236">
        <v>4</v>
      </c>
      <c r="CJ236">
        <v>1</v>
      </c>
      <c r="CK236">
        <v>43</v>
      </c>
    </row>
    <row r="237" spans="1:89" x14ac:dyDescent="0.3">
      <c r="A237" t="s">
        <v>72</v>
      </c>
      <c r="B237" t="s">
        <v>73</v>
      </c>
      <c r="C237" t="s">
        <v>74</v>
      </c>
      <c r="E237" t="str">
        <f>"009942295996"</f>
        <v>009942295996</v>
      </c>
      <c r="F237" s="3">
        <v>44824</v>
      </c>
      <c r="G237">
        <v>202306</v>
      </c>
      <c r="H237" t="s">
        <v>96</v>
      </c>
      <c r="I237" t="s">
        <v>97</v>
      </c>
      <c r="J237" t="s">
        <v>80</v>
      </c>
      <c r="L237" t="s">
        <v>125</v>
      </c>
      <c r="M237" t="s">
        <v>126</v>
      </c>
      <c r="N237" t="s">
        <v>80</v>
      </c>
      <c r="O237" t="s">
        <v>81</v>
      </c>
      <c r="P237" t="str">
        <f t="shared" si="9"/>
        <v>LOCKS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84.48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26.5</v>
      </c>
      <c r="BJ237">
        <v>29.2</v>
      </c>
      <c r="BK237">
        <v>30</v>
      </c>
      <c r="BL237">
        <v>225.98</v>
      </c>
      <c r="BM237">
        <v>33.9</v>
      </c>
      <c r="BN237">
        <v>259.88</v>
      </c>
      <c r="BO237">
        <v>259.88</v>
      </c>
      <c r="BQ237" t="s">
        <v>115</v>
      </c>
      <c r="BR237" t="s">
        <v>115</v>
      </c>
      <c r="BS237" s="3">
        <v>44825</v>
      </c>
      <c r="BT237" s="4">
        <v>0.37847222222222227</v>
      </c>
      <c r="BU237" t="s">
        <v>505</v>
      </c>
      <c r="BV237" t="s">
        <v>83</v>
      </c>
      <c r="BY237">
        <v>146161.84</v>
      </c>
      <c r="BZ237" t="s">
        <v>84</v>
      </c>
      <c r="CA237" t="s">
        <v>506</v>
      </c>
      <c r="CC237" t="s">
        <v>126</v>
      </c>
      <c r="CD237">
        <v>3201</v>
      </c>
      <c r="CE237" t="s">
        <v>85</v>
      </c>
      <c r="CI237">
        <v>3</v>
      </c>
      <c r="CJ237">
        <v>1</v>
      </c>
      <c r="CK237">
        <v>41</v>
      </c>
    </row>
    <row r="238" spans="1:89" x14ac:dyDescent="0.3">
      <c r="A238" t="s">
        <v>72</v>
      </c>
      <c r="B238" t="s">
        <v>73</v>
      </c>
      <c r="C238" t="s">
        <v>74</v>
      </c>
      <c r="E238" t="str">
        <f>"009941856072"</f>
        <v>009941856072</v>
      </c>
      <c r="F238" s="3">
        <v>44824</v>
      </c>
      <c r="G238">
        <v>202306</v>
      </c>
      <c r="H238" t="s">
        <v>96</v>
      </c>
      <c r="I238" t="s">
        <v>97</v>
      </c>
      <c r="J238" t="s">
        <v>80</v>
      </c>
      <c r="L238" t="s">
        <v>147</v>
      </c>
      <c r="M238" t="s">
        <v>148</v>
      </c>
      <c r="N238" t="s">
        <v>80</v>
      </c>
      <c r="O238" t="s">
        <v>105</v>
      </c>
      <c r="P238" t="str">
        <f t="shared" si="9"/>
        <v>LOCKS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26.99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70.53</v>
      </c>
      <c r="BM238">
        <v>10.58</v>
      </c>
      <c r="BN238">
        <v>81.11</v>
      </c>
      <c r="BO238">
        <v>81.11</v>
      </c>
      <c r="BQ238" t="s">
        <v>507</v>
      </c>
      <c r="BR238" t="s">
        <v>107</v>
      </c>
      <c r="BS238" s="3">
        <v>44825</v>
      </c>
      <c r="BT238" s="4">
        <v>0.35555555555555557</v>
      </c>
      <c r="BU238" t="s">
        <v>508</v>
      </c>
      <c r="BV238" t="s">
        <v>83</v>
      </c>
      <c r="BY238">
        <v>1200</v>
      </c>
      <c r="BZ238" t="s">
        <v>110</v>
      </c>
      <c r="CA238" t="s">
        <v>195</v>
      </c>
      <c r="CC238" t="s">
        <v>148</v>
      </c>
      <c r="CD238">
        <v>7925</v>
      </c>
      <c r="CE238" t="s">
        <v>85</v>
      </c>
      <c r="CI238">
        <v>1</v>
      </c>
      <c r="CJ238">
        <v>1</v>
      </c>
      <c r="CK238">
        <v>21</v>
      </c>
    </row>
    <row r="239" spans="1:89" x14ac:dyDescent="0.3">
      <c r="A239" t="s">
        <v>72</v>
      </c>
      <c r="B239" t="s">
        <v>73</v>
      </c>
      <c r="C239" t="s">
        <v>74</v>
      </c>
      <c r="E239" t="str">
        <f>"009941332863"</f>
        <v>009941332863</v>
      </c>
      <c r="F239" s="3">
        <v>44824</v>
      </c>
      <c r="G239">
        <v>202306</v>
      </c>
      <c r="H239" t="s">
        <v>96</v>
      </c>
      <c r="I239" t="s">
        <v>97</v>
      </c>
      <c r="J239" t="s">
        <v>80</v>
      </c>
      <c r="L239" t="s">
        <v>119</v>
      </c>
      <c r="M239" t="s">
        <v>120</v>
      </c>
      <c r="N239" t="s">
        <v>80</v>
      </c>
      <c r="O239" t="s">
        <v>81</v>
      </c>
      <c r="P239" t="str">
        <f t="shared" si="9"/>
        <v>LOCKS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52.2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4.5999999999999996</v>
      </c>
      <c r="BJ239">
        <v>4.7</v>
      </c>
      <c r="BK239">
        <v>5</v>
      </c>
      <c r="BL239">
        <v>141.65</v>
      </c>
      <c r="BM239">
        <v>21.25</v>
      </c>
      <c r="BN239">
        <v>162.9</v>
      </c>
      <c r="BO239">
        <v>162.9</v>
      </c>
      <c r="BQ239" t="s">
        <v>115</v>
      </c>
      <c r="BR239" t="s">
        <v>115</v>
      </c>
      <c r="BS239" s="3">
        <v>44825</v>
      </c>
      <c r="BT239" s="4">
        <v>0.39097222222222222</v>
      </c>
      <c r="BU239" t="s">
        <v>122</v>
      </c>
      <c r="BV239" t="s">
        <v>83</v>
      </c>
      <c r="BY239">
        <v>23485</v>
      </c>
      <c r="BZ239" t="s">
        <v>84</v>
      </c>
      <c r="CA239" t="s">
        <v>123</v>
      </c>
      <c r="CC239" t="s">
        <v>120</v>
      </c>
      <c r="CD239">
        <v>4091</v>
      </c>
      <c r="CE239" t="s">
        <v>85</v>
      </c>
      <c r="CI239">
        <v>4</v>
      </c>
      <c r="CJ239">
        <v>1</v>
      </c>
      <c r="CK239">
        <v>41</v>
      </c>
    </row>
    <row r="240" spans="1:89" x14ac:dyDescent="0.3">
      <c r="A240" t="s">
        <v>72</v>
      </c>
      <c r="B240" t="s">
        <v>73</v>
      </c>
      <c r="C240" t="s">
        <v>74</v>
      </c>
      <c r="E240" t="str">
        <f>"009942133679"</f>
        <v>009942133679</v>
      </c>
      <c r="F240" s="3">
        <v>44824</v>
      </c>
      <c r="G240">
        <v>202306</v>
      </c>
      <c r="H240" t="s">
        <v>96</v>
      </c>
      <c r="I240" t="s">
        <v>97</v>
      </c>
      <c r="J240" t="s">
        <v>80</v>
      </c>
      <c r="L240" t="s">
        <v>328</v>
      </c>
      <c r="M240" t="s">
        <v>329</v>
      </c>
      <c r="N240" t="s">
        <v>80</v>
      </c>
      <c r="O240" t="s">
        <v>81</v>
      </c>
      <c r="P240" t="str">
        <f t="shared" si="9"/>
        <v>LOCKS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73.63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15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5.0999999999999996</v>
      </c>
      <c r="BJ240">
        <v>4.0999999999999996</v>
      </c>
      <c r="BK240">
        <v>6</v>
      </c>
      <c r="BL240">
        <v>212.63</v>
      </c>
      <c r="BM240">
        <v>31.89</v>
      </c>
      <c r="BN240">
        <v>244.52</v>
      </c>
      <c r="BO240">
        <v>244.52</v>
      </c>
      <c r="BQ240" t="s">
        <v>233</v>
      </c>
      <c r="BR240" t="s">
        <v>387</v>
      </c>
      <c r="BS240" s="3">
        <v>44825</v>
      </c>
      <c r="BT240" s="4">
        <v>0.62847222222222221</v>
      </c>
      <c r="BU240" t="s">
        <v>233</v>
      </c>
      <c r="BV240" t="s">
        <v>83</v>
      </c>
      <c r="BY240">
        <v>20706.72</v>
      </c>
      <c r="BZ240" t="s">
        <v>296</v>
      </c>
      <c r="CC240" t="s">
        <v>329</v>
      </c>
      <c r="CD240">
        <v>8460</v>
      </c>
      <c r="CE240" t="s">
        <v>85</v>
      </c>
      <c r="CI240">
        <v>4</v>
      </c>
      <c r="CJ240">
        <v>1</v>
      </c>
      <c r="CK240">
        <v>43</v>
      </c>
    </row>
    <row r="241" spans="1:89" x14ac:dyDescent="0.3">
      <c r="A241" t="s">
        <v>72</v>
      </c>
      <c r="B241" t="s">
        <v>73</v>
      </c>
      <c r="C241" t="s">
        <v>74</v>
      </c>
      <c r="E241" t="str">
        <f>"009941332862"</f>
        <v>009941332862</v>
      </c>
      <c r="F241" s="3">
        <v>44824</v>
      </c>
      <c r="G241">
        <v>202306</v>
      </c>
      <c r="H241" t="s">
        <v>96</v>
      </c>
      <c r="I241" t="s">
        <v>97</v>
      </c>
      <c r="J241" t="s">
        <v>80</v>
      </c>
      <c r="L241" t="s">
        <v>119</v>
      </c>
      <c r="M241" t="s">
        <v>120</v>
      </c>
      <c r="N241" t="s">
        <v>80</v>
      </c>
      <c r="O241" t="s">
        <v>81</v>
      </c>
      <c r="P241" t="str">
        <f t="shared" si="9"/>
        <v>LOCKS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110.29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41.9</v>
      </c>
      <c r="BJ241">
        <v>26.9</v>
      </c>
      <c r="BK241">
        <v>42</v>
      </c>
      <c r="BL241">
        <v>293.43</v>
      </c>
      <c r="BM241">
        <v>44.01</v>
      </c>
      <c r="BN241">
        <v>337.44</v>
      </c>
      <c r="BO241">
        <v>337.44</v>
      </c>
      <c r="BQ241" t="s">
        <v>196</v>
      </c>
      <c r="BR241" t="s">
        <v>115</v>
      </c>
      <c r="BS241" s="3">
        <v>44825</v>
      </c>
      <c r="BT241" s="4">
        <v>0.56319444444444444</v>
      </c>
      <c r="BU241" t="s">
        <v>509</v>
      </c>
      <c r="BV241" t="s">
        <v>83</v>
      </c>
      <c r="BY241">
        <v>134383.73000000001</v>
      </c>
      <c r="BZ241" t="s">
        <v>84</v>
      </c>
      <c r="CA241" t="s">
        <v>198</v>
      </c>
      <c r="CC241" t="s">
        <v>120</v>
      </c>
      <c r="CD241">
        <v>4091</v>
      </c>
      <c r="CE241" t="s">
        <v>85</v>
      </c>
      <c r="CI241">
        <v>4</v>
      </c>
      <c r="CJ241">
        <v>1</v>
      </c>
      <c r="CK241">
        <v>41</v>
      </c>
    </row>
    <row r="242" spans="1:89" x14ac:dyDescent="0.3">
      <c r="A242" t="s">
        <v>72</v>
      </c>
      <c r="B242" t="s">
        <v>73</v>
      </c>
      <c r="C242" t="s">
        <v>74</v>
      </c>
      <c r="E242" t="str">
        <f>"009942319896"</f>
        <v>009942319896</v>
      </c>
      <c r="F242" s="3">
        <v>44824</v>
      </c>
      <c r="G242">
        <v>202306</v>
      </c>
      <c r="H242" t="s">
        <v>96</v>
      </c>
      <c r="I242" t="s">
        <v>97</v>
      </c>
      <c r="J242" t="s">
        <v>80</v>
      </c>
      <c r="L242" t="s">
        <v>212</v>
      </c>
      <c r="M242" t="s">
        <v>213</v>
      </c>
      <c r="N242" t="s">
        <v>510</v>
      </c>
      <c r="O242" t="s">
        <v>105</v>
      </c>
      <c r="P242" t="str">
        <f t="shared" si="9"/>
        <v>LOCKS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21.09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3.4</v>
      </c>
      <c r="BJ242">
        <v>1.7</v>
      </c>
      <c r="BK242">
        <v>3.5</v>
      </c>
      <c r="BL242">
        <v>55.1</v>
      </c>
      <c r="BM242">
        <v>8.27</v>
      </c>
      <c r="BN242">
        <v>63.37</v>
      </c>
      <c r="BO242">
        <v>63.37</v>
      </c>
      <c r="BQ242" t="s">
        <v>422</v>
      </c>
      <c r="BR242" t="s">
        <v>124</v>
      </c>
      <c r="BS242" s="3">
        <v>44825</v>
      </c>
      <c r="BT242" s="4">
        <v>0.32083333333333336</v>
      </c>
      <c r="BU242" t="s">
        <v>511</v>
      </c>
      <c r="BV242" t="s">
        <v>83</v>
      </c>
      <c r="BY242">
        <v>8508.75</v>
      </c>
      <c r="BZ242" t="s">
        <v>110</v>
      </c>
      <c r="CA242" t="s">
        <v>217</v>
      </c>
      <c r="CC242" t="s">
        <v>213</v>
      </c>
      <c r="CD242">
        <v>2194</v>
      </c>
      <c r="CE242" t="s">
        <v>85</v>
      </c>
      <c r="CI242">
        <v>1</v>
      </c>
      <c r="CJ242">
        <v>1</v>
      </c>
      <c r="CK242">
        <v>22</v>
      </c>
    </row>
    <row r="243" spans="1:89" x14ac:dyDescent="0.3">
      <c r="A243" t="s">
        <v>72</v>
      </c>
      <c r="B243" t="s">
        <v>73</v>
      </c>
      <c r="C243" t="s">
        <v>74</v>
      </c>
      <c r="E243" t="str">
        <f>"009942600734"</f>
        <v>009942600734</v>
      </c>
      <c r="F243" s="3">
        <v>44824</v>
      </c>
      <c r="G243">
        <v>202306</v>
      </c>
      <c r="H243" t="s">
        <v>96</v>
      </c>
      <c r="I243" t="s">
        <v>97</v>
      </c>
      <c r="J243" t="s">
        <v>80</v>
      </c>
      <c r="L243" t="s">
        <v>186</v>
      </c>
      <c r="M243" t="s">
        <v>187</v>
      </c>
      <c r="N243" t="s">
        <v>80</v>
      </c>
      <c r="O243" t="s">
        <v>105</v>
      </c>
      <c r="P243" t="str">
        <f t="shared" si="9"/>
        <v>LOCKS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26.99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70.53</v>
      </c>
      <c r="BM243">
        <v>10.58</v>
      </c>
      <c r="BN243">
        <v>81.11</v>
      </c>
      <c r="BO243">
        <v>81.11</v>
      </c>
      <c r="BQ243" t="s">
        <v>115</v>
      </c>
      <c r="BR243" t="s">
        <v>107</v>
      </c>
      <c r="BS243" s="3">
        <v>44825</v>
      </c>
      <c r="BT243" s="4">
        <v>0.42222222222222222</v>
      </c>
      <c r="BU243" t="s">
        <v>512</v>
      </c>
      <c r="BV243" t="s">
        <v>83</v>
      </c>
      <c r="BY243">
        <v>1200</v>
      </c>
      <c r="BZ243" t="s">
        <v>110</v>
      </c>
      <c r="CA243" t="s">
        <v>189</v>
      </c>
      <c r="CC243" t="s">
        <v>187</v>
      </c>
      <c r="CD243">
        <v>6045</v>
      </c>
      <c r="CE243" t="s">
        <v>85</v>
      </c>
      <c r="CI243">
        <v>1</v>
      </c>
      <c r="CJ243">
        <v>1</v>
      </c>
      <c r="CK243">
        <v>21</v>
      </c>
    </row>
    <row r="244" spans="1:89" x14ac:dyDescent="0.3">
      <c r="A244" t="s">
        <v>72</v>
      </c>
      <c r="B244" t="s">
        <v>73</v>
      </c>
      <c r="C244" t="s">
        <v>74</v>
      </c>
      <c r="E244" t="str">
        <f>"009939946804"</f>
        <v>009939946804</v>
      </c>
      <c r="F244" s="3">
        <v>44824</v>
      </c>
      <c r="G244">
        <v>202306</v>
      </c>
      <c r="H244" t="s">
        <v>119</v>
      </c>
      <c r="I244" t="s">
        <v>120</v>
      </c>
      <c r="J244" t="s">
        <v>283</v>
      </c>
      <c r="L244" t="s">
        <v>513</v>
      </c>
      <c r="M244" t="s">
        <v>514</v>
      </c>
      <c r="N244" t="s">
        <v>425</v>
      </c>
      <c r="O244" t="s">
        <v>81</v>
      </c>
      <c r="P244" t="str">
        <f>"021 960 0098"</f>
        <v>021 960 0098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207.1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86.1</v>
      </c>
      <c r="BJ244">
        <v>66.900000000000006</v>
      </c>
      <c r="BK244">
        <v>87</v>
      </c>
      <c r="BL244">
        <v>546.39</v>
      </c>
      <c r="BM244">
        <v>81.96</v>
      </c>
      <c r="BN244">
        <v>628.35</v>
      </c>
      <c r="BO244">
        <v>628.35</v>
      </c>
      <c r="BR244" t="s">
        <v>423</v>
      </c>
      <c r="BS244" s="3">
        <v>44825</v>
      </c>
      <c r="BT244" s="4">
        <v>0.34375</v>
      </c>
      <c r="BU244" t="s">
        <v>382</v>
      </c>
      <c r="BV244" t="s">
        <v>83</v>
      </c>
      <c r="BY244">
        <v>334620</v>
      </c>
      <c r="BZ244" t="s">
        <v>84</v>
      </c>
      <c r="CA244" t="s">
        <v>170</v>
      </c>
      <c r="CC244" t="s">
        <v>514</v>
      </c>
      <c r="CD244">
        <v>1619</v>
      </c>
      <c r="CE244" t="s">
        <v>85</v>
      </c>
      <c r="CI244">
        <v>3</v>
      </c>
      <c r="CJ244">
        <v>1</v>
      </c>
      <c r="CK244">
        <v>41</v>
      </c>
    </row>
    <row r="245" spans="1:89" x14ac:dyDescent="0.3">
      <c r="A245" t="s">
        <v>72</v>
      </c>
      <c r="B245" t="s">
        <v>73</v>
      </c>
      <c r="C245" t="s">
        <v>74</v>
      </c>
      <c r="E245" t="str">
        <f>"009942493447"</f>
        <v>009942493447</v>
      </c>
      <c r="F245" s="3">
        <v>44824</v>
      </c>
      <c r="G245">
        <v>202306</v>
      </c>
      <c r="H245" t="s">
        <v>136</v>
      </c>
      <c r="I245" t="s">
        <v>137</v>
      </c>
      <c r="J245" t="s">
        <v>150</v>
      </c>
      <c r="L245" t="s">
        <v>96</v>
      </c>
      <c r="M245" t="s">
        <v>97</v>
      </c>
      <c r="N245" t="s">
        <v>515</v>
      </c>
      <c r="O245" t="s">
        <v>105</v>
      </c>
      <c r="P245" t="str">
        <f>"083 601 5869"</f>
        <v>083 601 5869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52.3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136.66</v>
      </c>
      <c r="BM245">
        <v>20.5</v>
      </c>
      <c r="BN245">
        <v>157.16</v>
      </c>
      <c r="BO245">
        <v>157.16</v>
      </c>
      <c r="BQ245" t="s">
        <v>516</v>
      </c>
      <c r="BR245" t="s">
        <v>138</v>
      </c>
      <c r="BS245" s="3">
        <v>44825</v>
      </c>
      <c r="BT245" s="4">
        <v>0.3444444444444445</v>
      </c>
      <c r="BU245" t="s">
        <v>169</v>
      </c>
      <c r="BV245" t="s">
        <v>83</v>
      </c>
      <c r="BY245">
        <v>1200</v>
      </c>
      <c r="BZ245" t="s">
        <v>110</v>
      </c>
      <c r="CA245" t="s">
        <v>170</v>
      </c>
      <c r="CC245" t="s">
        <v>97</v>
      </c>
      <c r="CD245">
        <v>2146</v>
      </c>
      <c r="CE245" t="s">
        <v>85</v>
      </c>
      <c r="CI245">
        <v>2</v>
      </c>
      <c r="CJ245">
        <v>1</v>
      </c>
      <c r="CK245">
        <v>23</v>
      </c>
    </row>
    <row r="246" spans="1:89" x14ac:dyDescent="0.3">
      <c r="A246" t="s">
        <v>72</v>
      </c>
      <c r="B246" t="s">
        <v>73</v>
      </c>
      <c r="C246" t="s">
        <v>74</v>
      </c>
      <c r="E246" t="str">
        <f>"009942493449"</f>
        <v>009942493449</v>
      </c>
      <c r="F246" s="3">
        <v>44824</v>
      </c>
      <c r="G246">
        <v>202306</v>
      </c>
      <c r="H246" t="s">
        <v>136</v>
      </c>
      <c r="I246" t="s">
        <v>137</v>
      </c>
      <c r="J246" t="s">
        <v>150</v>
      </c>
      <c r="L246" t="s">
        <v>96</v>
      </c>
      <c r="M246" t="s">
        <v>97</v>
      </c>
      <c r="N246" t="s">
        <v>167</v>
      </c>
      <c r="O246" t="s">
        <v>105</v>
      </c>
      <c r="P246" t="str">
        <f>"083 601 5869"</f>
        <v>083 601 5869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52.3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136.66</v>
      </c>
      <c r="BM246">
        <v>20.5</v>
      </c>
      <c r="BN246">
        <v>157.16</v>
      </c>
      <c r="BO246">
        <v>157.16</v>
      </c>
      <c r="BQ246" t="s">
        <v>515</v>
      </c>
      <c r="BR246" t="s">
        <v>138</v>
      </c>
      <c r="BS246" s="3">
        <v>44825</v>
      </c>
      <c r="BT246" s="4">
        <v>0.3430555555555555</v>
      </c>
      <c r="BU246" t="s">
        <v>169</v>
      </c>
      <c r="BV246" t="s">
        <v>83</v>
      </c>
      <c r="BY246">
        <v>1200</v>
      </c>
      <c r="BZ246" t="s">
        <v>110</v>
      </c>
      <c r="CA246" t="s">
        <v>170</v>
      </c>
      <c r="CC246" t="s">
        <v>97</v>
      </c>
      <c r="CD246">
        <v>2146</v>
      </c>
      <c r="CE246" t="s">
        <v>85</v>
      </c>
      <c r="CI246">
        <v>2</v>
      </c>
      <c r="CJ246">
        <v>1</v>
      </c>
      <c r="CK246">
        <v>23</v>
      </c>
    </row>
    <row r="247" spans="1:89" x14ac:dyDescent="0.3">
      <c r="A247" t="s">
        <v>72</v>
      </c>
      <c r="B247" t="s">
        <v>73</v>
      </c>
      <c r="C247" t="s">
        <v>74</v>
      </c>
      <c r="E247" t="str">
        <f>"009940746458"</f>
        <v>009940746458</v>
      </c>
      <c r="F247" s="3">
        <v>44824</v>
      </c>
      <c r="G247">
        <v>202306</v>
      </c>
      <c r="H247" t="s">
        <v>147</v>
      </c>
      <c r="I247" t="s">
        <v>148</v>
      </c>
      <c r="J247" t="s">
        <v>80</v>
      </c>
      <c r="L247" t="s">
        <v>96</v>
      </c>
      <c r="M247" t="s">
        <v>97</v>
      </c>
      <c r="N247" t="s">
        <v>80</v>
      </c>
      <c r="O247" t="s">
        <v>81</v>
      </c>
      <c r="P247" t="str">
        <f>""</f>
        <v/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282.39999999999998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4</v>
      </c>
      <c r="BI247">
        <v>81.3</v>
      </c>
      <c r="BJ247">
        <v>121.7</v>
      </c>
      <c r="BK247">
        <v>122</v>
      </c>
      <c r="BL247">
        <v>743.14</v>
      </c>
      <c r="BM247">
        <v>111.47</v>
      </c>
      <c r="BN247">
        <v>854.61</v>
      </c>
      <c r="BO247">
        <v>854.61</v>
      </c>
      <c r="BQ247" t="s">
        <v>355</v>
      </c>
      <c r="BR247" t="s">
        <v>193</v>
      </c>
      <c r="BS247" s="3">
        <v>44826</v>
      </c>
      <c r="BT247" s="4">
        <v>0.39930555555555558</v>
      </c>
      <c r="BU247" t="s">
        <v>382</v>
      </c>
      <c r="BV247" t="s">
        <v>83</v>
      </c>
      <c r="BY247">
        <v>608579.34</v>
      </c>
      <c r="BZ247" t="s">
        <v>84</v>
      </c>
      <c r="CA247" t="s">
        <v>170</v>
      </c>
      <c r="CC247" t="s">
        <v>97</v>
      </c>
      <c r="CD247">
        <v>2146</v>
      </c>
      <c r="CE247" t="s">
        <v>85</v>
      </c>
      <c r="CI247">
        <v>3</v>
      </c>
      <c r="CJ247">
        <v>2</v>
      </c>
      <c r="CK247">
        <v>41</v>
      </c>
    </row>
    <row r="248" spans="1:89" x14ac:dyDescent="0.3">
      <c r="A248" t="s">
        <v>72</v>
      </c>
      <c r="B248" t="s">
        <v>73</v>
      </c>
      <c r="C248" t="s">
        <v>74</v>
      </c>
      <c r="E248" t="str">
        <f>"009942724024"</f>
        <v>009942724024</v>
      </c>
      <c r="F248" s="3">
        <v>44825</v>
      </c>
      <c r="G248">
        <v>202306</v>
      </c>
      <c r="H248" t="s">
        <v>96</v>
      </c>
      <c r="I248" t="s">
        <v>97</v>
      </c>
      <c r="J248" t="s">
        <v>80</v>
      </c>
      <c r="L248" t="s">
        <v>303</v>
      </c>
      <c r="M248" t="s">
        <v>304</v>
      </c>
      <c r="N248" t="s">
        <v>327</v>
      </c>
      <c r="O248" t="s">
        <v>81</v>
      </c>
      <c r="P248" t="str">
        <f t="shared" ref="P248:P256" si="10">"LOCKS"</f>
        <v>LOCKS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222.16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93.9</v>
      </c>
      <c r="BJ248">
        <v>71.5</v>
      </c>
      <c r="BK248">
        <v>94</v>
      </c>
      <c r="BL248">
        <v>585.74</v>
      </c>
      <c r="BM248">
        <v>87.86</v>
      </c>
      <c r="BN248">
        <v>673.6</v>
      </c>
      <c r="BO248">
        <v>673.6</v>
      </c>
      <c r="BQ248" t="s">
        <v>115</v>
      </c>
      <c r="BR248" t="s">
        <v>517</v>
      </c>
      <c r="BS248" s="3">
        <v>44827</v>
      </c>
      <c r="BT248" s="4">
        <v>0.375</v>
      </c>
      <c r="BU248" t="s">
        <v>305</v>
      </c>
      <c r="BV248" t="s">
        <v>109</v>
      </c>
      <c r="BY248">
        <v>357587.04</v>
      </c>
      <c r="BZ248" t="s">
        <v>84</v>
      </c>
      <c r="CC248" t="s">
        <v>304</v>
      </c>
      <c r="CD248">
        <v>9459</v>
      </c>
      <c r="CE248" t="s">
        <v>85</v>
      </c>
      <c r="CI248">
        <v>3</v>
      </c>
      <c r="CJ248">
        <v>2</v>
      </c>
      <c r="CK248">
        <v>41</v>
      </c>
    </row>
    <row r="249" spans="1:89" x14ac:dyDescent="0.3">
      <c r="A249" t="s">
        <v>72</v>
      </c>
      <c r="B249" t="s">
        <v>73</v>
      </c>
      <c r="C249" t="s">
        <v>74</v>
      </c>
      <c r="E249" t="str">
        <f>"009941735509"</f>
        <v>009941735509</v>
      </c>
      <c r="F249" s="3">
        <v>44825</v>
      </c>
      <c r="G249">
        <v>202306</v>
      </c>
      <c r="H249" t="s">
        <v>96</v>
      </c>
      <c r="I249" t="s">
        <v>97</v>
      </c>
      <c r="J249" t="s">
        <v>80</v>
      </c>
      <c r="L249" t="s">
        <v>136</v>
      </c>
      <c r="M249" t="s">
        <v>137</v>
      </c>
      <c r="N249" t="s">
        <v>327</v>
      </c>
      <c r="O249" t="s">
        <v>81</v>
      </c>
      <c r="P249" t="str">
        <f t="shared" si="10"/>
        <v>LOCKS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299.43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74.2</v>
      </c>
      <c r="BJ249">
        <v>28.8</v>
      </c>
      <c r="BK249">
        <v>75</v>
      </c>
      <c r="BL249">
        <v>787.63</v>
      </c>
      <c r="BM249">
        <v>118.14</v>
      </c>
      <c r="BN249">
        <v>905.77</v>
      </c>
      <c r="BO249">
        <v>905.77</v>
      </c>
      <c r="BQ249" t="s">
        <v>138</v>
      </c>
      <c r="BR249" t="s">
        <v>107</v>
      </c>
      <c r="BS249" s="3">
        <v>44826</v>
      </c>
      <c r="BT249" s="4">
        <v>0.3611111111111111</v>
      </c>
      <c r="BU249" t="s">
        <v>256</v>
      </c>
      <c r="BV249" t="s">
        <v>83</v>
      </c>
      <c r="BY249">
        <v>143820</v>
      </c>
      <c r="BZ249" t="s">
        <v>84</v>
      </c>
      <c r="CA249" t="s">
        <v>140</v>
      </c>
      <c r="CC249" t="s">
        <v>137</v>
      </c>
      <c r="CD249">
        <v>1034</v>
      </c>
      <c r="CE249" t="s">
        <v>85</v>
      </c>
      <c r="CI249">
        <v>4</v>
      </c>
      <c r="CJ249">
        <v>1</v>
      </c>
      <c r="CK249">
        <v>43</v>
      </c>
    </row>
    <row r="250" spans="1:89" x14ac:dyDescent="0.3">
      <c r="A250" t="s">
        <v>72</v>
      </c>
      <c r="B250" t="s">
        <v>73</v>
      </c>
      <c r="C250" t="s">
        <v>74</v>
      </c>
      <c r="E250" t="str">
        <f>"009941332861"</f>
        <v>009941332861</v>
      </c>
      <c r="F250" s="3">
        <v>44825</v>
      </c>
      <c r="G250">
        <v>202306</v>
      </c>
      <c r="H250" t="s">
        <v>96</v>
      </c>
      <c r="I250" t="s">
        <v>97</v>
      </c>
      <c r="J250" t="s">
        <v>80</v>
      </c>
      <c r="L250" t="s">
        <v>119</v>
      </c>
      <c r="M250" t="s">
        <v>120</v>
      </c>
      <c r="N250" t="s">
        <v>327</v>
      </c>
      <c r="O250" t="s">
        <v>81</v>
      </c>
      <c r="P250" t="str">
        <f t="shared" si="10"/>
        <v>LOCKS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58.66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17.8</v>
      </c>
      <c r="BJ250">
        <v>3.8</v>
      </c>
      <c r="BK250">
        <v>18</v>
      </c>
      <c r="BL250">
        <v>158.52000000000001</v>
      </c>
      <c r="BM250">
        <v>23.78</v>
      </c>
      <c r="BN250">
        <v>182.3</v>
      </c>
      <c r="BO250">
        <v>182.3</v>
      </c>
      <c r="BQ250" t="s">
        <v>196</v>
      </c>
      <c r="BR250" t="s">
        <v>115</v>
      </c>
      <c r="BS250" s="3">
        <v>44826</v>
      </c>
      <c r="BT250" s="4">
        <v>0.55972222222222223</v>
      </c>
      <c r="BU250" t="s">
        <v>509</v>
      </c>
      <c r="BV250" t="s">
        <v>83</v>
      </c>
      <c r="BY250">
        <v>18922.5</v>
      </c>
      <c r="BZ250" t="s">
        <v>84</v>
      </c>
      <c r="CA250" t="s">
        <v>198</v>
      </c>
      <c r="CC250" t="s">
        <v>120</v>
      </c>
      <c r="CD250">
        <v>4091</v>
      </c>
      <c r="CE250" t="s">
        <v>85</v>
      </c>
      <c r="CI250">
        <v>4</v>
      </c>
      <c r="CJ250">
        <v>1</v>
      </c>
      <c r="CK250">
        <v>41</v>
      </c>
    </row>
    <row r="251" spans="1:89" x14ac:dyDescent="0.3">
      <c r="A251" t="s">
        <v>72</v>
      </c>
      <c r="B251" t="s">
        <v>73</v>
      </c>
      <c r="C251" t="s">
        <v>74</v>
      </c>
      <c r="E251" t="str">
        <f>"009942600820"</f>
        <v>009942600820</v>
      </c>
      <c r="F251" s="3">
        <v>44825</v>
      </c>
      <c r="G251">
        <v>202306</v>
      </c>
      <c r="H251" t="s">
        <v>96</v>
      </c>
      <c r="I251" t="s">
        <v>97</v>
      </c>
      <c r="J251" t="s">
        <v>80</v>
      </c>
      <c r="L251" t="s">
        <v>94</v>
      </c>
      <c r="M251" t="s">
        <v>95</v>
      </c>
      <c r="N251" t="s">
        <v>262</v>
      </c>
      <c r="O251" t="s">
        <v>81</v>
      </c>
      <c r="P251" t="str">
        <f t="shared" si="10"/>
        <v>LOCKS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52.2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3.1</v>
      </c>
      <c r="BJ251">
        <v>7.2</v>
      </c>
      <c r="BK251">
        <v>8</v>
      </c>
      <c r="BL251">
        <v>141.65</v>
      </c>
      <c r="BM251">
        <v>21.25</v>
      </c>
      <c r="BN251">
        <v>162.9</v>
      </c>
      <c r="BO251">
        <v>162.9</v>
      </c>
      <c r="BQ251" t="s">
        <v>518</v>
      </c>
      <c r="BR251" t="s">
        <v>107</v>
      </c>
      <c r="BS251" s="3">
        <v>44826</v>
      </c>
      <c r="BT251" s="4">
        <v>0.37916666666666665</v>
      </c>
      <c r="BU251" t="s">
        <v>343</v>
      </c>
      <c r="BV251" t="s">
        <v>83</v>
      </c>
      <c r="BY251">
        <v>36140.65</v>
      </c>
      <c r="BZ251" t="s">
        <v>84</v>
      </c>
      <c r="CA251" t="s">
        <v>287</v>
      </c>
      <c r="CC251" t="s">
        <v>95</v>
      </c>
      <c r="CD251">
        <v>699</v>
      </c>
      <c r="CE251" t="s">
        <v>85</v>
      </c>
      <c r="CI251">
        <v>3</v>
      </c>
      <c r="CJ251">
        <v>1</v>
      </c>
      <c r="CK251">
        <v>41</v>
      </c>
    </row>
    <row r="252" spans="1:89" x14ac:dyDescent="0.3">
      <c r="A252" t="s">
        <v>72</v>
      </c>
      <c r="B252" t="s">
        <v>73</v>
      </c>
      <c r="C252" t="s">
        <v>74</v>
      </c>
      <c r="E252" t="str">
        <f>"009941310197"</f>
        <v>009941310197</v>
      </c>
      <c r="F252" s="3">
        <v>44825</v>
      </c>
      <c r="G252">
        <v>202306</v>
      </c>
      <c r="H252" t="s">
        <v>96</v>
      </c>
      <c r="I252" t="s">
        <v>97</v>
      </c>
      <c r="J252" t="s">
        <v>80</v>
      </c>
      <c r="L252" t="s">
        <v>119</v>
      </c>
      <c r="M252" t="s">
        <v>120</v>
      </c>
      <c r="N252" t="s">
        <v>80</v>
      </c>
      <c r="O252" t="s">
        <v>105</v>
      </c>
      <c r="P252" t="str">
        <f t="shared" si="10"/>
        <v>LOCKS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26.99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1.5</v>
      </c>
      <c r="BK252">
        <v>1.5</v>
      </c>
      <c r="BL252">
        <v>70.53</v>
      </c>
      <c r="BM252">
        <v>10.58</v>
      </c>
      <c r="BN252">
        <v>81.11</v>
      </c>
      <c r="BO252">
        <v>81.11</v>
      </c>
      <c r="BQ252" t="s">
        <v>196</v>
      </c>
      <c r="BR252" t="s">
        <v>519</v>
      </c>
      <c r="BS252" s="3">
        <v>44826</v>
      </c>
      <c r="BT252" s="4">
        <v>0.3840277777777778</v>
      </c>
      <c r="BU252" t="s">
        <v>122</v>
      </c>
      <c r="BV252" t="s">
        <v>83</v>
      </c>
      <c r="BY252">
        <v>7439.04</v>
      </c>
      <c r="BZ252" t="s">
        <v>110</v>
      </c>
      <c r="CA252" t="s">
        <v>123</v>
      </c>
      <c r="CC252" t="s">
        <v>120</v>
      </c>
      <c r="CD252">
        <v>4091</v>
      </c>
      <c r="CE252" t="s">
        <v>85</v>
      </c>
      <c r="CI252">
        <v>1</v>
      </c>
      <c r="CJ252">
        <v>1</v>
      </c>
      <c r="CK252">
        <v>21</v>
      </c>
    </row>
    <row r="253" spans="1:89" x14ac:dyDescent="0.3">
      <c r="A253" t="s">
        <v>72</v>
      </c>
      <c r="B253" t="s">
        <v>73</v>
      </c>
      <c r="C253" t="s">
        <v>74</v>
      </c>
      <c r="E253" t="str">
        <f>"009941856071"</f>
        <v>009941856071</v>
      </c>
      <c r="F253" s="3">
        <v>44825</v>
      </c>
      <c r="G253">
        <v>202306</v>
      </c>
      <c r="H253" t="s">
        <v>96</v>
      </c>
      <c r="I253" t="s">
        <v>97</v>
      </c>
      <c r="J253" t="s">
        <v>80</v>
      </c>
      <c r="L253" t="s">
        <v>147</v>
      </c>
      <c r="M253" t="s">
        <v>148</v>
      </c>
      <c r="N253" t="s">
        <v>80</v>
      </c>
      <c r="O253" t="s">
        <v>105</v>
      </c>
      <c r="P253" t="str">
        <f t="shared" si="10"/>
        <v>LOCKS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26.99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70.53</v>
      </c>
      <c r="BM253">
        <v>10.58</v>
      </c>
      <c r="BN253">
        <v>81.11</v>
      </c>
      <c r="BO253">
        <v>81.11</v>
      </c>
      <c r="BQ253" t="s">
        <v>193</v>
      </c>
      <c r="BR253" t="s">
        <v>107</v>
      </c>
      <c r="BS253" s="3">
        <v>44826</v>
      </c>
      <c r="BT253" s="4">
        <v>0.35694444444444445</v>
      </c>
      <c r="BU253" t="s">
        <v>520</v>
      </c>
      <c r="BV253" t="s">
        <v>83</v>
      </c>
      <c r="BY253">
        <v>1200</v>
      </c>
      <c r="BZ253" t="s">
        <v>110</v>
      </c>
      <c r="CA253" t="s">
        <v>195</v>
      </c>
      <c r="CC253" t="s">
        <v>148</v>
      </c>
      <c r="CD253">
        <v>7925</v>
      </c>
      <c r="CE253" t="s">
        <v>85</v>
      </c>
      <c r="CI253">
        <v>1</v>
      </c>
      <c r="CJ253">
        <v>1</v>
      </c>
      <c r="CK253">
        <v>21</v>
      </c>
    </row>
    <row r="254" spans="1:89" x14ac:dyDescent="0.3">
      <c r="A254" t="s">
        <v>72</v>
      </c>
      <c r="B254" t="s">
        <v>73</v>
      </c>
      <c r="C254" t="s">
        <v>74</v>
      </c>
      <c r="E254" t="str">
        <f>"009941209308"</f>
        <v>009941209308</v>
      </c>
      <c r="F254" s="3">
        <v>44825</v>
      </c>
      <c r="G254">
        <v>202306</v>
      </c>
      <c r="H254" t="s">
        <v>96</v>
      </c>
      <c r="I254" t="s">
        <v>97</v>
      </c>
      <c r="J254" t="s">
        <v>80</v>
      </c>
      <c r="L254" t="s">
        <v>112</v>
      </c>
      <c r="M254" t="s">
        <v>113</v>
      </c>
      <c r="N254" t="s">
        <v>80</v>
      </c>
      <c r="O254" t="s">
        <v>81</v>
      </c>
      <c r="P254" t="str">
        <f t="shared" si="10"/>
        <v>LOCKS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78.02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25.4</v>
      </c>
      <c r="BJ254">
        <v>27</v>
      </c>
      <c r="BK254">
        <v>27</v>
      </c>
      <c r="BL254">
        <v>209.11</v>
      </c>
      <c r="BM254">
        <v>31.37</v>
      </c>
      <c r="BN254">
        <v>240.48</v>
      </c>
      <c r="BO254">
        <v>240.48</v>
      </c>
      <c r="BQ254" t="s">
        <v>114</v>
      </c>
      <c r="BR254" t="s">
        <v>115</v>
      </c>
      <c r="BS254" s="3">
        <v>44827</v>
      </c>
      <c r="BT254" s="4">
        <v>0.44097222222222227</v>
      </c>
      <c r="BU254" t="s">
        <v>521</v>
      </c>
      <c r="BV254" t="s">
        <v>109</v>
      </c>
      <c r="BY254">
        <v>135205.32999999999</v>
      </c>
      <c r="BZ254" t="s">
        <v>84</v>
      </c>
      <c r="CA254" t="s">
        <v>258</v>
      </c>
      <c r="CC254" t="s">
        <v>113</v>
      </c>
      <c r="CD254">
        <v>9300</v>
      </c>
      <c r="CE254" t="s">
        <v>85</v>
      </c>
      <c r="CI254">
        <v>3</v>
      </c>
      <c r="CJ254">
        <v>2</v>
      </c>
      <c r="CK254">
        <v>41</v>
      </c>
    </row>
    <row r="255" spans="1:89" x14ac:dyDescent="0.3">
      <c r="A255" t="s">
        <v>72</v>
      </c>
      <c r="B255" t="s">
        <v>73</v>
      </c>
      <c r="C255" t="s">
        <v>74</v>
      </c>
      <c r="E255" t="str">
        <f>"009942724025"</f>
        <v>009942724025</v>
      </c>
      <c r="F255" s="3">
        <v>44825</v>
      </c>
      <c r="G255">
        <v>202306</v>
      </c>
      <c r="H255" t="s">
        <v>96</v>
      </c>
      <c r="I255" t="s">
        <v>97</v>
      </c>
      <c r="J255" t="s">
        <v>80</v>
      </c>
      <c r="L255" t="s">
        <v>199</v>
      </c>
      <c r="M255" t="s">
        <v>200</v>
      </c>
      <c r="N255" t="s">
        <v>80</v>
      </c>
      <c r="O255" t="s">
        <v>81</v>
      </c>
      <c r="P255" t="str">
        <f t="shared" si="10"/>
        <v>LOCKS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73.63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2</v>
      </c>
      <c r="BI255">
        <v>9.9</v>
      </c>
      <c r="BJ255">
        <v>8.5</v>
      </c>
      <c r="BK255">
        <v>10</v>
      </c>
      <c r="BL255">
        <v>197.63</v>
      </c>
      <c r="BM255">
        <v>29.64</v>
      </c>
      <c r="BN255">
        <v>227.27</v>
      </c>
      <c r="BO255">
        <v>227.27</v>
      </c>
      <c r="BQ255" t="s">
        <v>522</v>
      </c>
      <c r="BR255" t="s">
        <v>107</v>
      </c>
      <c r="BS255" s="3">
        <v>44826</v>
      </c>
      <c r="BT255" s="4">
        <v>0.375</v>
      </c>
      <c r="BU255" t="s">
        <v>202</v>
      </c>
      <c r="BV255" t="s">
        <v>83</v>
      </c>
      <c r="BY255">
        <v>42571.26</v>
      </c>
      <c r="BZ255" t="s">
        <v>84</v>
      </c>
      <c r="CC255" t="s">
        <v>200</v>
      </c>
      <c r="CD255">
        <v>9700</v>
      </c>
      <c r="CE255" t="s">
        <v>85</v>
      </c>
      <c r="CI255">
        <v>4</v>
      </c>
      <c r="CJ255">
        <v>1</v>
      </c>
      <c r="CK255">
        <v>43</v>
      </c>
    </row>
    <row r="256" spans="1:89" x14ac:dyDescent="0.3">
      <c r="A256" t="s">
        <v>72</v>
      </c>
      <c r="B256" t="s">
        <v>73</v>
      </c>
      <c r="C256" t="s">
        <v>74</v>
      </c>
      <c r="E256" t="str">
        <f>"009942600733"</f>
        <v>009942600733</v>
      </c>
      <c r="F256" s="3">
        <v>44825</v>
      </c>
      <c r="G256">
        <v>202306</v>
      </c>
      <c r="H256" t="s">
        <v>96</v>
      </c>
      <c r="I256" t="s">
        <v>97</v>
      </c>
      <c r="J256" t="s">
        <v>80</v>
      </c>
      <c r="L256" t="s">
        <v>186</v>
      </c>
      <c r="M256" t="s">
        <v>187</v>
      </c>
      <c r="N256" t="s">
        <v>80</v>
      </c>
      <c r="O256" t="s">
        <v>81</v>
      </c>
      <c r="P256" t="str">
        <f t="shared" si="10"/>
        <v>LOCKS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439.46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116</v>
      </c>
      <c r="BJ256">
        <v>194.4</v>
      </c>
      <c r="BK256">
        <v>195</v>
      </c>
      <c r="BL256">
        <v>1153.51</v>
      </c>
      <c r="BM256">
        <v>173.03</v>
      </c>
      <c r="BN256">
        <v>1326.54</v>
      </c>
      <c r="BO256">
        <v>1326.54</v>
      </c>
      <c r="BQ256" t="s">
        <v>221</v>
      </c>
      <c r="BR256" t="s">
        <v>107</v>
      </c>
      <c r="BS256" s="3">
        <v>44827</v>
      </c>
      <c r="BT256" s="4">
        <v>0.41319444444444442</v>
      </c>
      <c r="BU256" t="s">
        <v>341</v>
      </c>
      <c r="BV256" t="s">
        <v>83</v>
      </c>
      <c r="BY256">
        <v>972000</v>
      </c>
      <c r="BZ256" t="s">
        <v>84</v>
      </c>
      <c r="CC256" t="s">
        <v>187</v>
      </c>
      <c r="CD256">
        <v>6045</v>
      </c>
      <c r="CE256" t="s">
        <v>85</v>
      </c>
      <c r="CI256">
        <v>3</v>
      </c>
      <c r="CJ256">
        <v>2</v>
      </c>
      <c r="CK256">
        <v>41</v>
      </c>
    </row>
    <row r="257" spans="1:89" x14ac:dyDescent="0.3">
      <c r="A257" t="s">
        <v>72</v>
      </c>
      <c r="B257" t="s">
        <v>73</v>
      </c>
      <c r="C257" t="s">
        <v>74</v>
      </c>
      <c r="E257" t="str">
        <f>"009941203028"</f>
        <v>009941203028</v>
      </c>
      <c r="F257" s="3">
        <v>44823</v>
      </c>
      <c r="G257">
        <v>202306</v>
      </c>
      <c r="H257" t="s">
        <v>112</v>
      </c>
      <c r="I257" t="s">
        <v>113</v>
      </c>
      <c r="J257" t="s">
        <v>80</v>
      </c>
      <c r="L257" t="s">
        <v>199</v>
      </c>
      <c r="M257" t="s">
        <v>200</v>
      </c>
      <c r="N257" t="s">
        <v>77</v>
      </c>
      <c r="O257" t="s">
        <v>81</v>
      </c>
      <c r="P257" t="str">
        <f>""</f>
        <v/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57.65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155.88999999999999</v>
      </c>
      <c r="BM257">
        <v>23.38</v>
      </c>
      <c r="BN257">
        <v>179.27</v>
      </c>
      <c r="BO257">
        <v>179.27</v>
      </c>
      <c r="BQ257" t="s">
        <v>522</v>
      </c>
      <c r="BR257" t="s">
        <v>523</v>
      </c>
      <c r="BS257" s="3">
        <v>44825</v>
      </c>
      <c r="BT257" s="4">
        <v>0.33333333333333331</v>
      </c>
      <c r="BU257" t="s">
        <v>202</v>
      </c>
      <c r="BV257" t="s">
        <v>109</v>
      </c>
      <c r="BY257">
        <v>1200</v>
      </c>
      <c r="BZ257" t="s">
        <v>84</v>
      </c>
      <c r="CA257" t="s">
        <v>345</v>
      </c>
      <c r="CC257" t="s">
        <v>200</v>
      </c>
      <c r="CD257">
        <v>9700</v>
      </c>
      <c r="CE257" t="s">
        <v>85</v>
      </c>
      <c r="CI257">
        <v>4</v>
      </c>
      <c r="CJ257">
        <v>2</v>
      </c>
      <c r="CK257">
        <v>44</v>
      </c>
    </row>
    <row r="258" spans="1:89" x14ac:dyDescent="0.3">
      <c r="A258" t="s">
        <v>72</v>
      </c>
      <c r="B258" t="s">
        <v>73</v>
      </c>
      <c r="C258" t="s">
        <v>74</v>
      </c>
      <c r="E258" t="str">
        <f>"009941203029"</f>
        <v>009941203029</v>
      </c>
      <c r="F258" s="3">
        <v>44823</v>
      </c>
      <c r="G258">
        <v>202306</v>
      </c>
      <c r="H258" t="s">
        <v>112</v>
      </c>
      <c r="I258" t="s">
        <v>113</v>
      </c>
      <c r="J258" t="s">
        <v>80</v>
      </c>
      <c r="L258" t="s">
        <v>303</v>
      </c>
      <c r="M258" t="s">
        <v>304</v>
      </c>
      <c r="N258" t="s">
        <v>262</v>
      </c>
      <c r="O258" t="s">
        <v>81</v>
      </c>
      <c r="P258" t="str">
        <f>""</f>
        <v/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52.2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141.65</v>
      </c>
      <c r="BM258">
        <v>21.25</v>
      </c>
      <c r="BN258">
        <v>162.9</v>
      </c>
      <c r="BO258">
        <v>162.9</v>
      </c>
      <c r="BQ258" t="s">
        <v>524</v>
      </c>
      <c r="BR258" t="s">
        <v>523</v>
      </c>
      <c r="BS258" s="3">
        <v>44824</v>
      </c>
      <c r="BT258" s="4">
        <v>0.41666666666666669</v>
      </c>
      <c r="BU258" t="s">
        <v>305</v>
      </c>
      <c r="BV258" t="s">
        <v>83</v>
      </c>
      <c r="BY258">
        <v>1200</v>
      </c>
      <c r="BZ258" t="s">
        <v>84</v>
      </c>
      <c r="CC258" t="s">
        <v>304</v>
      </c>
      <c r="CD258">
        <v>9459</v>
      </c>
      <c r="CE258" t="s">
        <v>85</v>
      </c>
      <c r="CI258">
        <v>3</v>
      </c>
      <c r="CJ258">
        <v>1</v>
      </c>
      <c r="CK258">
        <v>41</v>
      </c>
    </row>
    <row r="259" spans="1:89" x14ac:dyDescent="0.3">
      <c r="A259" t="s">
        <v>72</v>
      </c>
      <c r="B259" t="s">
        <v>73</v>
      </c>
      <c r="C259" t="s">
        <v>74</v>
      </c>
      <c r="E259" t="str">
        <f>"009941857132"</f>
        <v>009941857132</v>
      </c>
      <c r="F259" s="3">
        <v>44824</v>
      </c>
      <c r="G259">
        <v>202306</v>
      </c>
      <c r="H259" t="s">
        <v>75</v>
      </c>
      <c r="I259" t="s">
        <v>76</v>
      </c>
      <c r="J259" t="s">
        <v>80</v>
      </c>
      <c r="L259" t="s">
        <v>212</v>
      </c>
      <c r="M259" t="s">
        <v>213</v>
      </c>
      <c r="N259" t="s">
        <v>525</v>
      </c>
      <c r="O259" t="s">
        <v>105</v>
      </c>
      <c r="P259" t="str">
        <f>""</f>
        <v/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26.99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70.53</v>
      </c>
      <c r="BM259">
        <v>10.58</v>
      </c>
      <c r="BN259">
        <v>81.11</v>
      </c>
      <c r="BO259">
        <v>81.11</v>
      </c>
      <c r="BQ259" t="s">
        <v>422</v>
      </c>
      <c r="BS259" s="3">
        <v>44825</v>
      </c>
      <c r="BT259" s="4">
        <v>0.32083333333333336</v>
      </c>
      <c r="BU259" t="s">
        <v>511</v>
      </c>
      <c r="BV259" t="s">
        <v>83</v>
      </c>
      <c r="BY259">
        <v>1200</v>
      </c>
      <c r="BZ259" t="s">
        <v>110</v>
      </c>
      <c r="CA259" t="s">
        <v>217</v>
      </c>
      <c r="CC259" t="s">
        <v>213</v>
      </c>
      <c r="CD259">
        <v>2194</v>
      </c>
      <c r="CE259" t="s">
        <v>85</v>
      </c>
      <c r="CI259">
        <v>1</v>
      </c>
      <c r="CJ259">
        <v>1</v>
      </c>
      <c r="CK259">
        <v>21</v>
      </c>
    </row>
    <row r="260" spans="1:89" x14ac:dyDescent="0.3">
      <c r="A260" t="s">
        <v>72</v>
      </c>
      <c r="B260" t="s">
        <v>73</v>
      </c>
      <c r="C260" t="s">
        <v>74</v>
      </c>
      <c r="E260" t="str">
        <f>"009941792984"</f>
        <v>009941792984</v>
      </c>
      <c r="F260" s="3">
        <v>44826</v>
      </c>
      <c r="G260">
        <v>202306</v>
      </c>
      <c r="H260" t="s">
        <v>102</v>
      </c>
      <c r="I260" t="s">
        <v>103</v>
      </c>
      <c r="J260" t="s">
        <v>333</v>
      </c>
      <c r="L260" t="s">
        <v>94</v>
      </c>
      <c r="M260" t="s">
        <v>95</v>
      </c>
      <c r="N260" t="s">
        <v>526</v>
      </c>
      <c r="O260" t="s">
        <v>81</v>
      </c>
      <c r="P260" t="str">
        <f>""</f>
        <v/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111.67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15</v>
      </c>
      <c r="BJ260">
        <v>50.4</v>
      </c>
      <c r="BK260">
        <v>51</v>
      </c>
      <c r="BL260">
        <v>297.02999999999997</v>
      </c>
      <c r="BM260">
        <v>44.55</v>
      </c>
      <c r="BN260">
        <v>341.58</v>
      </c>
      <c r="BO260">
        <v>341.58</v>
      </c>
      <c r="BQ260" t="s">
        <v>527</v>
      </c>
      <c r="BR260" t="s">
        <v>336</v>
      </c>
      <c r="BS260" s="3">
        <v>44826</v>
      </c>
      <c r="BT260" s="4">
        <v>0.37916666666666665</v>
      </c>
      <c r="BU260" t="s">
        <v>343</v>
      </c>
      <c r="BV260" t="s">
        <v>83</v>
      </c>
      <c r="BY260">
        <v>252000</v>
      </c>
      <c r="BZ260" t="s">
        <v>84</v>
      </c>
      <c r="CA260" t="s">
        <v>287</v>
      </c>
      <c r="CC260" t="s">
        <v>95</v>
      </c>
      <c r="CD260">
        <v>700</v>
      </c>
      <c r="CE260" t="s">
        <v>85</v>
      </c>
      <c r="CI260">
        <v>3</v>
      </c>
      <c r="CJ260">
        <v>0</v>
      </c>
      <c r="CK260">
        <v>44</v>
      </c>
    </row>
    <row r="261" spans="1:89" x14ac:dyDescent="0.3">
      <c r="A261" t="s">
        <v>72</v>
      </c>
      <c r="B261" t="s">
        <v>73</v>
      </c>
      <c r="C261" t="s">
        <v>74</v>
      </c>
      <c r="E261" t="str">
        <f>"009942742330"</f>
        <v>009942742330</v>
      </c>
      <c r="F261" s="3">
        <v>44826</v>
      </c>
      <c r="G261">
        <v>202306</v>
      </c>
      <c r="H261" t="s">
        <v>162</v>
      </c>
      <c r="I261" t="s">
        <v>163</v>
      </c>
      <c r="J261" t="s">
        <v>80</v>
      </c>
      <c r="L261" t="s">
        <v>78</v>
      </c>
      <c r="M261" t="s">
        <v>79</v>
      </c>
      <c r="N261" t="s">
        <v>80</v>
      </c>
      <c r="O261" t="s">
        <v>81</v>
      </c>
      <c r="P261" t="str">
        <f>""</f>
        <v/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110.29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31.9</v>
      </c>
      <c r="BJ261">
        <v>41.8</v>
      </c>
      <c r="BK261">
        <v>42</v>
      </c>
      <c r="BL261">
        <v>293.43</v>
      </c>
      <c r="BM261">
        <v>44.01</v>
      </c>
      <c r="BN261">
        <v>337.44</v>
      </c>
      <c r="BO261">
        <v>337.44</v>
      </c>
      <c r="BQ261" t="s">
        <v>528</v>
      </c>
      <c r="BR261" t="s">
        <v>310</v>
      </c>
      <c r="BS261" s="3">
        <v>44827</v>
      </c>
      <c r="BT261" s="4">
        <v>0.34652777777777777</v>
      </c>
      <c r="BU261" t="s">
        <v>382</v>
      </c>
      <c r="BV261" t="s">
        <v>83</v>
      </c>
      <c r="BY261">
        <v>209072</v>
      </c>
      <c r="BZ261" t="s">
        <v>84</v>
      </c>
      <c r="CA261" t="s">
        <v>170</v>
      </c>
      <c r="CC261" t="s">
        <v>79</v>
      </c>
      <c r="CD261">
        <v>2196</v>
      </c>
      <c r="CE261" t="s">
        <v>85</v>
      </c>
      <c r="CI261">
        <v>3</v>
      </c>
      <c r="CJ261">
        <v>1</v>
      </c>
      <c r="CK261">
        <v>41</v>
      </c>
    </row>
    <row r="262" spans="1:89" x14ac:dyDescent="0.3">
      <c r="A262" t="s">
        <v>72</v>
      </c>
      <c r="B262" t="s">
        <v>73</v>
      </c>
      <c r="C262" t="s">
        <v>74</v>
      </c>
      <c r="E262" t="str">
        <f>"009941203056"</f>
        <v>009941203056</v>
      </c>
      <c r="F262" s="3">
        <v>44824</v>
      </c>
      <c r="G262">
        <v>202306</v>
      </c>
      <c r="H262" t="s">
        <v>112</v>
      </c>
      <c r="I262" t="s">
        <v>113</v>
      </c>
      <c r="J262" t="s">
        <v>80</v>
      </c>
      <c r="L262" t="s">
        <v>96</v>
      </c>
      <c r="M262" t="s">
        <v>97</v>
      </c>
      <c r="N262" t="s">
        <v>80</v>
      </c>
      <c r="O262" t="s">
        <v>81</v>
      </c>
      <c r="P262" t="str">
        <f>""</f>
        <v/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110.29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11</v>
      </c>
      <c r="BJ262">
        <v>41.6</v>
      </c>
      <c r="BK262">
        <v>42</v>
      </c>
      <c r="BL262">
        <v>293.43</v>
      </c>
      <c r="BM262">
        <v>44.01</v>
      </c>
      <c r="BN262">
        <v>337.44</v>
      </c>
      <c r="BO262">
        <v>337.44</v>
      </c>
      <c r="BQ262" t="s">
        <v>282</v>
      </c>
      <c r="BR262" t="s">
        <v>529</v>
      </c>
      <c r="BS262" s="3">
        <v>44825</v>
      </c>
      <c r="BT262" s="4">
        <v>0.34166666666666662</v>
      </c>
      <c r="BU262" t="s">
        <v>382</v>
      </c>
      <c r="BV262" t="s">
        <v>83</v>
      </c>
      <c r="BY262">
        <v>208000</v>
      </c>
      <c r="BZ262" t="s">
        <v>84</v>
      </c>
      <c r="CA262" t="s">
        <v>170</v>
      </c>
      <c r="CC262" t="s">
        <v>97</v>
      </c>
      <c r="CD262">
        <v>2146</v>
      </c>
      <c r="CE262" t="s">
        <v>85</v>
      </c>
      <c r="CI262">
        <v>3</v>
      </c>
      <c r="CJ262">
        <v>1</v>
      </c>
      <c r="CK262">
        <v>41</v>
      </c>
    </row>
    <row r="263" spans="1:89" x14ac:dyDescent="0.3">
      <c r="A263" t="s">
        <v>72</v>
      </c>
      <c r="B263" t="s">
        <v>73</v>
      </c>
      <c r="C263" t="s">
        <v>74</v>
      </c>
      <c r="E263" t="str">
        <f>"080010599672"</f>
        <v>080010599672</v>
      </c>
      <c r="F263" s="3">
        <v>44826</v>
      </c>
      <c r="G263">
        <v>202306</v>
      </c>
      <c r="H263" t="s">
        <v>78</v>
      </c>
      <c r="I263" t="s">
        <v>79</v>
      </c>
      <c r="J263" t="s">
        <v>530</v>
      </c>
      <c r="L263" t="s">
        <v>212</v>
      </c>
      <c r="M263" t="s">
        <v>213</v>
      </c>
      <c r="N263" t="s">
        <v>241</v>
      </c>
      <c r="O263" t="s">
        <v>105</v>
      </c>
      <c r="P263" t="str">
        <f>"-"</f>
        <v>-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21.09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0.2</v>
      </c>
      <c r="BK263">
        <v>1</v>
      </c>
      <c r="BL263">
        <v>55.1</v>
      </c>
      <c r="BM263">
        <v>8.27</v>
      </c>
      <c r="BN263">
        <v>63.37</v>
      </c>
      <c r="BO263">
        <v>63.37</v>
      </c>
      <c r="BP263" t="s">
        <v>145</v>
      </c>
      <c r="BQ263" t="s">
        <v>316</v>
      </c>
      <c r="BR263" t="s">
        <v>482</v>
      </c>
      <c r="BS263" s="3">
        <v>44827</v>
      </c>
      <c r="BT263" s="4">
        <v>0.29305555555555557</v>
      </c>
      <c r="BU263" t="s">
        <v>531</v>
      </c>
      <c r="BV263" t="s">
        <v>83</v>
      </c>
      <c r="BY263">
        <v>1200</v>
      </c>
      <c r="CA263" t="s">
        <v>217</v>
      </c>
      <c r="CC263" t="s">
        <v>213</v>
      </c>
      <c r="CD263">
        <v>2194</v>
      </c>
      <c r="CE263" t="s">
        <v>244</v>
      </c>
      <c r="CI263">
        <v>1</v>
      </c>
      <c r="CJ263">
        <v>1</v>
      </c>
      <c r="CK263">
        <v>22</v>
      </c>
    </row>
    <row r="264" spans="1:89" x14ac:dyDescent="0.3">
      <c r="A264" t="s">
        <v>72</v>
      </c>
      <c r="B264" t="s">
        <v>73</v>
      </c>
      <c r="C264" t="s">
        <v>74</v>
      </c>
      <c r="E264" t="str">
        <f>"080010600121"</f>
        <v>080010600121</v>
      </c>
      <c r="F264" s="3">
        <v>44826</v>
      </c>
      <c r="G264">
        <v>202306</v>
      </c>
      <c r="H264" t="s">
        <v>212</v>
      </c>
      <c r="I264" t="s">
        <v>213</v>
      </c>
      <c r="J264" t="s">
        <v>241</v>
      </c>
      <c r="L264" t="s">
        <v>78</v>
      </c>
      <c r="M264" t="s">
        <v>79</v>
      </c>
      <c r="N264" t="s">
        <v>532</v>
      </c>
      <c r="O264" t="s">
        <v>105</v>
      </c>
      <c r="P264" t="str">
        <f>"-"</f>
        <v>-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21.09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0.9</v>
      </c>
      <c r="BJ264">
        <v>3.2</v>
      </c>
      <c r="BK264">
        <v>3.5</v>
      </c>
      <c r="BL264">
        <v>55.1</v>
      </c>
      <c r="BM264">
        <v>8.27</v>
      </c>
      <c r="BN264">
        <v>63.37</v>
      </c>
      <c r="BO264">
        <v>63.37</v>
      </c>
      <c r="BP264" t="s">
        <v>145</v>
      </c>
      <c r="BQ264" t="s">
        <v>533</v>
      </c>
      <c r="BR264" t="s">
        <v>316</v>
      </c>
      <c r="BS264" s="3">
        <v>44827</v>
      </c>
      <c r="BT264" s="4">
        <v>0.34513888888888888</v>
      </c>
      <c r="BU264" t="s">
        <v>382</v>
      </c>
      <c r="BV264" t="s">
        <v>83</v>
      </c>
      <c r="BY264">
        <v>15782.8</v>
      </c>
      <c r="CA264" t="s">
        <v>170</v>
      </c>
      <c r="CC264" t="s">
        <v>79</v>
      </c>
      <c r="CD264">
        <v>2196</v>
      </c>
      <c r="CE264" t="s">
        <v>244</v>
      </c>
      <c r="CI264">
        <v>1</v>
      </c>
      <c r="CJ264">
        <v>1</v>
      </c>
      <c r="CK264">
        <v>22</v>
      </c>
    </row>
    <row r="265" spans="1:89" x14ac:dyDescent="0.3">
      <c r="A265" t="s">
        <v>72</v>
      </c>
      <c r="B265" t="s">
        <v>73</v>
      </c>
      <c r="C265" t="s">
        <v>74</v>
      </c>
      <c r="E265" t="str">
        <f>"009941203030"</f>
        <v>009941203030</v>
      </c>
      <c r="F265" s="3">
        <v>44826</v>
      </c>
      <c r="G265">
        <v>202306</v>
      </c>
      <c r="H265" t="s">
        <v>112</v>
      </c>
      <c r="I265" t="s">
        <v>113</v>
      </c>
      <c r="J265" t="s">
        <v>80</v>
      </c>
      <c r="L265" t="s">
        <v>199</v>
      </c>
      <c r="M265" t="s">
        <v>200</v>
      </c>
      <c r="N265" t="s">
        <v>80</v>
      </c>
      <c r="O265" t="s">
        <v>81</v>
      </c>
      <c r="P265" t="str">
        <f>""</f>
        <v/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57.65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12</v>
      </c>
      <c r="BJ265">
        <v>4.3</v>
      </c>
      <c r="BK265">
        <v>12</v>
      </c>
      <c r="BL265">
        <v>155.88999999999999</v>
      </c>
      <c r="BM265">
        <v>23.38</v>
      </c>
      <c r="BN265">
        <v>179.27</v>
      </c>
      <c r="BO265">
        <v>179.27</v>
      </c>
      <c r="BQ265" t="s">
        <v>522</v>
      </c>
      <c r="BR265" t="s">
        <v>240</v>
      </c>
      <c r="BS265" t="s">
        <v>145</v>
      </c>
      <c r="BY265">
        <v>21741</v>
      </c>
      <c r="BZ265" t="s">
        <v>84</v>
      </c>
      <c r="CC265" t="s">
        <v>200</v>
      </c>
      <c r="CD265">
        <v>9700</v>
      </c>
      <c r="CE265" t="s">
        <v>85</v>
      </c>
      <c r="CI265">
        <v>4</v>
      </c>
      <c r="CJ265" t="s">
        <v>145</v>
      </c>
      <c r="CK265">
        <v>44</v>
      </c>
    </row>
    <row r="266" spans="1:89" x14ac:dyDescent="0.3">
      <c r="A266" t="s">
        <v>72</v>
      </c>
      <c r="B266" t="s">
        <v>73</v>
      </c>
      <c r="C266" t="s">
        <v>74</v>
      </c>
      <c r="E266" t="str">
        <f>"009941203031"</f>
        <v>009941203031</v>
      </c>
      <c r="F266" s="3">
        <v>44826</v>
      </c>
      <c r="G266">
        <v>202306</v>
      </c>
      <c r="H266" t="s">
        <v>112</v>
      </c>
      <c r="I266" t="s">
        <v>113</v>
      </c>
      <c r="J266" t="s">
        <v>80</v>
      </c>
      <c r="L266" t="s">
        <v>303</v>
      </c>
      <c r="M266" t="s">
        <v>304</v>
      </c>
      <c r="N266" t="s">
        <v>80</v>
      </c>
      <c r="O266" t="s">
        <v>81</v>
      </c>
      <c r="P266" t="str">
        <f>""</f>
        <v/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52.2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2</v>
      </c>
      <c r="BI266">
        <v>11</v>
      </c>
      <c r="BJ266">
        <v>8.1</v>
      </c>
      <c r="BK266">
        <v>11</v>
      </c>
      <c r="BL266">
        <v>141.65</v>
      </c>
      <c r="BM266">
        <v>21.25</v>
      </c>
      <c r="BN266">
        <v>162.9</v>
      </c>
      <c r="BO266">
        <v>162.9</v>
      </c>
      <c r="BQ266" t="s">
        <v>305</v>
      </c>
      <c r="BR266" t="s">
        <v>240</v>
      </c>
      <c r="BS266" s="3">
        <v>44827</v>
      </c>
      <c r="BT266" s="4">
        <v>0.375</v>
      </c>
      <c r="BU266" t="s">
        <v>305</v>
      </c>
      <c r="BV266" t="s">
        <v>83</v>
      </c>
      <c r="BY266">
        <v>40713</v>
      </c>
      <c r="BZ266" t="s">
        <v>84</v>
      </c>
      <c r="CC266" t="s">
        <v>304</v>
      </c>
      <c r="CD266">
        <v>9460</v>
      </c>
      <c r="CE266" t="s">
        <v>85</v>
      </c>
      <c r="CI266">
        <v>4</v>
      </c>
      <c r="CJ266">
        <v>1</v>
      </c>
      <c r="CK266">
        <v>41</v>
      </c>
    </row>
    <row r="267" spans="1:89" x14ac:dyDescent="0.3">
      <c r="A267" t="s">
        <v>72</v>
      </c>
      <c r="B267" t="s">
        <v>73</v>
      </c>
      <c r="C267" t="s">
        <v>74</v>
      </c>
      <c r="E267" t="str">
        <f>"009942724028"</f>
        <v>009942724028</v>
      </c>
      <c r="F267" s="3">
        <v>44826</v>
      </c>
      <c r="G267">
        <v>202306</v>
      </c>
      <c r="H267" t="s">
        <v>96</v>
      </c>
      <c r="I267" t="s">
        <v>97</v>
      </c>
      <c r="J267" t="s">
        <v>80</v>
      </c>
      <c r="L267" t="s">
        <v>171</v>
      </c>
      <c r="M267" t="s">
        <v>172</v>
      </c>
      <c r="N267" t="s">
        <v>80</v>
      </c>
      <c r="O267" t="s">
        <v>81</v>
      </c>
      <c r="P267" t="str">
        <f t="shared" ref="P267:P280" si="11">"LOCKS"</f>
        <v>LOCKS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133.84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19.899999999999999</v>
      </c>
      <c r="BJ267">
        <v>30.7</v>
      </c>
      <c r="BK267">
        <v>31</v>
      </c>
      <c r="BL267">
        <v>354.96</v>
      </c>
      <c r="BM267">
        <v>53.24</v>
      </c>
      <c r="BN267">
        <v>408.2</v>
      </c>
      <c r="BO267">
        <v>408.2</v>
      </c>
      <c r="BQ267" t="s">
        <v>534</v>
      </c>
      <c r="BR267" t="s">
        <v>107</v>
      </c>
      <c r="BS267" s="3">
        <v>44827</v>
      </c>
      <c r="BT267" s="4">
        <v>0.58472222222222225</v>
      </c>
      <c r="BU267" t="s">
        <v>535</v>
      </c>
      <c r="BV267" t="s">
        <v>83</v>
      </c>
      <c r="BY267">
        <v>153282.6</v>
      </c>
      <c r="BZ267" t="s">
        <v>84</v>
      </c>
      <c r="CA267" t="s">
        <v>176</v>
      </c>
      <c r="CC267" t="s">
        <v>172</v>
      </c>
      <c r="CD267">
        <v>8600</v>
      </c>
      <c r="CE267" t="s">
        <v>85</v>
      </c>
      <c r="CI267">
        <v>4</v>
      </c>
      <c r="CJ267">
        <v>1</v>
      </c>
      <c r="CK267">
        <v>43</v>
      </c>
    </row>
    <row r="268" spans="1:89" x14ac:dyDescent="0.3">
      <c r="A268" t="s">
        <v>72</v>
      </c>
      <c r="B268" t="s">
        <v>73</v>
      </c>
      <c r="C268" t="s">
        <v>74</v>
      </c>
      <c r="E268" t="str">
        <f>"009941735702"</f>
        <v>009941735702</v>
      </c>
      <c r="F268" s="3">
        <v>44826</v>
      </c>
      <c r="G268">
        <v>202306</v>
      </c>
      <c r="H268" t="s">
        <v>96</v>
      </c>
      <c r="I268" t="s">
        <v>97</v>
      </c>
      <c r="J268" t="s">
        <v>80</v>
      </c>
      <c r="L268" t="s">
        <v>131</v>
      </c>
      <c r="M268" t="s">
        <v>132</v>
      </c>
      <c r="N268" t="s">
        <v>80</v>
      </c>
      <c r="O268" t="s">
        <v>81</v>
      </c>
      <c r="P268" t="str">
        <f t="shared" si="11"/>
        <v>LOCKS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133.84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2</v>
      </c>
      <c r="BI268">
        <v>30.3</v>
      </c>
      <c r="BJ268">
        <v>7.5</v>
      </c>
      <c r="BK268">
        <v>31</v>
      </c>
      <c r="BL268">
        <v>354.96</v>
      </c>
      <c r="BM268">
        <v>53.24</v>
      </c>
      <c r="BN268">
        <v>408.2</v>
      </c>
      <c r="BO268">
        <v>408.2</v>
      </c>
      <c r="BQ268" t="s">
        <v>301</v>
      </c>
      <c r="BR268" t="s">
        <v>107</v>
      </c>
      <c r="BS268" s="3">
        <v>44827</v>
      </c>
      <c r="BT268" s="4">
        <v>0.65555555555555556</v>
      </c>
      <c r="BU268" t="s">
        <v>536</v>
      </c>
      <c r="BV268" t="s">
        <v>83</v>
      </c>
      <c r="BY268">
        <v>37472.65</v>
      </c>
      <c r="BZ268" t="s">
        <v>84</v>
      </c>
      <c r="CA268" t="s">
        <v>322</v>
      </c>
      <c r="CC268" t="s">
        <v>132</v>
      </c>
      <c r="CD268">
        <v>1150</v>
      </c>
      <c r="CE268" t="s">
        <v>85</v>
      </c>
      <c r="CI268">
        <v>4</v>
      </c>
      <c r="CJ268">
        <v>1</v>
      </c>
      <c r="CK268">
        <v>43</v>
      </c>
    </row>
    <row r="269" spans="1:89" x14ac:dyDescent="0.3">
      <c r="A269" t="s">
        <v>72</v>
      </c>
      <c r="B269" t="s">
        <v>73</v>
      </c>
      <c r="C269" t="s">
        <v>74</v>
      </c>
      <c r="E269" t="str">
        <f>"009942600732"</f>
        <v>009942600732</v>
      </c>
      <c r="F269" s="3">
        <v>44826</v>
      </c>
      <c r="G269">
        <v>202306</v>
      </c>
      <c r="H269" t="s">
        <v>96</v>
      </c>
      <c r="I269" t="s">
        <v>97</v>
      </c>
      <c r="J269" t="s">
        <v>80</v>
      </c>
      <c r="L269" t="s">
        <v>186</v>
      </c>
      <c r="M269" t="s">
        <v>187</v>
      </c>
      <c r="N269" t="s">
        <v>80</v>
      </c>
      <c r="O269" t="s">
        <v>81</v>
      </c>
      <c r="P269" t="str">
        <f t="shared" si="11"/>
        <v>LOCKS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114.59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23.5</v>
      </c>
      <c r="BJ269">
        <v>43.7</v>
      </c>
      <c r="BK269">
        <v>44</v>
      </c>
      <c r="BL269">
        <v>304.67</v>
      </c>
      <c r="BM269">
        <v>45.7</v>
      </c>
      <c r="BN269">
        <v>350.37</v>
      </c>
      <c r="BO269">
        <v>350.37</v>
      </c>
      <c r="BQ269" t="s">
        <v>221</v>
      </c>
      <c r="BR269" t="s">
        <v>107</v>
      </c>
      <c r="BS269" s="3">
        <v>44830</v>
      </c>
      <c r="BT269" s="4">
        <v>0.48541666666666666</v>
      </c>
      <c r="BU269" t="s">
        <v>537</v>
      </c>
      <c r="BV269" t="s">
        <v>83</v>
      </c>
      <c r="BY269">
        <v>218424.6</v>
      </c>
      <c r="BZ269" t="s">
        <v>84</v>
      </c>
      <c r="CA269" t="s">
        <v>538</v>
      </c>
      <c r="CC269" t="s">
        <v>187</v>
      </c>
      <c r="CD269">
        <v>6045</v>
      </c>
      <c r="CE269" t="s">
        <v>85</v>
      </c>
      <c r="CI269">
        <v>3</v>
      </c>
      <c r="CJ269">
        <v>2</v>
      </c>
      <c r="CK269">
        <v>41</v>
      </c>
    </row>
    <row r="270" spans="1:89" x14ac:dyDescent="0.3">
      <c r="A270" t="s">
        <v>72</v>
      </c>
      <c r="B270" t="s">
        <v>73</v>
      </c>
      <c r="C270" t="s">
        <v>74</v>
      </c>
      <c r="E270" t="str">
        <f>"009941332860"</f>
        <v>009941332860</v>
      </c>
      <c r="F270" s="3">
        <v>44826</v>
      </c>
      <c r="G270">
        <v>202306</v>
      </c>
      <c r="H270" t="s">
        <v>96</v>
      </c>
      <c r="I270" t="s">
        <v>97</v>
      </c>
      <c r="J270" t="s">
        <v>80</v>
      </c>
      <c r="L270" t="s">
        <v>119</v>
      </c>
      <c r="M270" t="s">
        <v>120</v>
      </c>
      <c r="N270" t="s">
        <v>80</v>
      </c>
      <c r="O270" t="s">
        <v>105</v>
      </c>
      <c r="P270" t="str">
        <f t="shared" si="11"/>
        <v>LOCKS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128.18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9.3000000000000007</v>
      </c>
      <c r="BJ270">
        <v>2.2999999999999998</v>
      </c>
      <c r="BK270">
        <v>9.5</v>
      </c>
      <c r="BL270">
        <v>334.92</v>
      </c>
      <c r="BM270">
        <v>50.24</v>
      </c>
      <c r="BN270">
        <v>385.16</v>
      </c>
      <c r="BO270">
        <v>385.16</v>
      </c>
      <c r="BQ270" t="s">
        <v>115</v>
      </c>
      <c r="BR270" t="s">
        <v>115</v>
      </c>
      <c r="BS270" s="3">
        <v>44827</v>
      </c>
      <c r="BT270" s="4">
        <v>0.39444444444444443</v>
      </c>
      <c r="BU270" t="s">
        <v>122</v>
      </c>
      <c r="BV270" t="s">
        <v>83</v>
      </c>
      <c r="BY270">
        <v>11442.53</v>
      </c>
      <c r="BZ270" t="s">
        <v>110</v>
      </c>
      <c r="CA270" t="s">
        <v>123</v>
      </c>
      <c r="CC270" t="s">
        <v>120</v>
      </c>
      <c r="CD270">
        <v>4091</v>
      </c>
      <c r="CE270" t="s">
        <v>85</v>
      </c>
      <c r="CI270">
        <v>1</v>
      </c>
      <c r="CJ270">
        <v>1</v>
      </c>
      <c r="CK270">
        <v>21</v>
      </c>
    </row>
    <row r="271" spans="1:89" x14ac:dyDescent="0.3">
      <c r="A271" t="s">
        <v>72</v>
      </c>
      <c r="B271" t="s">
        <v>73</v>
      </c>
      <c r="C271" t="s">
        <v>74</v>
      </c>
      <c r="E271" t="str">
        <f>"009941209307"</f>
        <v>009941209307</v>
      </c>
      <c r="F271" s="3">
        <v>44826</v>
      </c>
      <c r="G271">
        <v>202306</v>
      </c>
      <c r="H271" t="s">
        <v>96</v>
      </c>
      <c r="I271" t="s">
        <v>97</v>
      </c>
      <c r="J271" t="s">
        <v>80</v>
      </c>
      <c r="L271" t="s">
        <v>112</v>
      </c>
      <c r="M271" t="s">
        <v>113</v>
      </c>
      <c r="N271" t="s">
        <v>80</v>
      </c>
      <c r="O271" t="s">
        <v>81</v>
      </c>
      <c r="P271" t="str">
        <f t="shared" si="11"/>
        <v>LOCKS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52.2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4.5999999999999996</v>
      </c>
      <c r="BJ271">
        <v>2.4</v>
      </c>
      <c r="BK271">
        <v>5</v>
      </c>
      <c r="BL271">
        <v>141.65</v>
      </c>
      <c r="BM271">
        <v>21.25</v>
      </c>
      <c r="BN271">
        <v>162.9</v>
      </c>
      <c r="BO271">
        <v>162.9</v>
      </c>
      <c r="BQ271" t="s">
        <v>114</v>
      </c>
      <c r="BR271" t="s">
        <v>115</v>
      </c>
      <c r="BS271" s="3">
        <v>44827</v>
      </c>
      <c r="BT271" s="4">
        <v>0.44097222222222227</v>
      </c>
      <c r="BU271" t="s">
        <v>240</v>
      </c>
      <c r="BV271" t="s">
        <v>83</v>
      </c>
      <c r="BY271">
        <v>12135.42</v>
      </c>
      <c r="BZ271" t="s">
        <v>84</v>
      </c>
      <c r="CC271" t="s">
        <v>113</v>
      </c>
      <c r="CD271">
        <v>9300</v>
      </c>
      <c r="CE271" t="s">
        <v>85</v>
      </c>
      <c r="CI271">
        <v>3</v>
      </c>
      <c r="CJ271">
        <v>1</v>
      </c>
      <c r="CK271">
        <v>41</v>
      </c>
    </row>
    <row r="272" spans="1:89" x14ac:dyDescent="0.3">
      <c r="A272" t="s">
        <v>72</v>
      </c>
      <c r="B272" t="s">
        <v>73</v>
      </c>
      <c r="C272" t="s">
        <v>74</v>
      </c>
      <c r="E272" t="str">
        <f>"009941735512"</f>
        <v>009941735512</v>
      </c>
      <c r="F272" s="3">
        <v>44826</v>
      </c>
      <c r="G272">
        <v>202306</v>
      </c>
      <c r="H272" t="s">
        <v>96</v>
      </c>
      <c r="I272" t="s">
        <v>97</v>
      </c>
      <c r="J272" t="s">
        <v>80</v>
      </c>
      <c r="L272" t="s">
        <v>136</v>
      </c>
      <c r="M272" t="s">
        <v>137</v>
      </c>
      <c r="N272" t="s">
        <v>80</v>
      </c>
      <c r="O272" t="s">
        <v>81</v>
      </c>
      <c r="P272" t="str">
        <f t="shared" si="11"/>
        <v>LOCKS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1202.6500000000001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315</v>
      </c>
      <c r="BJ272">
        <v>42</v>
      </c>
      <c r="BK272">
        <v>315</v>
      </c>
      <c r="BL272">
        <v>3147.65</v>
      </c>
      <c r="BM272">
        <v>472.15</v>
      </c>
      <c r="BN272">
        <v>3619.8</v>
      </c>
      <c r="BO272">
        <v>3619.8</v>
      </c>
      <c r="BQ272" t="s">
        <v>115</v>
      </c>
      <c r="BR272" t="s">
        <v>107</v>
      </c>
      <c r="BS272" s="3">
        <v>44827</v>
      </c>
      <c r="BT272" s="4">
        <v>0.56666666666666665</v>
      </c>
      <c r="BU272" t="s">
        <v>139</v>
      </c>
      <c r="BV272" t="s">
        <v>83</v>
      </c>
      <c r="BY272">
        <v>210000</v>
      </c>
      <c r="BZ272" t="s">
        <v>84</v>
      </c>
      <c r="CA272" t="s">
        <v>140</v>
      </c>
      <c r="CC272" t="s">
        <v>137</v>
      </c>
      <c r="CD272">
        <v>1034</v>
      </c>
      <c r="CE272" t="s">
        <v>85</v>
      </c>
      <c r="CI272">
        <v>4</v>
      </c>
      <c r="CJ272">
        <v>1</v>
      </c>
      <c r="CK272">
        <v>43</v>
      </c>
    </row>
    <row r="273" spans="1:89" x14ac:dyDescent="0.3">
      <c r="A273" t="s">
        <v>72</v>
      </c>
      <c r="B273" t="s">
        <v>73</v>
      </c>
      <c r="C273" t="s">
        <v>74</v>
      </c>
      <c r="E273" t="str">
        <f>"009942600821"</f>
        <v>009942600821</v>
      </c>
      <c r="F273" s="3">
        <v>44826</v>
      </c>
      <c r="G273">
        <v>202306</v>
      </c>
      <c r="H273" t="s">
        <v>96</v>
      </c>
      <c r="I273" t="s">
        <v>97</v>
      </c>
      <c r="J273" t="s">
        <v>80</v>
      </c>
      <c r="L273" t="s">
        <v>94</v>
      </c>
      <c r="M273" t="s">
        <v>95</v>
      </c>
      <c r="N273" t="s">
        <v>539</v>
      </c>
      <c r="O273" t="s">
        <v>105</v>
      </c>
      <c r="P273" t="str">
        <f t="shared" si="11"/>
        <v>LOCKS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60.72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4.5</v>
      </c>
      <c r="BJ273">
        <v>3.6</v>
      </c>
      <c r="BK273">
        <v>4.5</v>
      </c>
      <c r="BL273">
        <v>158.66</v>
      </c>
      <c r="BM273">
        <v>23.8</v>
      </c>
      <c r="BN273">
        <v>182.46</v>
      </c>
      <c r="BO273">
        <v>182.46</v>
      </c>
      <c r="BQ273" t="s">
        <v>115</v>
      </c>
      <c r="BR273" t="s">
        <v>107</v>
      </c>
      <c r="BS273" s="3">
        <v>44827</v>
      </c>
      <c r="BT273" s="4">
        <v>0.42222222222222222</v>
      </c>
      <c r="BU273" t="s">
        <v>343</v>
      </c>
      <c r="BV273" t="s">
        <v>83</v>
      </c>
      <c r="BY273">
        <v>18014.560000000001</v>
      </c>
      <c r="BZ273" t="s">
        <v>110</v>
      </c>
      <c r="CA273" t="s">
        <v>287</v>
      </c>
      <c r="CC273" t="s">
        <v>95</v>
      </c>
      <c r="CD273">
        <v>699</v>
      </c>
      <c r="CE273" t="s">
        <v>85</v>
      </c>
      <c r="CI273">
        <v>1</v>
      </c>
      <c r="CJ273">
        <v>1</v>
      </c>
      <c r="CK273">
        <v>21</v>
      </c>
    </row>
    <row r="274" spans="1:89" x14ac:dyDescent="0.3">
      <c r="A274" t="s">
        <v>72</v>
      </c>
      <c r="B274" t="s">
        <v>73</v>
      </c>
      <c r="C274" t="s">
        <v>74</v>
      </c>
      <c r="E274" t="str">
        <f>"009941310031"</f>
        <v>009941310031</v>
      </c>
      <c r="F274" s="3">
        <v>44826</v>
      </c>
      <c r="G274">
        <v>202306</v>
      </c>
      <c r="H274" t="s">
        <v>96</v>
      </c>
      <c r="I274" t="s">
        <v>97</v>
      </c>
      <c r="J274" t="s">
        <v>80</v>
      </c>
      <c r="L274" t="s">
        <v>88</v>
      </c>
      <c r="M274" t="s">
        <v>89</v>
      </c>
      <c r="N274" t="s">
        <v>80</v>
      </c>
      <c r="O274" t="s">
        <v>105</v>
      </c>
      <c r="P274" t="str">
        <f t="shared" si="11"/>
        <v>LOCKS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123.17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4.5999999999999996</v>
      </c>
      <c r="BJ274">
        <v>3.8</v>
      </c>
      <c r="BK274">
        <v>5</v>
      </c>
      <c r="BL274">
        <v>321.83</v>
      </c>
      <c r="BM274">
        <v>48.27</v>
      </c>
      <c r="BN274">
        <v>370.1</v>
      </c>
      <c r="BO274">
        <v>370.1</v>
      </c>
      <c r="BQ274" t="s">
        <v>117</v>
      </c>
      <c r="BR274" t="s">
        <v>115</v>
      </c>
      <c r="BS274" s="3">
        <v>44827</v>
      </c>
      <c r="BT274" s="4">
        <v>0.40972222222222227</v>
      </c>
      <c r="BU274" t="s">
        <v>92</v>
      </c>
      <c r="BV274" t="s">
        <v>83</v>
      </c>
      <c r="BY274">
        <v>19003.04</v>
      </c>
      <c r="BZ274" t="s">
        <v>110</v>
      </c>
      <c r="CA274" t="s">
        <v>255</v>
      </c>
      <c r="CC274" t="s">
        <v>89</v>
      </c>
      <c r="CD274">
        <v>300</v>
      </c>
      <c r="CE274" t="s">
        <v>85</v>
      </c>
      <c r="CI274">
        <v>1</v>
      </c>
      <c r="CJ274">
        <v>1</v>
      </c>
      <c r="CK274">
        <v>23</v>
      </c>
    </row>
    <row r="275" spans="1:89" x14ac:dyDescent="0.3">
      <c r="A275" t="s">
        <v>72</v>
      </c>
      <c r="B275" t="s">
        <v>73</v>
      </c>
      <c r="C275" t="s">
        <v>74</v>
      </c>
      <c r="E275" t="str">
        <f>"009942319804"</f>
        <v>009942319804</v>
      </c>
      <c r="F275" s="3">
        <v>44826</v>
      </c>
      <c r="G275">
        <v>202306</v>
      </c>
      <c r="H275" t="s">
        <v>96</v>
      </c>
      <c r="I275" t="s">
        <v>97</v>
      </c>
      <c r="J275" t="s">
        <v>80</v>
      </c>
      <c r="L275" t="s">
        <v>94</v>
      </c>
      <c r="M275" t="s">
        <v>95</v>
      </c>
      <c r="N275" t="s">
        <v>80</v>
      </c>
      <c r="O275" t="s">
        <v>105</v>
      </c>
      <c r="P275" t="str">
        <f t="shared" si="11"/>
        <v>LOCKS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40.49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0.7</v>
      </c>
      <c r="BJ275">
        <v>3</v>
      </c>
      <c r="BK275">
        <v>3</v>
      </c>
      <c r="BL275">
        <v>105.79</v>
      </c>
      <c r="BM275">
        <v>15.87</v>
      </c>
      <c r="BN275">
        <v>121.66</v>
      </c>
      <c r="BO275">
        <v>121.66</v>
      </c>
      <c r="BQ275" t="s">
        <v>540</v>
      </c>
      <c r="BR275" t="s">
        <v>309</v>
      </c>
      <c r="BS275" s="3">
        <v>44827</v>
      </c>
      <c r="BT275" s="4">
        <v>0.42222222222222222</v>
      </c>
      <c r="BU275" t="s">
        <v>343</v>
      </c>
      <c r="BV275" t="s">
        <v>83</v>
      </c>
      <c r="BY275">
        <v>15114.6</v>
      </c>
      <c r="BZ275" t="s">
        <v>110</v>
      </c>
      <c r="CA275" t="s">
        <v>287</v>
      </c>
      <c r="CC275" t="s">
        <v>95</v>
      </c>
      <c r="CD275">
        <v>699</v>
      </c>
      <c r="CE275" t="s">
        <v>85</v>
      </c>
      <c r="CI275">
        <v>1</v>
      </c>
      <c r="CJ275">
        <v>1</v>
      </c>
      <c r="CK275">
        <v>21</v>
      </c>
    </row>
    <row r="276" spans="1:89" x14ac:dyDescent="0.3">
      <c r="A276" t="s">
        <v>72</v>
      </c>
      <c r="B276" t="s">
        <v>73</v>
      </c>
      <c r="C276" t="s">
        <v>74</v>
      </c>
      <c r="E276" t="str">
        <f>"009941310252"</f>
        <v>009941310252</v>
      </c>
      <c r="F276" s="3">
        <v>44826</v>
      </c>
      <c r="G276">
        <v>202306</v>
      </c>
      <c r="H276" t="s">
        <v>96</v>
      </c>
      <c r="I276" t="s">
        <v>97</v>
      </c>
      <c r="J276" t="s">
        <v>80</v>
      </c>
      <c r="L276" t="s">
        <v>119</v>
      </c>
      <c r="M276" t="s">
        <v>120</v>
      </c>
      <c r="N276" t="s">
        <v>80</v>
      </c>
      <c r="O276" t="s">
        <v>105</v>
      </c>
      <c r="P276" t="str">
        <f t="shared" si="11"/>
        <v>LOCKS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26.99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70.53</v>
      </c>
      <c r="BM276">
        <v>10.58</v>
      </c>
      <c r="BN276">
        <v>81.11</v>
      </c>
      <c r="BO276">
        <v>81.11</v>
      </c>
      <c r="BQ276" t="s">
        <v>115</v>
      </c>
      <c r="BR276" t="s">
        <v>124</v>
      </c>
      <c r="BS276" s="3">
        <v>44827</v>
      </c>
      <c r="BT276" s="4">
        <v>0.39444444444444443</v>
      </c>
      <c r="BU276" t="s">
        <v>284</v>
      </c>
      <c r="BV276" t="s">
        <v>83</v>
      </c>
      <c r="BY276">
        <v>1200</v>
      </c>
      <c r="BZ276" t="s">
        <v>110</v>
      </c>
      <c r="CC276" t="s">
        <v>120</v>
      </c>
      <c r="CD276">
        <v>4091</v>
      </c>
      <c r="CE276" t="s">
        <v>85</v>
      </c>
      <c r="CI276">
        <v>1</v>
      </c>
      <c r="CJ276">
        <v>1</v>
      </c>
      <c r="CK276">
        <v>21</v>
      </c>
    </row>
    <row r="277" spans="1:89" x14ac:dyDescent="0.3">
      <c r="A277" t="s">
        <v>72</v>
      </c>
      <c r="B277" t="s">
        <v>73</v>
      </c>
      <c r="C277" t="s">
        <v>74</v>
      </c>
      <c r="E277" t="str">
        <f>"009942600699"</f>
        <v>009942600699</v>
      </c>
      <c r="F277" s="3">
        <v>44826</v>
      </c>
      <c r="G277">
        <v>202306</v>
      </c>
      <c r="H277" t="s">
        <v>96</v>
      </c>
      <c r="I277" t="s">
        <v>97</v>
      </c>
      <c r="J277" t="s">
        <v>80</v>
      </c>
      <c r="L277" t="s">
        <v>186</v>
      </c>
      <c r="M277" t="s">
        <v>187</v>
      </c>
      <c r="N277" t="s">
        <v>80</v>
      </c>
      <c r="O277" t="s">
        <v>105</v>
      </c>
      <c r="P277" t="str">
        <f t="shared" si="11"/>
        <v>LOCKS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40.49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0.7</v>
      </c>
      <c r="BJ277">
        <v>2.6</v>
      </c>
      <c r="BK277">
        <v>3</v>
      </c>
      <c r="BL277">
        <v>105.79</v>
      </c>
      <c r="BM277">
        <v>15.87</v>
      </c>
      <c r="BN277">
        <v>121.66</v>
      </c>
      <c r="BO277">
        <v>121.66</v>
      </c>
      <c r="BQ277" t="s">
        <v>221</v>
      </c>
      <c r="BR277" t="s">
        <v>107</v>
      </c>
      <c r="BS277" s="3">
        <v>44827</v>
      </c>
      <c r="BT277" s="4">
        <v>0.40277777777777773</v>
      </c>
      <c r="BU277" t="s">
        <v>188</v>
      </c>
      <c r="BV277" t="s">
        <v>83</v>
      </c>
      <c r="BY277">
        <v>13097.43</v>
      </c>
      <c r="BZ277" t="s">
        <v>110</v>
      </c>
      <c r="CA277" t="s">
        <v>189</v>
      </c>
      <c r="CC277" t="s">
        <v>187</v>
      </c>
      <c r="CD277">
        <v>6045</v>
      </c>
      <c r="CE277" t="s">
        <v>85</v>
      </c>
      <c r="CI277">
        <v>1</v>
      </c>
      <c r="CJ277">
        <v>1</v>
      </c>
      <c r="CK277">
        <v>21</v>
      </c>
    </row>
    <row r="278" spans="1:89" x14ac:dyDescent="0.3">
      <c r="A278" t="s">
        <v>72</v>
      </c>
      <c r="B278" t="s">
        <v>73</v>
      </c>
      <c r="C278" t="s">
        <v>74</v>
      </c>
      <c r="E278" t="str">
        <f>"009942724029"</f>
        <v>009942724029</v>
      </c>
      <c r="F278" s="3">
        <v>44826</v>
      </c>
      <c r="G278">
        <v>202306</v>
      </c>
      <c r="H278" t="s">
        <v>96</v>
      </c>
      <c r="I278" t="s">
        <v>97</v>
      </c>
      <c r="J278" t="s">
        <v>80</v>
      </c>
      <c r="L278" t="s">
        <v>86</v>
      </c>
      <c r="M278" t="s">
        <v>87</v>
      </c>
      <c r="N278" t="s">
        <v>80</v>
      </c>
      <c r="O278" t="s">
        <v>105</v>
      </c>
      <c r="P278" t="str">
        <f t="shared" si="11"/>
        <v>LOCKS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52.3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>
        <v>136.66</v>
      </c>
      <c r="BM278">
        <v>20.5</v>
      </c>
      <c r="BN278">
        <v>157.16</v>
      </c>
      <c r="BO278">
        <v>157.16</v>
      </c>
      <c r="BQ278" t="s">
        <v>91</v>
      </c>
      <c r="BR278" t="s">
        <v>107</v>
      </c>
      <c r="BS278" s="3">
        <v>44832</v>
      </c>
      <c r="BT278" s="4">
        <v>0.28750000000000003</v>
      </c>
      <c r="BU278" t="s">
        <v>541</v>
      </c>
      <c r="BV278" t="s">
        <v>109</v>
      </c>
      <c r="BY278">
        <v>1200</v>
      </c>
      <c r="BZ278" t="s">
        <v>110</v>
      </c>
      <c r="CA278" t="s">
        <v>434</v>
      </c>
      <c r="CC278" t="s">
        <v>87</v>
      </c>
      <c r="CD278">
        <v>2570</v>
      </c>
      <c r="CE278" t="s">
        <v>85</v>
      </c>
      <c r="CI278">
        <v>1</v>
      </c>
      <c r="CJ278">
        <v>4</v>
      </c>
      <c r="CK278">
        <v>23</v>
      </c>
    </row>
    <row r="279" spans="1:89" x14ac:dyDescent="0.3">
      <c r="A279" t="s">
        <v>72</v>
      </c>
      <c r="B279" t="s">
        <v>73</v>
      </c>
      <c r="C279" t="s">
        <v>74</v>
      </c>
      <c r="E279" t="str">
        <f>"009941291471"</f>
        <v>009941291471</v>
      </c>
      <c r="F279" s="3">
        <v>44826</v>
      </c>
      <c r="G279">
        <v>202306</v>
      </c>
      <c r="H279" t="s">
        <v>96</v>
      </c>
      <c r="I279" t="s">
        <v>97</v>
      </c>
      <c r="J279" t="s">
        <v>80</v>
      </c>
      <c r="L279" t="s">
        <v>147</v>
      </c>
      <c r="M279" t="s">
        <v>148</v>
      </c>
      <c r="N279" t="s">
        <v>80</v>
      </c>
      <c r="O279" t="s">
        <v>105</v>
      </c>
      <c r="P279" t="str">
        <f t="shared" si="11"/>
        <v>LOCKS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26.99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0.2</v>
      </c>
      <c r="BK279">
        <v>1</v>
      </c>
      <c r="BL279">
        <v>70.53</v>
      </c>
      <c r="BM279">
        <v>10.58</v>
      </c>
      <c r="BN279">
        <v>81.11</v>
      </c>
      <c r="BO279">
        <v>81.11</v>
      </c>
      <c r="BQ279" t="s">
        <v>193</v>
      </c>
      <c r="BR279" t="s">
        <v>115</v>
      </c>
      <c r="BS279" s="3">
        <v>44827</v>
      </c>
      <c r="BT279" s="4">
        <v>0.39097222222222222</v>
      </c>
      <c r="BU279" t="s">
        <v>542</v>
      </c>
      <c r="BV279" t="s">
        <v>83</v>
      </c>
      <c r="BY279">
        <v>1200</v>
      </c>
      <c r="BZ279" t="s">
        <v>110</v>
      </c>
      <c r="CA279" t="s">
        <v>195</v>
      </c>
      <c r="CC279" t="s">
        <v>148</v>
      </c>
      <c r="CD279">
        <v>8000</v>
      </c>
      <c r="CE279" t="s">
        <v>85</v>
      </c>
      <c r="CI279">
        <v>1</v>
      </c>
      <c r="CJ279">
        <v>1</v>
      </c>
      <c r="CK279">
        <v>21</v>
      </c>
    </row>
    <row r="280" spans="1:89" x14ac:dyDescent="0.3">
      <c r="A280" t="s">
        <v>72</v>
      </c>
      <c r="B280" t="s">
        <v>73</v>
      </c>
      <c r="C280" t="s">
        <v>74</v>
      </c>
      <c r="E280" t="str">
        <f>"009942724026"</f>
        <v>009942724026</v>
      </c>
      <c r="F280" s="3">
        <v>44826</v>
      </c>
      <c r="G280">
        <v>202306</v>
      </c>
      <c r="H280" t="s">
        <v>96</v>
      </c>
      <c r="I280" t="s">
        <v>97</v>
      </c>
      <c r="J280" t="s">
        <v>80</v>
      </c>
      <c r="L280" t="s">
        <v>266</v>
      </c>
      <c r="M280" t="s">
        <v>267</v>
      </c>
      <c r="N280" t="s">
        <v>80</v>
      </c>
      <c r="O280" t="s">
        <v>105</v>
      </c>
      <c r="P280" t="str">
        <f t="shared" si="11"/>
        <v>LOCKS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52.3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136.66</v>
      </c>
      <c r="BM280">
        <v>20.5</v>
      </c>
      <c r="BN280">
        <v>157.16</v>
      </c>
      <c r="BO280">
        <v>157.16</v>
      </c>
      <c r="BQ280" t="s">
        <v>543</v>
      </c>
      <c r="BR280" t="s">
        <v>107</v>
      </c>
      <c r="BS280" s="3">
        <v>44833</v>
      </c>
      <c r="BT280" s="4">
        <v>0.55208333333333337</v>
      </c>
      <c r="BU280" t="s">
        <v>479</v>
      </c>
      <c r="BV280" t="s">
        <v>109</v>
      </c>
      <c r="BY280">
        <v>1200</v>
      </c>
      <c r="BZ280" t="s">
        <v>110</v>
      </c>
      <c r="CA280" t="s">
        <v>480</v>
      </c>
      <c r="CC280" t="s">
        <v>267</v>
      </c>
      <c r="CD280">
        <v>5099</v>
      </c>
      <c r="CE280" t="s">
        <v>85</v>
      </c>
      <c r="CI280">
        <v>2</v>
      </c>
      <c r="CJ280">
        <v>5</v>
      </c>
      <c r="CK280">
        <v>23</v>
      </c>
    </row>
    <row r="281" spans="1:89" x14ac:dyDescent="0.3">
      <c r="A281" t="s">
        <v>72</v>
      </c>
      <c r="B281" t="s">
        <v>73</v>
      </c>
      <c r="C281" t="s">
        <v>74</v>
      </c>
      <c r="E281" t="str">
        <f>"009942086235"</f>
        <v>009942086235</v>
      </c>
      <c r="F281" s="3">
        <v>44827</v>
      </c>
      <c r="G281">
        <v>202306</v>
      </c>
      <c r="H281" t="s">
        <v>186</v>
      </c>
      <c r="I281" t="s">
        <v>187</v>
      </c>
      <c r="J281" t="s">
        <v>544</v>
      </c>
      <c r="L281" t="s">
        <v>78</v>
      </c>
      <c r="M281" t="s">
        <v>79</v>
      </c>
      <c r="N281" t="s">
        <v>425</v>
      </c>
      <c r="O281" t="s">
        <v>81</v>
      </c>
      <c r="P281" t="str">
        <f>"STORES"</f>
        <v>STORES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886.95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250</v>
      </c>
      <c r="BJ281">
        <v>402.7</v>
      </c>
      <c r="BK281">
        <v>403</v>
      </c>
      <c r="BL281">
        <v>2322.7600000000002</v>
      </c>
      <c r="BM281">
        <v>348.41</v>
      </c>
      <c r="BN281">
        <v>2671.17</v>
      </c>
      <c r="BO281">
        <v>2671.17</v>
      </c>
      <c r="BQ281" t="s">
        <v>355</v>
      </c>
      <c r="BR281" t="s">
        <v>221</v>
      </c>
      <c r="BS281" s="3">
        <v>44830</v>
      </c>
      <c r="BT281" s="4">
        <v>0.62430555555555556</v>
      </c>
      <c r="BU281" t="s">
        <v>382</v>
      </c>
      <c r="BV281" t="s">
        <v>83</v>
      </c>
      <c r="BY281">
        <v>2013660</v>
      </c>
      <c r="BZ281" t="s">
        <v>84</v>
      </c>
      <c r="CA281" t="s">
        <v>170</v>
      </c>
      <c r="CC281" t="s">
        <v>79</v>
      </c>
      <c r="CD281">
        <v>2090</v>
      </c>
      <c r="CE281" t="s">
        <v>85</v>
      </c>
      <c r="CI281">
        <v>3</v>
      </c>
      <c r="CJ281">
        <v>1</v>
      </c>
      <c r="CK281">
        <v>41</v>
      </c>
    </row>
    <row r="282" spans="1:89" x14ac:dyDescent="0.3">
      <c r="A282" t="s">
        <v>72</v>
      </c>
      <c r="B282" t="s">
        <v>73</v>
      </c>
      <c r="C282" t="s">
        <v>74</v>
      </c>
      <c r="E282" t="str">
        <f>"009941291470"</f>
        <v>009941291470</v>
      </c>
      <c r="F282" s="3">
        <v>44827</v>
      </c>
      <c r="G282">
        <v>202306</v>
      </c>
      <c r="H282" t="s">
        <v>96</v>
      </c>
      <c r="I282" t="s">
        <v>97</v>
      </c>
      <c r="J282" t="s">
        <v>80</v>
      </c>
      <c r="L282" t="s">
        <v>147</v>
      </c>
      <c r="M282" t="s">
        <v>148</v>
      </c>
      <c r="N282" t="s">
        <v>80</v>
      </c>
      <c r="O282" t="s">
        <v>81</v>
      </c>
      <c r="P282" t="str">
        <f>"NA"</f>
        <v>NA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52.2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2.4</v>
      </c>
      <c r="BJ282">
        <v>2.1</v>
      </c>
      <c r="BK282">
        <v>3</v>
      </c>
      <c r="BL282">
        <v>141.65</v>
      </c>
      <c r="BM282">
        <v>21.25</v>
      </c>
      <c r="BN282">
        <v>162.9</v>
      </c>
      <c r="BO282">
        <v>162.9</v>
      </c>
      <c r="BQ282" t="s">
        <v>193</v>
      </c>
      <c r="BR282" t="s">
        <v>115</v>
      </c>
      <c r="BS282" s="3">
        <v>44830</v>
      </c>
      <c r="BT282" s="4">
        <v>0.36736111111111108</v>
      </c>
      <c r="BU282" t="s">
        <v>259</v>
      </c>
      <c r="BV282" t="s">
        <v>83</v>
      </c>
      <c r="BY282">
        <v>10470.870000000001</v>
      </c>
      <c r="BZ282" t="s">
        <v>84</v>
      </c>
      <c r="CA282" t="s">
        <v>270</v>
      </c>
      <c r="CC282" t="s">
        <v>148</v>
      </c>
      <c r="CD282">
        <v>8000</v>
      </c>
      <c r="CE282" t="s">
        <v>85</v>
      </c>
      <c r="CI282">
        <v>3</v>
      </c>
      <c r="CJ282">
        <v>1</v>
      </c>
      <c r="CK282">
        <v>41</v>
      </c>
    </row>
    <row r="283" spans="1:89" x14ac:dyDescent="0.3">
      <c r="A283" t="s">
        <v>72</v>
      </c>
      <c r="B283" t="s">
        <v>73</v>
      </c>
      <c r="C283" t="s">
        <v>74</v>
      </c>
      <c r="E283" t="str">
        <f>"009942724030"</f>
        <v>009942724030</v>
      </c>
      <c r="F283" s="3">
        <v>44827</v>
      </c>
      <c r="G283">
        <v>202306</v>
      </c>
      <c r="H283" t="s">
        <v>96</v>
      </c>
      <c r="I283" t="s">
        <v>97</v>
      </c>
      <c r="J283" t="s">
        <v>80</v>
      </c>
      <c r="L283" t="s">
        <v>141</v>
      </c>
      <c r="M283" t="s">
        <v>142</v>
      </c>
      <c r="N283" t="s">
        <v>80</v>
      </c>
      <c r="O283" t="s">
        <v>81</v>
      </c>
      <c r="P283" t="str">
        <f>"NA"</f>
        <v>NA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73.63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15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1.1000000000000001</v>
      </c>
      <c r="BJ283">
        <v>2.2000000000000002</v>
      </c>
      <c r="BK283">
        <v>3</v>
      </c>
      <c r="BL283">
        <v>212.63</v>
      </c>
      <c r="BM283">
        <v>31.89</v>
      </c>
      <c r="BN283">
        <v>244.52</v>
      </c>
      <c r="BO283">
        <v>244.52</v>
      </c>
      <c r="BQ283" t="s">
        <v>545</v>
      </c>
      <c r="BR283" t="s">
        <v>107</v>
      </c>
      <c r="BS283" s="3">
        <v>44830</v>
      </c>
      <c r="BT283" s="4">
        <v>0.62152777777777779</v>
      </c>
      <c r="BU283" t="s">
        <v>174</v>
      </c>
      <c r="BV283" t="s">
        <v>83</v>
      </c>
      <c r="BY283">
        <v>11163.6</v>
      </c>
      <c r="BZ283" t="s">
        <v>296</v>
      </c>
      <c r="CC283" t="s">
        <v>142</v>
      </c>
      <c r="CD283">
        <v>2745</v>
      </c>
      <c r="CE283" t="s">
        <v>85</v>
      </c>
      <c r="CI283">
        <v>4</v>
      </c>
      <c r="CJ283">
        <v>1</v>
      </c>
      <c r="CK283">
        <v>43</v>
      </c>
    </row>
    <row r="284" spans="1:89" x14ac:dyDescent="0.3">
      <c r="A284" t="s">
        <v>72</v>
      </c>
      <c r="B284" t="s">
        <v>73</v>
      </c>
      <c r="C284" t="s">
        <v>74</v>
      </c>
      <c r="E284" t="str">
        <f>"009941291469"</f>
        <v>009941291469</v>
      </c>
      <c r="F284" s="3">
        <v>44827</v>
      </c>
      <c r="G284">
        <v>202306</v>
      </c>
      <c r="H284" t="s">
        <v>96</v>
      </c>
      <c r="I284" t="s">
        <v>97</v>
      </c>
      <c r="J284" t="s">
        <v>80</v>
      </c>
      <c r="L284" t="s">
        <v>147</v>
      </c>
      <c r="M284" t="s">
        <v>148</v>
      </c>
      <c r="N284" t="s">
        <v>80</v>
      </c>
      <c r="O284" t="s">
        <v>81</v>
      </c>
      <c r="P284" t="str">
        <f>"LOCKS"</f>
        <v>LOCKS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52.2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12.2</v>
      </c>
      <c r="BJ284">
        <v>13.4</v>
      </c>
      <c r="BK284">
        <v>14</v>
      </c>
      <c r="BL284">
        <v>141.65</v>
      </c>
      <c r="BM284">
        <v>21.25</v>
      </c>
      <c r="BN284">
        <v>162.9</v>
      </c>
      <c r="BO284">
        <v>162.9</v>
      </c>
      <c r="BQ284" t="s">
        <v>193</v>
      </c>
      <c r="BR284" t="s">
        <v>115</v>
      </c>
      <c r="BS284" s="3">
        <v>44830</v>
      </c>
      <c r="BT284" s="4">
        <v>0.36736111111111108</v>
      </c>
      <c r="BU284" t="s">
        <v>259</v>
      </c>
      <c r="BV284" t="s">
        <v>83</v>
      </c>
      <c r="BY284">
        <v>67153.070000000007</v>
      </c>
      <c r="BZ284" t="s">
        <v>84</v>
      </c>
      <c r="CA284" t="s">
        <v>270</v>
      </c>
      <c r="CC284" t="s">
        <v>148</v>
      </c>
      <c r="CD284">
        <v>8000</v>
      </c>
      <c r="CE284" t="s">
        <v>85</v>
      </c>
      <c r="CI284">
        <v>3</v>
      </c>
      <c r="CJ284">
        <v>1</v>
      </c>
      <c r="CK284">
        <v>41</v>
      </c>
    </row>
    <row r="285" spans="1:89" x14ac:dyDescent="0.3">
      <c r="A285" t="s">
        <v>72</v>
      </c>
      <c r="B285" t="s">
        <v>73</v>
      </c>
      <c r="C285" t="s">
        <v>74</v>
      </c>
      <c r="E285" t="str">
        <f>"009942600731"</f>
        <v>009942600731</v>
      </c>
      <c r="F285" s="3">
        <v>44827</v>
      </c>
      <c r="G285">
        <v>202306</v>
      </c>
      <c r="H285" t="s">
        <v>96</v>
      </c>
      <c r="I285" t="s">
        <v>97</v>
      </c>
      <c r="J285" t="s">
        <v>80</v>
      </c>
      <c r="L285" t="s">
        <v>186</v>
      </c>
      <c r="M285" t="s">
        <v>187</v>
      </c>
      <c r="N285" t="s">
        <v>80</v>
      </c>
      <c r="O285" t="s">
        <v>81</v>
      </c>
      <c r="P285" t="str">
        <f>"LOCKS"</f>
        <v>LOCKS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295.31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3</v>
      </c>
      <c r="BI285">
        <v>87.1</v>
      </c>
      <c r="BJ285">
        <v>127.3</v>
      </c>
      <c r="BK285">
        <v>128</v>
      </c>
      <c r="BL285">
        <v>776.87</v>
      </c>
      <c r="BM285">
        <v>116.53</v>
      </c>
      <c r="BN285">
        <v>893.4</v>
      </c>
      <c r="BO285">
        <v>893.4</v>
      </c>
      <c r="BQ285" t="s">
        <v>221</v>
      </c>
      <c r="BR285" t="s">
        <v>107</v>
      </c>
      <c r="BS285" s="3">
        <v>44830</v>
      </c>
      <c r="BT285" s="4">
        <v>0.57222222222222219</v>
      </c>
      <c r="BU285" t="s">
        <v>546</v>
      </c>
      <c r="BV285" t="s">
        <v>83</v>
      </c>
      <c r="BY285">
        <v>636264.16</v>
      </c>
      <c r="BZ285" t="s">
        <v>84</v>
      </c>
      <c r="CA285" t="s">
        <v>471</v>
      </c>
      <c r="CC285" t="s">
        <v>187</v>
      </c>
      <c r="CD285">
        <v>6045</v>
      </c>
      <c r="CE285" t="s">
        <v>85</v>
      </c>
      <c r="CI285">
        <v>3</v>
      </c>
      <c r="CJ285">
        <v>1</v>
      </c>
      <c r="CK285">
        <v>41</v>
      </c>
    </row>
    <row r="286" spans="1:89" x14ac:dyDescent="0.3">
      <c r="A286" t="s">
        <v>72</v>
      </c>
      <c r="B286" t="s">
        <v>73</v>
      </c>
      <c r="C286" t="s">
        <v>74</v>
      </c>
      <c r="E286" t="str">
        <f>"009942133680"</f>
        <v>009942133680</v>
      </c>
      <c r="F286" s="3">
        <v>44827</v>
      </c>
      <c r="G286">
        <v>202306</v>
      </c>
      <c r="H286" t="s">
        <v>96</v>
      </c>
      <c r="I286" t="s">
        <v>97</v>
      </c>
      <c r="J286" t="s">
        <v>80</v>
      </c>
      <c r="L286" t="s">
        <v>328</v>
      </c>
      <c r="M286" t="s">
        <v>329</v>
      </c>
      <c r="N286" t="s">
        <v>80</v>
      </c>
      <c r="O286" t="s">
        <v>81</v>
      </c>
      <c r="P286" t="str">
        <f>"LOCKS"</f>
        <v>LOCKS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73.63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15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1.1000000000000001</v>
      </c>
      <c r="BJ286">
        <v>1.9</v>
      </c>
      <c r="BK286">
        <v>2</v>
      </c>
      <c r="BL286">
        <v>212.63</v>
      </c>
      <c r="BM286">
        <v>31.89</v>
      </c>
      <c r="BN286">
        <v>244.52</v>
      </c>
      <c r="BO286">
        <v>244.52</v>
      </c>
      <c r="BQ286" t="s">
        <v>233</v>
      </c>
      <c r="BR286" t="s">
        <v>107</v>
      </c>
      <c r="BS286" s="3">
        <v>44832</v>
      </c>
      <c r="BT286" s="4">
        <v>0.38611111111111113</v>
      </c>
      <c r="BU286" t="s">
        <v>402</v>
      </c>
      <c r="BV286" t="s">
        <v>109</v>
      </c>
      <c r="BY286">
        <v>9683.8799999999992</v>
      </c>
      <c r="BZ286" t="s">
        <v>296</v>
      </c>
      <c r="CC286" t="s">
        <v>329</v>
      </c>
      <c r="CD286">
        <v>8460</v>
      </c>
      <c r="CE286" t="s">
        <v>85</v>
      </c>
      <c r="CI286">
        <v>4</v>
      </c>
      <c r="CJ286">
        <v>3</v>
      </c>
      <c r="CK286">
        <v>43</v>
      </c>
    </row>
    <row r="287" spans="1:89" x14ac:dyDescent="0.3">
      <c r="A287" t="s">
        <v>72</v>
      </c>
      <c r="B287" t="s">
        <v>73</v>
      </c>
      <c r="C287" t="s">
        <v>74</v>
      </c>
      <c r="E287" t="str">
        <f>"009942086202"</f>
        <v>009942086202</v>
      </c>
      <c r="F287" s="3">
        <v>44827</v>
      </c>
      <c r="G287">
        <v>202306</v>
      </c>
      <c r="H287" t="s">
        <v>186</v>
      </c>
      <c r="I287" t="s">
        <v>187</v>
      </c>
      <c r="J287" t="s">
        <v>544</v>
      </c>
      <c r="L287" t="s">
        <v>78</v>
      </c>
      <c r="M287" t="s">
        <v>79</v>
      </c>
      <c r="N287" t="s">
        <v>425</v>
      </c>
      <c r="O287" t="s">
        <v>421</v>
      </c>
      <c r="P287" t="str">
        <f>""</f>
        <v/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50.62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132.26</v>
      </c>
      <c r="BM287">
        <v>19.84</v>
      </c>
      <c r="BN287">
        <v>152.1</v>
      </c>
      <c r="BO287">
        <v>152.1</v>
      </c>
      <c r="BP287" t="s">
        <v>547</v>
      </c>
      <c r="BQ287" t="s">
        <v>548</v>
      </c>
      <c r="BR287" t="s">
        <v>221</v>
      </c>
      <c r="BS287" s="3">
        <v>44831</v>
      </c>
      <c r="BT287" s="4">
        <v>0.4465277777777778</v>
      </c>
      <c r="BU287" t="s">
        <v>169</v>
      </c>
      <c r="BV287" t="s">
        <v>109</v>
      </c>
      <c r="BY287">
        <v>1200</v>
      </c>
      <c r="BZ287" t="s">
        <v>84</v>
      </c>
      <c r="CA287" t="s">
        <v>211</v>
      </c>
      <c r="CC287" t="s">
        <v>79</v>
      </c>
      <c r="CD287">
        <v>2090</v>
      </c>
      <c r="CE287" t="s">
        <v>85</v>
      </c>
      <c r="CI287">
        <v>1</v>
      </c>
      <c r="CJ287">
        <v>2</v>
      </c>
      <c r="CK287">
        <v>31</v>
      </c>
    </row>
    <row r="288" spans="1:89" x14ac:dyDescent="0.3">
      <c r="A288" t="s">
        <v>72</v>
      </c>
      <c r="B288" t="s">
        <v>73</v>
      </c>
      <c r="C288" t="s">
        <v>74</v>
      </c>
      <c r="E288" t="str">
        <f>"009941745928"</f>
        <v>009941745928</v>
      </c>
      <c r="F288" s="3">
        <v>44827</v>
      </c>
      <c r="G288">
        <v>202306</v>
      </c>
      <c r="H288" t="s">
        <v>131</v>
      </c>
      <c r="I288" t="s">
        <v>132</v>
      </c>
      <c r="J288" t="s">
        <v>80</v>
      </c>
      <c r="L288" t="s">
        <v>151</v>
      </c>
      <c r="M288" t="s">
        <v>152</v>
      </c>
      <c r="N288" t="s">
        <v>153</v>
      </c>
      <c r="O288" t="s">
        <v>81</v>
      </c>
      <c r="P288" t="str">
        <f>""</f>
        <v/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73.63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0.2</v>
      </c>
      <c r="BK288">
        <v>1</v>
      </c>
      <c r="BL288">
        <v>197.63</v>
      </c>
      <c r="BM288">
        <v>29.64</v>
      </c>
      <c r="BN288">
        <v>227.27</v>
      </c>
      <c r="BO288">
        <v>227.27</v>
      </c>
      <c r="BQ288" t="s">
        <v>549</v>
      </c>
      <c r="BR288" t="s">
        <v>301</v>
      </c>
      <c r="BS288" s="3">
        <v>44830</v>
      </c>
      <c r="BT288" s="4">
        <v>0.51458333333333328</v>
      </c>
      <c r="BU288" t="s">
        <v>156</v>
      </c>
      <c r="BV288" t="s">
        <v>83</v>
      </c>
      <c r="BY288">
        <v>1200</v>
      </c>
      <c r="BZ288" t="s">
        <v>84</v>
      </c>
      <c r="CA288" t="s">
        <v>157</v>
      </c>
      <c r="CC288" t="s">
        <v>152</v>
      </c>
      <c r="CD288">
        <v>1682</v>
      </c>
      <c r="CE288" t="s">
        <v>85</v>
      </c>
      <c r="CI288">
        <v>0</v>
      </c>
      <c r="CJ288">
        <v>0</v>
      </c>
      <c r="CK288">
        <v>43</v>
      </c>
    </row>
    <row r="289" spans="1:89" x14ac:dyDescent="0.3">
      <c r="A289" t="s">
        <v>72</v>
      </c>
      <c r="B289" t="s">
        <v>73</v>
      </c>
      <c r="C289" t="s">
        <v>74</v>
      </c>
      <c r="E289" t="str">
        <f>"009941209441"</f>
        <v>009941209441</v>
      </c>
      <c r="F289" s="3">
        <v>44830</v>
      </c>
      <c r="G289">
        <v>202306</v>
      </c>
      <c r="H289" t="s">
        <v>96</v>
      </c>
      <c r="I289" t="s">
        <v>97</v>
      </c>
      <c r="J289" t="s">
        <v>80</v>
      </c>
      <c r="L289" t="s">
        <v>75</v>
      </c>
      <c r="M289" t="s">
        <v>76</v>
      </c>
      <c r="N289" t="s">
        <v>288</v>
      </c>
      <c r="O289" t="s">
        <v>81</v>
      </c>
      <c r="P289" t="str">
        <f>"LOCKS"</f>
        <v>LOCKS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209.26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3</v>
      </c>
      <c r="BI289">
        <v>74.5</v>
      </c>
      <c r="BJ289">
        <v>87.2</v>
      </c>
      <c r="BK289">
        <v>88</v>
      </c>
      <c r="BL289">
        <v>552.02</v>
      </c>
      <c r="BM289">
        <v>82.8</v>
      </c>
      <c r="BN289">
        <v>634.82000000000005</v>
      </c>
      <c r="BO289">
        <v>634.82000000000005</v>
      </c>
      <c r="BQ289" t="s">
        <v>191</v>
      </c>
      <c r="BR289" t="s">
        <v>115</v>
      </c>
      <c r="BS289" s="3">
        <v>44832</v>
      </c>
      <c r="BT289" s="4">
        <v>0.62083333333333335</v>
      </c>
      <c r="BU289" t="s">
        <v>550</v>
      </c>
      <c r="BV289" t="s">
        <v>83</v>
      </c>
      <c r="BY289">
        <v>435930.84</v>
      </c>
      <c r="BZ289" t="s">
        <v>84</v>
      </c>
      <c r="CA289" t="s">
        <v>289</v>
      </c>
      <c r="CC289" t="s">
        <v>76</v>
      </c>
      <c r="CD289">
        <v>6536</v>
      </c>
      <c r="CE289" t="s">
        <v>85</v>
      </c>
      <c r="CI289">
        <v>3</v>
      </c>
      <c r="CJ289">
        <v>2</v>
      </c>
      <c r="CK289">
        <v>41</v>
      </c>
    </row>
    <row r="290" spans="1:89" x14ac:dyDescent="0.3">
      <c r="A290" t="s">
        <v>72</v>
      </c>
      <c r="B290" t="s">
        <v>73</v>
      </c>
      <c r="C290" t="s">
        <v>74</v>
      </c>
      <c r="E290" t="str">
        <f>"009941291468"</f>
        <v>009941291468</v>
      </c>
      <c r="F290" s="3">
        <v>44830</v>
      </c>
      <c r="G290">
        <v>202306</v>
      </c>
      <c r="H290" t="s">
        <v>96</v>
      </c>
      <c r="I290" t="s">
        <v>97</v>
      </c>
      <c r="J290" t="s">
        <v>80</v>
      </c>
      <c r="L290" t="s">
        <v>147</v>
      </c>
      <c r="M290" t="s">
        <v>148</v>
      </c>
      <c r="N290" t="s">
        <v>80</v>
      </c>
      <c r="O290" t="s">
        <v>81</v>
      </c>
      <c r="P290" t="str">
        <f>"LOCKS"</f>
        <v>LOCKS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323.27999999999997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4</v>
      </c>
      <c r="BI290">
        <v>97.2</v>
      </c>
      <c r="BJ290">
        <v>140.1</v>
      </c>
      <c r="BK290">
        <v>141</v>
      </c>
      <c r="BL290">
        <v>849.95</v>
      </c>
      <c r="BM290">
        <v>127.49</v>
      </c>
      <c r="BN290">
        <v>977.44</v>
      </c>
      <c r="BO290">
        <v>977.44</v>
      </c>
      <c r="BQ290" t="s">
        <v>193</v>
      </c>
      <c r="BR290" t="s">
        <v>115</v>
      </c>
      <c r="BS290" s="3">
        <v>44832</v>
      </c>
      <c r="BT290" s="4">
        <v>0.40416666666666662</v>
      </c>
      <c r="BU290" t="s">
        <v>259</v>
      </c>
      <c r="BV290" t="s">
        <v>83</v>
      </c>
      <c r="BY290">
        <v>700389.38</v>
      </c>
      <c r="BZ290" t="s">
        <v>84</v>
      </c>
      <c r="CA290" t="s">
        <v>270</v>
      </c>
      <c r="CC290" t="s">
        <v>148</v>
      </c>
      <c r="CD290">
        <v>8000</v>
      </c>
      <c r="CE290" t="s">
        <v>85</v>
      </c>
      <c r="CI290">
        <v>3</v>
      </c>
      <c r="CJ290">
        <v>2</v>
      </c>
      <c r="CK290">
        <v>41</v>
      </c>
    </row>
    <row r="291" spans="1:89" x14ac:dyDescent="0.3">
      <c r="A291" t="s">
        <v>72</v>
      </c>
      <c r="B291" t="s">
        <v>73</v>
      </c>
      <c r="C291" t="s">
        <v>74</v>
      </c>
      <c r="E291" t="str">
        <f>"009942724031"</f>
        <v>009942724031</v>
      </c>
      <c r="F291" s="3">
        <v>44830</v>
      </c>
      <c r="G291">
        <v>202306</v>
      </c>
      <c r="H291" t="s">
        <v>96</v>
      </c>
      <c r="I291" t="s">
        <v>97</v>
      </c>
      <c r="J291" t="s">
        <v>80</v>
      </c>
      <c r="L291" t="s">
        <v>141</v>
      </c>
      <c r="M291" t="s">
        <v>142</v>
      </c>
      <c r="N291" t="s">
        <v>551</v>
      </c>
      <c r="O291" t="s">
        <v>81</v>
      </c>
      <c r="P291" t="str">
        <f>"LOCKS"</f>
        <v>LOCKS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935.44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15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244</v>
      </c>
      <c r="BJ291">
        <v>151.19999999999999</v>
      </c>
      <c r="BK291">
        <v>244</v>
      </c>
      <c r="BL291">
        <v>2464.4699999999998</v>
      </c>
      <c r="BM291">
        <v>369.67</v>
      </c>
      <c r="BN291">
        <v>2834.14</v>
      </c>
      <c r="BO291">
        <v>2834.14</v>
      </c>
      <c r="BQ291" t="s">
        <v>552</v>
      </c>
      <c r="BR291" t="s">
        <v>107</v>
      </c>
      <c r="BS291" s="3">
        <v>44831</v>
      </c>
      <c r="BT291" s="4">
        <v>0.48125000000000001</v>
      </c>
      <c r="BU291" t="s">
        <v>553</v>
      </c>
      <c r="BV291" t="s">
        <v>83</v>
      </c>
      <c r="BY291">
        <v>756000</v>
      </c>
      <c r="BZ291" t="s">
        <v>296</v>
      </c>
      <c r="CA291" t="s">
        <v>554</v>
      </c>
      <c r="CC291" t="s">
        <v>142</v>
      </c>
      <c r="CD291">
        <v>2745</v>
      </c>
      <c r="CE291" t="s">
        <v>85</v>
      </c>
      <c r="CI291">
        <v>4</v>
      </c>
      <c r="CJ291">
        <v>1</v>
      </c>
      <c r="CK291">
        <v>43</v>
      </c>
    </row>
    <row r="292" spans="1:89" x14ac:dyDescent="0.3">
      <c r="A292" t="s">
        <v>72</v>
      </c>
      <c r="B292" t="s">
        <v>73</v>
      </c>
      <c r="C292" t="s">
        <v>74</v>
      </c>
      <c r="E292" t="str">
        <f>"009942600822"</f>
        <v>009942600822</v>
      </c>
      <c r="F292" s="3">
        <v>44830</v>
      </c>
      <c r="G292">
        <v>202306</v>
      </c>
      <c r="H292" t="s">
        <v>96</v>
      </c>
      <c r="I292" t="s">
        <v>97</v>
      </c>
      <c r="J292" t="s">
        <v>80</v>
      </c>
      <c r="L292" t="s">
        <v>94</v>
      </c>
      <c r="M292" t="s">
        <v>95</v>
      </c>
      <c r="N292" t="s">
        <v>80</v>
      </c>
      <c r="O292" t="s">
        <v>81</v>
      </c>
      <c r="P292" t="str">
        <f>"LOCKS"</f>
        <v>LOCKS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359.85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158</v>
      </c>
      <c r="BJ292">
        <v>128</v>
      </c>
      <c r="BK292">
        <v>158</v>
      </c>
      <c r="BL292">
        <v>945.51</v>
      </c>
      <c r="BM292">
        <v>141.83000000000001</v>
      </c>
      <c r="BN292">
        <v>1087.3399999999999</v>
      </c>
      <c r="BO292">
        <v>1087.3399999999999</v>
      </c>
      <c r="BQ292" t="s">
        <v>555</v>
      </c>
      <c r="BR292" t="s">
        <v>107</v>
      </c>
      <c r="BS292" s="3">
        <v>44831</v>
      </c>
      <c r="BT292" s="4">
        <v>0.59027777777777779</v>
      </c>
      <c r="BU292" t="s">
        <v>556</v>
      </c>
      <c r="BV292" t="s">
        <v>83</v>
      </c>
      <c r="BY292">
        <v>640000</v>
      </c>
      <c r="BZ292" t="s">
        <v>84</v>
      </c>
      <c r="CA292" t="s">
        <v>557</v>
      </c>
      <c r="CC292" t="s">
        <v>95</v>
      </c>
      <c r="CD292">
        <v>699</v>
      </c>
      <c r="CE292" t="s">
        <v>85</v>
      </c>
      <c r="CI292">
        <v>3</v>
      </c>
      <c r="CJ292">
        <v>1</v>
      </c>
      <c r="CK292">
        <v>41</v>
      </c>
    </row>
    <row r="293" spans="1:89" x14ac:dyDescent="0.3">
      <c r="A293" t="s">
        <v>72</v>
      </c>
      <c r="B293" t="s">
        <v>73</v>
      </c>
      <c r="C293" t="s">
        <v>74</v>
      </c>
      <c r="E293" t="str">
        <f>"009942724032"</f>
        <v>009942724032</v>
      </c>
      <c r="F293" s="3">
        <v>44830</v>
      </c>
      <c r="G293">
        <v>202306</v>
      </c>
      <c r="H293" t="s">
        <v>96</v>
      </c>
      <c r="I293" t="s">
        <v>97</v>
      </c>
      <c r="J293" t="s">
        <v>80</v>
      </c>
      <c r="L293" t="s">
        <v>88</v>
      </c>
      <c r="M293" t="s">
        <v>89</v>
      </c>
      <c r="N293" t="s">
        <v>558</v>
      </c>
      <c r="O293" t="s">
        <v>81</v>
      </c>
      <c r="P293" t="str">
        <f>"LOCKS"</f>
        <v>LOCKS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1383.29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363</v>
      </c>
      <c r="BJ293">
        <v>75.599999999999994</v>
      </c>
      <c r="BK293">
        <v>363</v>
      </c>
      <c r="BL293">
        <v>3619.65</v>
      </c>
      <c r="BM293">
        <v>542.95000000000005</v>
      </c>
      <c r="BN293">
        <v>4162.6000000000004</v>
      </c>
      <c r="BO293">
        <v>4162.6000000000004</v>
      </c>
      <c r="BQ293" t="s">
        <v>559</v>
      </c>
      <c r="BR293" t="s">
        <v>107</v>
      </c>
      <c r="BS293" s="3">
        <v>44831</v>
      </c>
      <c r="BT293" s="4">
        <v>0.45208333333333334</v>
      </c>
      <c r="BU293" t="s">
        <v>560</v>
      </c>
      <c r="BV293" t="s">
        <v>83</v>
      </c>
      <c r="BY293">
        <v>378000</v>
      </c>
      <c r="BZ293" t="s">
        <v>84</v>
      </c>
      <c r="CA293" t="s">
        <v>561</v>
      </c>
      <c r="CC293" t="s">
        <v>89</v>
      </c>
      <c r="CD293">
        <v>299</v>
      </c>
      <c r="CE293" t="s">
        <v>85</v>
      </c>
      <c r="CI293">
        <v>4</v>
      </c>
      <c r="CJ293">
        <v>1</v>
      </c>
      <c r="CK293">
        <v>43</v>
      </c>
    </row>
    <row r="294" spans="1:89" x14ac:dyDescent="0.3">
      <c r="A294" t="s">
        <v>72</v>
      </c>
      <c r="B294" t="s">
        <v>73</v>
      </c>
      <c r="C294" t="s">
        <v>74</v>
      </c>
      <c r="E294" t="str">
        <f>"009941857131"</f>
        <v>009941857131</v>
      </c>
      <c r="F294" s="3">
        <v>44820</v>
      </c>
      <c r="G294">
        <v>202306</v>
      </c>
      <c r="H294" t="s">
        <v>75</v>
      </c>
      <c r="I294" t="s">
        <v>76</v>
      </c>
      <c r="J294" t="s">
        <v>80</v>
      </c>
      <c r="L294" t="s">
        <v>78</v>
      </c>
      <c r="M294" t="s">
        <v>79</v>
      </c>
      <c r="N294" t="s">
        <v>80</v>
      </c>
      <c r="O294" t="s">
        <v>81</v>
      </c>
      <c r="P294" t="str">
        <f>""</f>
        <v/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103.84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37.6</v>
      </c>
      <c r="BJ294">
        <v>38.4</v>
      </c>
      <c r="BK294">
        <v>39</v>
      </c>
      <c r="BL294">
        <v>276.57</v>
      </c>
      <c r="BM294">
        <v>41.49</v>
      </c>
      <c r="BN294">
        <v>318.06</v>
      </c>
      <c r="BO294">
        <v>318.06</v>
      </c>
      <c r="BQ294" t="s">
        <v>562</v>
      </c>
      <c r="BR294" t="s">
        <v>550</v>
      </c>
      <c r="BS294" s="3">
        <v>44825</v>
      </c>
      <c r="BT294" s="4">
        <v>0.34375</v>
      </c>
      <c r="BU294" t="s">
        <v>169</v>
      </c>
      <c r="BV294" t="s">
        <v>83</v>
      </c>
      <c r="BY294">
        <v>192150</v>
      </c>
      <c r="BZ294" t="s">
        <v>84</v>
      </c>
      <c r="CA294" t="s">
        <v>170</v>
      </c>
      <c r="CC294" t="s">
        <v>79</v>
      </c>
      <c r="CD294">
        <v>2196</v>
      </c>
      <c r="CE294" t="s">
        <v>85</v>
      </c>
      <c r="CI294">
        <v>3</v>
      </c>
      <c r="CJ294">
        <v>3</v>
      </c>
      <c r="CK294">
        <v>41</v>
      </c>
    </row>
    <row r="295" spans="1:89" x14ac:dyDescent="0.3">
      <c r="A295" t="s">
        <v>72</v>
      </c>
      <c r="B295" t="s">
        <v>73</v>
      </c>
      <c r="C295" t="s">
        <v>74</v>
      </c>
      <c r="E295" t="str">
        <f>"009942517324"</f>
        <v>009942517324</v>
      </c>
      <c r="F295" s="3">
        <v>44816</v>
      </c>
      <c r="G295">
        <v>202306</v>
      </c>
      <c r="H295" t="s">
        <v>199</v>
      </c>
      <c r="I295" t="s">
        <v>200</v>
      </c>
      <c r="J295" t="s">
        <v>563</v>
      </c>
      <c r="L295" t="s">
        <v>96</v>
      </c>
      <c r="M295" t="s">
        <v>97</v>
      </c>
      <c r="N295" t="s">
        <v>80</v>
      </c>
      <c r="O295" t="s">
        <v>81</v>
      </c>
      <c r="P295" t="str">
        <f>""</f>
        <v/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121.05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2</v>
      </c>
      <c r="BI295">
        <v>39</v>
      </c>
      <c r="BJ295">
        <v>47</v>
      </c>
      <c r="BK295">
        <v>47</v>
      </c>
      <c r="BL295">
        <v>321.54000000000002</v>
      </c>
      <c r="BM295">
        <v>48.23</v>
      </c>
      <c r="BN295">
        <v>369.77</v>
      </c>
      <c r="BO295">
        <v>369.77</v>
      </c>
      <c r="BQ295" t="s">
        <v>564</v>
      </c>
      <c r="BR295" t="s">
        <v>202</v>
      </c>
      <c r="BS295" s="3">
        <v>44817</v>
      </c>
      <c r="BT295" s="4">
        <v>0.44861111111111113</v>
      </c>
      <c r="BU295" t="s">
        <v>565</v>
      </c>
      <c r="BV295" t="s">
        <v>83</v>
      </c>
      <c r="BY295">
        <v>235120</v>
      </c>
      <c r="BZ295" t="s">
        <v>84</v>
      </c>
      <c r="CA295" t="s">
        <v>170</v>
      </c>
      <c r="CC295" t="s">
        <v>97</v>
      </c>
      <c r="CD295">
        <v>2146</v>
      </c>
      <c r="CE295" t="s">
        <v>85</v>
      </c>
      <c r="CI295">
        <v>3</v>
      </c>
      <c r="CJ295">
        <v>1</v>
      </c>
      <c r="CK295">
        <v>41</v>
      </c>
    </row>
    <row r="296" spans="1:89" x14ac:dyDescent="0.3">
      <c r="A296" t="s">
        <v>72</v>
      </c>
      <c r="B296" t="s">
        <v>73</v>
      </c>
      <c r="C296" t="s">
        <v>74</v>
      </c>
      <c r="E296" t="str">
        <f>"009942771506"</f>
        <v>009942771506</v>
      </c>
      <c r="F296" s="3">
        <v>44826</v>
      </c>
      <c r="G296">
        <v>202306</v>
      </c>
      <c r="H296" t="s">
        <v>199</v>
      </c>
      <c r="I296" t="s">
        <v>200</v>
      </c>
      <c r="J296" t="s">
        <v>80</v>
      </c>
      <c r="L296" t="s">
        <v>78</v>
      </c>
      <c r="M296" t="s">
        <v>79</v>
      </c>
      <c r="N296" t="s">
        <v>80</v>
      </c>
      <c r="O296" t="s">
        <v>81</v>
      </c>
      <c r="P296" t="str">
        <f>""</f>
        <v/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97.38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3</v>
      </c>
      <c r="BI296">
        <v>29</v>
      </c>
      <c r="BJ296">
        <v>35.9</v>
      </c>
      <c r="BK296">
        <v>36</v>
      </c>
      <c r="BL296">
        <v>259.7</v>
      </c>
      <c r="BM296">
        <v>38.96</v>
      </c>
      <c r="BN296">
        <v>298.66000000000003</v>
      </c>
      <c r="BO296">
        <v>298.66000000000003</v>
      </c>
      <c r="BQ296" t="s">
        <v>566</v>
      </c>
      <c r="BR296" t="s">
        <v>202</v>
      </c>
      <c r="BS296" s="3">
        <v>44827</v>
      </c>
      <c r="BT296" s="4">
        <v>0.34583333333333338</v>
      </c>
      <c r="BU296" t="s">
        <v>382</v>
      </c>
      <c r="BV296" t="s">
        <v>83</v>
      </c>
      <c r="BY296">
        <v>179658</v>
      </c>
      <c r="BZ296" t="s">
        <v>84</v>
      </c>
      <c r="CA296" t="s">
        <v>170</v>
      </c>
      <c r="CC296" t="s">
        <v>79</v>
      </c>
      <c r="CD296">
        <v>2196</v>
      </c>
      <c r="CE296" t="s">
        <v>85</v>
      </c>
      <c r="CI296">
        <v>3</v>
      </c>
      <c r="CJ296">
        <v>0</v>
      </c>
      <c r="CK296">
        <v>41</v>
      </c>
    </row>
    <row r="297" spans="1:89" x14ac:dyDescent="0.3">
      <c r="A297" t="s">
        <v>72</v>
      </c>
      <c r="B297" t="s">
        <v>73</v>
      </c>
      <c r="C297" t="s">
        <v>74</v>
      </c>
      <c r="E297" t="str">
        <f>"009941745929"</f>
        <v>009941745929</v>
      </c>
      <c r="F297" s="3">
        <v>44831</v>
      </c>
      <c r="G297">
        <v>202306</v>
      </c>
      <c r="H297" t="s">
        <v>131</v>
      </c>
      <c r="I297" t="s">
        <v>132</v>
      </c>
      <c r="J297" t="s">
        <v>80</v>
      </c>
      <c r="L297" t="s">
        <v>94</v>
      </c>
      <c r="M297" t="s">
        <v>95</v>
      </c>
      <c r="N297" t="s">
        <v>80</v>
      </c>
      <c r="O297" t="s">
        <v>81</v>
      </c>
      <c r="P297" t="str">
        <f>""</f>
        <v/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99.67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30</v>
      </c>
      <c r="BJ297">
        <v>42.2</v>
      </c>
      <c r="BK297">
        <v>43</v>
      </c>
      <c r="BL297">
        <v>265.67</v>
      </c>
      <c r="BM297">
        <v>39.85</v>
      </c>
      <c r="BN297">
        <v>305.52</v>
      </c>
      <c r="BO297">
        <v>305.52</v>
      </c>
      <c r="BQ297" t="s">
        <v>527</v>
      </c>
      <c r="BR297" t="s">
        <v>301</v>
      </c>
      <c r="BS297" s="3">
        <v>44831</v>
      </c>
      <c r="BT297" s="4">
        <v>0.45555555555555555</v>
      </c>
      <c r="BU297" t="s">
        <v>567</v>
      </c>
      <c r="BV297" t="s">
        <v>83</v>
      </c>
      <c r="BY297">
        <v>211200</v>
      </c>
      <c r="BZ297" t="s">
        <v>84</v>
      </c>
      <c r="CA297" t="s">
        <v>568</v>
      </c>
      <c r="CC297" t="s">
        <v>95</v>
      </c>
      <c r="CD297">
        <v>700</v>
      </c>
      <c r="CE297" t="s">
        <v>85</v>
      </c>
      <c r="CI297">
        <v>3</v>
      </c>
      <c r="CJ297">
        <v>0</v>
      </c>
      <c r="CK297">
        <v>44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sdrascd3-42500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2022-09-30T13:59:40Z</dcterms:created>
  <dcterms:modified xsi:type="dcterms:W3CDTF">2022-09-30T13:59:57Z</dcterms:modified>
</cp:coreProperties>
</file>