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sdrascd7-IEHAZMA136958" sheetId="1" r:id="rId1"/>
  </sheets>
  <definedNames>
    <definedName name="_xlnm._FilterDatabase" localSheetId="0" hidden="1">'sdrascd7-IEHAZMA136958'!$A$2:$CM$284</definedName>
  </definedName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  <c r="E24" i="1"/>
  <c r="P24" i="1"/>
  <c r="E25" i="1"/>
  <c r="P25" i="1"/>
  <c r="E26" i="1"/>
  <c r="P26" i="1"/>
  <c r="E27" i="1"/>
  <c r="P27" i="1"/>
  <c r="E28" i="1"/>
  <c r="P28" i="1"/>
  <c r="E29" i="1"/>
  <c r="P29" i="1"/>
  <c r="E30" i="1"/>
  <c r="P30" i="1"/>
  <c r="E31" i="1"/>
  <c r="P31" i="1"/>
  <c r="E32" i="1"/>
  <c r="P32" i="1"/>
  <c r="E33" i="1"/>
  <c r="P33" i="1"/>
  <c r="E34" i="1"/>
  <c r="P34" i="1"/>
  <c r="E35" i="1"/>
  <c r="P35" i="1"/>
  <c r="E36" i="1"/>
  <c r="P36" i="1"/>
  <c r="E37" i="1"/>
  <c r="P37" i="1"/>
  <c r="E38" i="1"/>
  <c r="P38" i="1"/>
  <c r="E39" i="1"/>
  <c r="P39" i="1"/>
  <c r="E40" i="1"/>
  <c r="P40" i="1"/>
  <c r="E41" i="1"/>
  <c r="P41" i="1"/>
  <c r="E42" i="1"/>
  <c r="P42" i="1"/>
  <c r="E43" i="1"/>
  <c r="P43" i="1"/>
  <c r="E44" i="1"/>
  <c r="P44" i="1"/>
  <c r="E45" i="1"/>
  <c r="P45" i="1"/>
  <c r="E46" i="1"/>
  <c r="P46" i="1"/>
  <c r="E47" i="1"/>
  <c r="P47" i="1"/>
  <c r="E48" i="1"/>
  <c r="P48" i="1"/>
  <c r="E49" i="1"/>
  <c r="P49" i="1"/>
  <c r="E50" i="1"/>
  <c r="P50" i="1"/>
  <c r="E51" i="1"/>
  <c r="P51" i="1"/>
  <c r="E52" i="1"/>
  <c r="P52" i="1"/>
  <c r="E53" i="1"/>
  <c r="P53" i="1"/>
  <c r="E54" i="1"/>
  <c r="P54" i="1"/>
  <c r="E55" i="1"/>
  <c r="P55" i="1"/>
  <c r="E56" i="1"/>
  <c r="P56" i="1"/>
  <c r="E57" i="1"/>
  <c r="P57" i="1"/>
  <c r="E58" i="1"/>
  <c r="P58" i="1"/>
  <c r="E59" i="1"/>
  <c r="P59" i="1"/>
  <c r="E60" i="1"/>
  <c r="P60" i="1"/>
  <c r="E61" i="1"/>
  <c r="P61" i="1"/>
  <c r="E62" i="1"/>
  <c r="P62" i="1"/>
  <c r="E63" i="1"/>
  <c r="P63" i="1"/>
  <c r="E64" i="1"/>
  <c r="P64" i="1"/>
  <c r="E65" i="1"/>
  <c r="P65" i="1"/>
  <c r="E66" i="1"/>
  <c r="P66" i="1"/>
  <c r="E67" i="1"/>
  <c r="P67" i="1"/>
  <c r="E68" i="1"/>
  <c r="P68" i="1"/>
  <c r="E69" i="1"/>
  <c r="P69" i="1"/>
  <c r="E70" i="1"/>
  <c r="P70" i="1"/>
  <c r="E71" i="1"/>
  <c r="P71" i="1"/>
  <c r="E72" i="1"/>
  <c r="P72" i="1"/>
  <c r="E73" i="1"/>
  <c r="P73" i="1"/>
  <c r="E74" i="1"/>
  <c r="P74" i="1"/>
  <c r="E75" i="1"/>
  <c r="P75" i="1"/>
  <c r="E76" i="1"/>
  <c r="P76" i="1"/>
  <c r="E77" i="1"/>
  <c r="P77" i="1"/>
  <c r="E78" i="1"/>
  <c r="P78" i="1"/>
  <c r="E79" i="1"/>
  <c r="P79" i="1"/>
  <c r="E80" i="1"/>
  <c r="P80" i="1"/>
  <c r="E81" i="1"/>
  <c r="P81" i="1"/>
  <c r="E82" i="1"/>
  <c r="P82" i="1"/>
  <c r="E83" i="1"/>
  <c r="P83" i="1"/>
  <c r="E84" i="1"/>
  <c r="P84" i="1"/>
  <c r="E85" i="1"/>
  <c r="P85" i="1"/>
  <c r="E86" i="1"/>
  <c r="P86" i="1"/>
  <c r="E87" i="1"/>
  <c r="P87" i="1"/>
  <c r="E88" i="1"/>
  <c r="P88" i="1"/>
  <c r="E89" i="1"/>
  <c r="P89" i="1"/>
  <c r="E90" i="1"/>
  <c r="P90" i="1"/>
  <c r="E91" i="1"/>
  <c r="P91" i="1"/>
  <c r="E92" i="1"/>
  <c r="P92" i="1"/>
  <c r="E93" i="1"/>
  <c r="P93" i="1"/>
  <c r="E94" i="1"/>
  <c r="P94" i="1"/>
  <c r="E95" i="1"/>
  <c r="P95" i="1"/>
  <c r="E96" i="1"/>
  <c r="P96" i="1"/>
  <c r="E97" i="1"/>
  <c r="P97" i="1"/>
  <c r="E98" i="1"/>
  <c r="P98" i="1"/>
  <c r="E99" i="1"/>
  <c r="P99" i="1"/>
  <c r="E100" i="1"/>
  <c r="P100" i="1"/>
  <c r="E101" i="1"/>
  <c r="P101" i="1"/>
  <c r="E102" i="1"/>
  <c r="P102" i="1"/>
  <c r="E103" i="1"/>
  <c r="P103" i="1"/>
  <c r="E104" i="1"/>
  <c r="P104" i="1"/>
  <c r="E105" i="1"/>
  <c r="P105" i="1"/>
  <c r="E106" i="1"/>
  <c r="P106" i="1"/>
  <c r="E107" i="1"/>
  <c r="P107" i="1"/>
  <c r="E108" i="1"/>
  <c r="P108" i="1"/>
  <c r="E109" i="1"/>
  <c r="P109" i="1"/>
  <c r="E110" i="1"/>
  <c r="P110" i="1"/>
  <c r="E111" i="1"/>
  <c r="P111" i="1"/>
  <c r="E112" i="1"/>
  <c r="P112" i="1"/>
  <c r="E113" i="1"/>
  <c r="P113" i="1"/>
  <c r="E114" i="1"/>
  <c r="P114" i="1"/>
  <c r="E115" i="1"/>
  <c r="P115" i="1"/>
  <c r="E116" i="1"/>
  <c r="P116" i="1"/>
  <c r="E117" i="1"/>
  <c r="P117" i="1"/>
  <c r="E118" i="1"/>
  <c r="P118" i="1"/>
  <c r="E119" i="1"/>
  <c r="P119" i="1"/>
  <c r="E120" i="1"/>
  <c r="P120" i="1"/>
  <c r="E121" i="1"/>
  <c r="P121" i="1"/>
  <c r="E122" i="1"/>
  <c r="P122" i="1"/>
  <c r="E123" i="1"/>
  <c r="P123" i="1"/>
  <c r="E124" i="1"/>
  <c r="P124" i="1"/>
  <c r="E125" i="1"/>
  <c r="P125" i="1"/>
  <c r="E126" i="1"/>
  <c r="P126" i="1"/>
  <c r="E127" i="1"/>
  <c r="P127" i="1"/>
  <c r="E128" i="1"/>
  <c r="P128" i="1"/>
  <c r="E129" i="1"/>
  <c r="P129" i="1"/>
  <c r="E130" i="1"/>
  <c r="P130" i="1"/>
  <c r="E131" i="1"/>
  <c r="P131" i="1"/>
  <c r="E132" i="1"/>
  <c r="P132" i="1"/>
  <c r="E133" i="1"/>
  <c r="P133" i="1"/>
  <c r="E134" i="1"/>
  <c r="P134" i="1"/>
  <c r="E135" i="1"/>
  <c r="P135" i="1"/>
  <c r="E136" i="1"/>
  <c r="P136" i="1"/>
  <c r="E137" i="1"/>
  <c r="P137" i="1"/>
  <c r="E138" i="1"/>
  <c r="P138" i="1"/>
  <c r="E139" i="1"/>
  <c r="P139" i="1"/>
  <c r="E140" i="1"/>
  <c r="P140" i="1"/>
  <c r="E141" i="1"/>
  <c r="P141" i="1"/>
  <c r="E142" i="1"/>
  <c r="P142" i="1"/>
  <c r="E143" i="1"/>
  <c r="P143" i="1"/>
  <c r="E144" i="1"/>
  <c r="P144" i="1"/>
  <c r="E145" i="1"/>
  <c r="P145" i="1"/>
  <c r="E146" i="1"/>
  <c r="P146" i="1"/>
  <c r="E147" i="1"/>
  <c r="P147" i="1"/>
  <c r="E148" i="1"/>
  <c r="P148" i="1"/>
  <c r="E149" i="1"/>
  <c r="P149" i="1"/>
  <c r="E150" i="1"/>
  <c r="P150" i="1"/>
  <c r="E151" i="1"/>
  <c r="P151" i="1"/>
  <c r="E152" i="1"/>
  <c r="P152" i="1"/>
  <c r="E153" i="1"/>
  <c r="P153" i="1"/>
  <c r="E154" i="1"/>
  <c r="P154" i="1"/>
  <c r="E155" i="1"/>
  <c r="P155" i="1"/>
  <c r="E156" i="1"/>
  <c r="P156" i="1"/>
  <c r="E157" i="1"/>
  <c r="P157" i="1"/>
  <c r="E158" i="1"/>
  <c r="P158" i="1"/>
  <c r="E159" i="1"/>
  <c r="P159" i="1"/>
  <c r="E160" i="1"/>
  <c r="P160" i="1"/>
  <c r="E161" i="1"/>
  <c r="P161" i="1"/>
  <c r="E162" i="1"/>
  <c r="P162" i="1"/>
  <c r="E163" i="1"/>
  <c r="P163" i="1"/>
  <c r="E164" i="1"/>
  <c r="P164" i="1"/>
  <c r="E165" i="1"/>
  <c r="P165" i="1"/>
  <c r="E166" i="1"/>
  <c r="P166" i="1"/>
  <c r="E167" i="1"/>
  <c r="P167" i="1"/>
  <c r="E168" i="1"/>
  <c r="P168" i="1"/>
  <c r="E169" i="1"/>
  <c r="P169" i="1"/>
  <c r="E170" i="1"/>
  <c r="P170" i="1"/>
  <c r="E171" i="1"/>
  <c r="P171" i="1"/>
  <c r="E172" i="1"/>
  <c r="P172" i="1"/>
  <c r="E173" i="1"/>
  <c r="P173" i="1"/>
  <c r="E174" i="1"/>
  <c r="P174" i="1"/>
  <c r="E175" i="1"/>
  <c r="P175" i="1"/>
  <c r="E176" i="1"/>
  <c r="P176" i="1"/>
  <c r="E177" i="1"/>
  <c r="P177" i="1"/>
  <c r="E178" i="1"/>
  <c r="P178" i="1"/>
  <c r="E179" i="1"/>
  <c r="P179" i="1"/>
  <c r="E180" i="1"/>
  <c r="P180" i="1"/>
  <c r="E181" i="1"/>
  <c r="P181" i="1"/>
  <c r="E182" i="1"/>
  <c r="P182" i="1"/>
  <c r="E183" i="1"/>
  <c r="P183" i="1"/>
  <c r="E184" i="1"/>
  <c r="P184" i="1"/>
  <c r="E185" i="1"/>
  <c r="P185" i="1"/>
  <c r="E186" i="1"/>
  <c r="P186" i="1"/>
  <c r="E187" i="1"/>
  <c r="P187" i="1"/>
  <c r="E188" i="1"/>
  <c r="P188" i="1"/>
  <c r="E189" i="1"/>
  <c r="P189" i="1"/>
  <c r="E190" i="1"/>
  <c r="P190" i="1"/>
  <c r="E191" i="1"/>
  <c r="P191" i="1"/>
  <c r="E192" i="1"/>
  <c r="P192" i="1"/>
  <c r="E193" i="1"/>
  <c r="P193" i="1"/>
  <c r="E194" i="1"/>
  <c r="P194" i="1"/>
  <c r="E195" i="1"/>
  <c r="P195" i="1"/>
  <c r="E196" i="1"/>
  <c r="P196" i="1"/>
  <c r="E197" i="1"/>
  <c r="P197" i="1"/>
  <c r="E198" i="1"/>
  <c r="P198" i="1"/>
  <c r="E199" i="1"/>
  <c r="P199" i="1"/>
  <c r="E200" i="1"/>
  <c r="P200" i="1"/>
  <c r="E201" i="1"/>
  <c r="P201" i="1"/>
  <c r="E202" i="1"/>
  <c r="P202" i="1"/>
  <c r="E203" i="1"/>
  <c r="P203" i="1"/>
  <c r="E204" i="1"/>
  <c r="P204" i="1"/>
  <c r="E205" i="1"/>
  <c r="P205" i="1"/>
  <c r="E206" i="1"/>
  <c r="P206" i="1"/>
  <c r="E207" i="1"/>
  <c r="P207" i="1"/>
  <c r="E208" i="1"/>
  <c r="P208" i="1"/>
  <c r="E209" i="1"/>
  <c r="P209" i="1"/>
  <c r="E210" i="1"/>
  <c r="P210" i="1"/>
  <c r="E211" i="1"/>
  <c r="P211" i="1"/>
  <c r="E212" i="1"/>
  <c r="P212" i="1"/>
  <c r="E213" i="1"/>
  <c r="P213" i="1"/>
  <c r="E214" i="1"/>
  <c r="P214" i="1"/>
  <c r="E215" i="1"/>
  <c r="P215" i="1"/>
  <c r="E216" i="1"/>
  <c r="P216" i="1"/>
  <c r="E217" i="1"/>
  <c r="P217" i="1"/>
  <c r="E218" i="1"/>
  <c r="P218" i="1"/>
  <c r="E219" i="1"/>
  <c r="P219" i="1"/>
  <c r="E220" i="1"/>
  <c r="P220" i="1"/>
  <c r="E221" i="1"/>
  <c r="P221" i="1"/>
  <c r="E222" i="1"/>
  <c r="P222" i="1"/>
  <c r="E223" i="1"/>
  <c r="P223" i="1"/>
  <c r="E224" i="1"/>
  <c r="P224" i="1"/>
  <c r="E225" i="1"/>
  <c r="P225" i="1"/>
  <c r="E226" i="1"/>
  <c r="P226" i="1"/>
  <c r="E227" i="1"/>
  <c r="P227" i="1"/>
  <c r="E228" i="1"/>
  <c r="P228" i="1"/>
  <c r="E229" i="1"/>
  <c r="P229" i="1"/>
  <c r="E230" i="1"/>
  <c r="P230" i="1"/>
  <c r="E231" i="1"/>
  <c r="P231" i="1"/>
  <c r="E232" i="1"/>
  <c r="P232" i="1"/>
  <c r="E233" i="1"/>
  <c r="P233" i="1"/>
  <c r="E234" i="1"/>
  <c r="P234" i="1"/>
  <c r="E235" i="1"/>
  <c r="P235" i="1"/>
  <c r="E236" i="1"/>
  <c r="P236" i="1"/>
  <c r="E237" i="1"/>
  <c r="P237" i="1"/>
  <c r="E238" i="1"/>
  <c r="P238" i="1"/>
  <c r="E239" i="1"/>
  <c r="P239" i="1"/>
  <c r="E240" i="1"/>
  <c r="P240" i="1"/>
  <c r="E241" i="1"/>
  <c r="P241" i="1"/>
  <c r="E242" i="1"/>
  <c r="P242" i="1"/>
  <c r="E243" i="1"/>
  <c r="P243" i="1"/>
  <c r="E244" i="1"/>
  <c r="P244" i="1"/>
  <c r="E245" i="1"/>
  <c r="P245" i="1"/>
  <c r="E246" i="1"/>
  <c r="P246" i="1"/>
  <c r="E247" i="1"/>
  <c r="P247" i="1"/>
  <c r="E248" i="1"/>
  <c r="P248" i="1"/>
  <c r="E249" i="1"/>
  <c r="P249" i="1"/>
  <c r="E250" i="1"/>
  <c r="P250" i="1"/>
  <c r="E251" i="1"/>
  <c r="P251" i="1"/>
  <c r="E252" i="1"/>
  <c r="P252" i="1"/>
  <c r="E253" i="1"/>
  <c r="P253" i="1"/>
  <c r="E254" i="1"/>
  <c r="P254" i="1"/>
  <c r="E255" i="1"/>
  <c r="P255" i="1"/>
  <c r="E256" i="1"/>
  <c r="P256" i="1"/>
  <c r="E257" i="1"/>
  <c r="P257" i="1"/>
  <c r="E258" i="1"/>
  <c r="P258" i="1"/>
  <c r="E259" i="1"/>
  <c r="P259" i="1"/>
  <c r="E260" i="1"/>
  <c r="P260" i="1"/>
  <c r="E261" i="1"/>
  <c r="P261" i="1"/>
  <c r="E262" i="1"/>
  <c r="P262" i="1"/>
  <c r="E263" i="1"/>
  <c r="P263" i="1"/>
  <c r="E264" i="1"/>
  <c r="P264" i="1"/>
  <c r="E265" i="1"/>
  <c r="P265" i="1"/>
  <c r="E266" i="1"/>
  <c r="P266" i="1"/>
  <c r="E267" i="1"/>
  <c r="P267" i="1"/>
  <c r="E268" i="1"/>
  <c r="P268" i="1"/>
  <c r="E269" i="1"/>
  <c r="P269" i="1"/>
  <c r="E270" i="1"/>
  <c r="P270" i="1"/>
  <c r="E271" i="1"/>
  <c r="P271" i="1"/>
  <c r="E272" i="1"/>
  <c r="P272" i="1"/>
  <c r="E273" i="1"/>
  <c r="P273" i="1"/>
  <c r="E274" i="1"/>
  <c r="P274" i="1"/>
  <c r="E275" i="1"/>
  <c r="P275" i="1"/>
  <c r="E276" i="1"/>
  <c r="P276" i="1"/>
  <c r="E277" i="1"/>
  <c r="P277" i="1"/>
  <c r="E278" i="1"/>
  <c r="P278" i="1"/>
  <c r="E279" i="1"/>
  <c r="P279" i="1"/>
  <c r="E280" i="1"/>
  <c r="P280" i="1"/>
  <c r="E281" i="1"/>
  <c r="P281" i="1"/>
  <c r="E282" i="1"/>
  <c r="P282" i="1"/>
  <c r="E283" i="1"/>
  <c r="P283" i="1"/>
  <c r="E284" i="1"/>
  <c r="P284" i="1"/>
</calcChain>
</file>

<file path=xl/sharedStrings.xml><?xml version="1.0" encoding="utf-8"?>
<sst xmlns="http://schemas.openxmlformats.org/spreadsheetml/2006/main" count="5741" uniqueCount="744">
  <si>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</si>
  <si>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</si>
  <si>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</si>
  <si>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</si>
  <si>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</si>
  <si>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</si>
  <si>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</si>
  <si>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</si>
  <si>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</si>
  <si>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</si>
  <si>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</si>
  <si>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</si>
  <si>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</si>
  <si>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</si>
  <si>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</si>
  <si>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</si>
  <si>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</si>
  <si>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</si>
  <si>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</si>
  <si>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</si>
  <si>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</si>
  <si>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</si>
  <si>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</si>
  <si>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</si>
  <si>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</si>
  <si>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</si>
  <si>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</si>
  <si>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</si>
  <si>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</si>
  <si>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</si>
  <si>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</si>
  <si>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</si>
  <si>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</si>
  <si>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</si>
  <si>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</si>
  <si>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</si>
  <si>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</si>
  <si>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</si>
  <si>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</si>
  <si>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</si>
  <si>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</si>
  <si>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</si>
  <si>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</si>
  <si>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</si>
  <si>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</si>
  <si>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</si>
  <si>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</si>
  <si>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</si>
  <si>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</si>
  <si>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</si>
  <si>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</si>
  <si>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</si>
  <si>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</si>
  <si>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</si>
  <si>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</si>
  <si>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</si>
  <si>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</si>
  <si>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</si>
  <si>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</si>
  <si>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</si>
  <si>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</si>
  <si>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</si>
  <si>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>KEMPT</t>
  </si>
  <si>
    <t>KEMPTON PARK</t>
  </si>
  <si>
    <t xml:space="preserve">                                   </t>
  </si>
  <si>
    <t>CAPET</t>
  </si>
  <si>
    <t>CAPE TOWN</t>
  </si>
  <si>
    <t>ON1</t>
  </si>
  <si>
    <t>Emily</t>
  </si>
  <si>
    <t>yes</t>
  </si>
  <si>
    <t>FUE / DOC</t>
  </si>
  <si>
    <t>POD received from cell 0738058187 M</t>
  </si>
  <si>
    <t>no</t>
  </si>
  <si>
    <t>PORT3</t>
  </si>
  <si>
    <t>PORT ELIZABETH</t>
  </si>
  <si>
    <t>UITEN</t>
  </si>
  <si>
    <t>UITENHAGE</t>
  </si>
  <si>
    <t>MALME</t>
  </si>
  <si>
    <t>MALMESBURY</t>
  </si>
  <si>
    <t>POD received from cell 0638121737 M</t>
  </si>
  <si>
    <t>BENON</t>
  </si>
  <si>
    <t>BENONI</t>
  </si>
  <si>
    <t>POD received from cell 0682118246 M</t>
  </si>
  <si>
    <t>PARCEL</t>
  </si>
  <si>
    <t>ALBE2</t>
  </si>
  <si>
    <t>ALBERTON</t>
  </si>
  <si>
    <t>Consignee not available)</t>
  </si>
  <si>
    <t>SYSTEM</t>
  </si>
  <si>
    <t>SPRI3</t>
  </si>
  <si>
    <t>SPRINGS</t>
  </si>
  <si>
    <t>BOKSB</t>
  </si>
  <si>
    <t>BOKSBURG</t>
  </si>
  <si>
    <t>POD received from cell 0839573774 M</t>
  </si>
  <si>
    <t>POD received from cell 0692133137 M</t>
  </si>
  <si>
    <t>Bad address</t>
  </si>
  <si>
    <t>Warren</t>
  </si>
  <si>
    <t>DBC</t>
  </si>
  <si>
    <t>FUE / doc</t>
  </si>
  <si>
    <t>Driver late</t>
  </si>
  <si>
    <t>mmd</t>
  </si>
  <si>
    <t>POD received from cell 0717429658 M</t>
  </si>
  <si>
    <t>DURBA</t>
  </si>
  <si>
    <t>DURBAN</t>
  </si>
  <si>
    <t>Appointment required</t>
  </si>
  <si>
    <t>col</t>
  </si>
  <si>
    <t>PRETO</t>
  </si>
  <si>
    <t>PRETORIA</t>
  </si>
  <si>
    <t>JUH</t>
  </si>
  <si>
    <t>POD received from cell 0710559987 M</t>
  </si>
  <si>
    <t>amt</t>
  </si>
  <si>
    <t>PINET</t>
  </si>
  <si>
    <t>PINETOWN</t>
  </si>
  <si>
    <t>POD received from cell 0847533418 M</t>
  </si>
  <si>
    <t>POD received from cell 0715155602 M</t>
  </si>
  <si>
    <t>RANDB</t>
  </si>
  <si>
    <t>RANDBURG</t>
  </si>
  <si>
    <t>POD received from cell 0742059629 M</t>
  </si>
  <si>
    <t>EAST</t>
  </si>
  <si>
    <t>EAST LONDON</t>
  </si>
  <si>
    <t>JOHAN</t>
  </si>
  <si>
    <t>JOHANNESBURG</t>
  </si>
  <si>
    <t>POD received from cell 0746644640 M</t>
  </si>
  <si>
    <t>POD received from cell 0763629217 M</t>
  </si>
  <si>
    <t>VERWO</t>
  </si>
  <si>
    <t>CENTURION</t>
  </si>
  <si>
    <t>POD received from cell 0761277152 M</t>
  </si>
  <si>
    <t>SOME2</t>
  </si>
  <si>
    <t>SOMERSET WEST</t>
  </si>
  <si>
    <t>jam</t>
  </si>
  <si>
    <t>POD received from cell 0738748251 M</t>
  </si>
  <si>
    <t>POD received from cell 0693513712 M</t>
  </si>
  <si>
    <t>VEREE</t>
  </si>
  <si>
    <t>VEREENIGING</t>
  </si>
  <si>
    <t>POD received from cell 0766412100 M</t>
  </si>
  <si>
    <t>POD received from cell 0814795132 M</t>
  </si>
  <si>
    <t xml:space="preserve">                                        </t>
  </si>
  <si>
    <t>GERMI</t>
  </si>
  <si>
    <t>GERMISTON</t>
  </si>
  <si>
    <t>POTCH</t>
  </si>
  <si>
    <t>POTCHEFSTROOM</t>
  </si>
  <si>
    <t>POD received from cell 0783054958 M</t>
  </si>
  <si>
    <t>COL</t>
  </si>
  <si>
    <t>jlc</t>
  </si>
  <si>
    <t>PIET1</t>
  </si>
  <si>
    <t>PIETERMARITZBURG</t>
  </si>
  <si>
    <t>UMHLA</t>
  </si>
  <si>
    <t>UMHLANGA ROCKS</t>
  </si>
  <si>
    <t>illeg</t>
  </si>
  <si>
    <t>TES</t>
  </si>
  <si>
    <t>POD received from cell 0632088231 M</t>
  </si>
  <si>
    <t>VANDE</t>
  </si>
  <si>
    <t>VANDERBIJLPARK</t>
  </si>
  <si>
    <t>POD received from cell 0639164839 M</t>
  </si>
  <si>
    <t>Late linehaul</t>
  </si>
  <si>
    <t>abh</t>
  </si>
  <si>
    <t>JNK</t>
  </si>
  <si>
    <t>jma</t>
  </si>
  <si>
    <t>?</t>
  </si>
  <si>
    <t>MIDRA</t>
  </si>
  <si>
    <t>MIDRAND</t>
  </si>
  <si>
    <t>POD received from cell 0677382036 M</t>
  </si>
  <si>
    <t>POD received from cell 0734776272 M</t>
  </si>
  <si>
    <t>POD received from cell 0761783817 M</t>
  </si>
  <si>
    <t>POD received from cell 0810876320 M</t>
  </si>
  <si>
    <t>juh</t>
  </si>
  <si>
    <t>POD received from cell 0679761061 M</t>
  </si>
  <si>
    <t>POD received from cell 0733622001 M</t>
  </si>
  <si>
    <t>POD received from cell 0719533928 M</t>
  </si>
  <si>
    <t>POD received from cell 0691229788 M</t>
  </si>
  <si>
    <t>SIGNED</t>
  </si>
  <si>
    <t>STEL2</t>
  </si>
  <si>
    <t>STELLENBOSCH</t>
  </si>
  <si>
    <t>POD received from cell 0684617007 M</t>
  </si>
  <si>
    <t>kaylen</t>
  </si>
  <si>
    <t>HND / FUE / doc</t>
  </si>
  <si>
    <t>POD received from cell 0671711975 M</t>
  </si>
  <si>
    <t>don</t>
  </si>
  <si>
    <t>AMANDA</t>
  </si>
  <si>
    <t>POD received from cell 0810613300 M</t>
  </si>
  <si>
    <t>ROODE</t>
  </si>
  <si>
    <t>ROODEPOORT</t>
  </si>
  <si>
    <t>POD received from cell 0678518887 M</t>
  </si>
  <si>
    <t>Company Closed</t>
  </si>
  <si>
    <t xml:space="preserve">POD received from cell 0653976055 M     </t>
  </si>
  <si>
    <t>POD received from cell 0729630904 M</t>
  </si>
  <si>
    <t>POD received from cell 0747997508 M</t>
  </si>
  <si>
    <t>Mary</t>
  </si>
  <si>
    <t>.</t>
  </si>
  <si>
    <t>POD received from cell 0659918540 M</t>
  </si>
  <si>
    <t>POD received from cell 0826614802 M</t>
  </si>
  <si>
    <t>Joseph</t>
  </si>
  <si>
    <t>CINDY</t>
  </si>
  <si>
    <t>POD received from cell 0731123851 M</t>
  </si>
  <si>
    <t>STANG</t>
  </si>
  <si>
    <t>STANGER</t>
  </si>
  <si>
    <t>POD received from cell 0737996477 M</t>
  </si>
  <si>
    <t>BLOE1</t>
  </si>
  <si>
    <t>BLOEMFONTEIN</t>
  </si>
  <si>
    <t>DELMA</t>
  </si>
  <si>
    <t>DELMAS</t>
  </si>
  <si>
    <t>TONGA</t>
  </si>
  <si>
    <t>TONGAAT</t>
  </si>
  <si>
    <t>SONJA</t>
  </si>
  <si>
    <t>ON2</t>
  </si>
  <si>
    <t>lev</t>
  </si>
  <si>
    <t>ayanda</t>
  </si>
  <si>
    <t>POD received from cell 0681926658 M</t>
  </si>
  <si>
    <t>cch</t>
  </si>
  <si>
    <t>SANDT</t>
  </si>
  <si>
    <t>SANDTON</t>
  </si>
  <si>
    <t>POD received from cell 0761915067 M</t>
  </si>
  <si>
    <t>POD received from cell 0783860265 M</t>
  </si>
  <si>
    <t>POD received from cell 0847863055 M</t>
  </si>
  <si>
    <t>joseph</t>
  </si>
  <si>
    <t>NA</t>
  </si>
  <si>
    <t>POD received from cell 0760995128 M</t>
  </si>
  <si>
    <t>nns</t>
  </si>
  <si>
    <t>let</t>
  </si>
  <si>
    <t>POD received from cell 0844132340 M</t>
  </si>
  <si>
    <t>SIGNATURE</t>
  </si>
  <si>
    <t>SWELL</t>
  </si>
  <si>
    <t>SWELLENDAM</t>
  </si>
  <si>
    <t>lal</t>
  </si>
  <si>
    <t>Nomfundo</t>
  </si>
  <si>
    <t>POD received from cell 0630036676 M</t>
  </si>
  <si>
    <t>SEDGE</t>
  </si>
  <si>
    <t>SEDGEFIELD</t>
  </si>
  <si>
    <t>Cathy</t>
  </si>
  <si>
    <t>POD received from cell 0607649891 M</t>
  </si>
  <si>
    <t>POD received from cell 0738726261 M</t>
  </si>
  <si>
    <t xml:space="preserve">POD received from cell 0720457394 M     </t>
  </si>
  <si>
    <t>POD received from cell 0665269457 M</t>
  </si>
  <si>
    <t>POD received from cell 0677132359 M</t>
  </si>
  <si>
    <t>POD received from cell 0679193801 M</t>
  </si>
  <si>
    <t>POD received from cell 0769790129 M</t>
  </si>
  <si>
    <t>N A</t>
  </si>
  <si>
    <t>VERUL</t>
  </si>
  <si>
    <t>VERULAM</t>
  </si>
  <si>
    <t>Thabo</t>
  </si>
  <si>
    <t>POD received from cell 0723532201 M</t>
  </si>
  <si>
    <t>POD received from cell 0799731759 M</t>
  </si>
  <si>
    <t xml:space="preserve">POD received from cell 0763378994 M     </t>
  </si>
  <si>
    <t>Alicia</t>
  </si>
  <si>
    <t>POD received from cell 0607554553 M</t>
  </si>
  <si>
    <t>POD received from cell 0785331999 M</t>
  </si>
  <si>
    <t>CARLE</t>
  </si>
  <si>
    <t>CARLETONVILLE</t>
  </si>
  <si>
    <t>POD received from cell 0713186291 M</t>
  </si>
  <si>
    <t>POD received from cell 0769148770 M</t>
  </si>
  <si>
    <t>CHANTEL</t>
  </si>
  <si>
    <t>POD received from cell 0725795427 M</t>
  </si>
  <si>
    <t>POD received from cell 0724566231 M</t>
  </si>
  <si>
    <t>POD received from cell 0814739791 M</t>
  </si>
  <si>
    <t>the</t>
  </si>
  <si>
    <t>PIET2</t>
  </si>
  <si>
    <t>PIETERSBURG</t>
  </si>
  <si>
    <t>POD received from cell 0795513816 M</t>
  </si>
  <si>
    <t xml:space="preserve">PVT                                </t>
  </si>
  <si>
    <t>C18281</t>
  </si>
  <si>
    <t>MOVE ANALYTICS SA CC (SA GREETINGS)</t>
  </si>
  <si>
    <t xml:space="preserve">CARDIES ONLINE SA GREETINGS        </t>
  </si>
  <si>
    <t xml:space="preserve">SHAAITA ISAACS                     </t>
  </si>
  <si>
    <t>SHAAITA ISAACS</t>
  </si>
  <si>
    <t>TSHIDI</t>
  </si>
  <si>
    <t>salma</t>
  </si>
  <si>
    <t xml:space="preserve">AIMEE FORD                         </t>
  </si>
  <si>
    <t>HAROLD</t>
  </si>
  <si>
    <t xml:space="preserve">RENE HOLDER                        </t>
  </si>
  <si>
    <t>wettle</t>
  </si>
  <si>
    <t xml:space="preserve">MARTHIE WILLEMS                    </t>
  </si>
  <si>
    <t>MARTHIE WILLWMSE</t>
  </si>
  <si>
    <t xml:space="preserve">CARDIES MALL OF THE NORTH          </t>
  </si>
  <si>
    <t xml:space="preserve">SA GREETINGS                       </t>
  </si>
  <si>
    <t>ADELLA COOKE</t>
  </si>
  <si>
    <t>MANAGER</t>
  </si>
  <si>
    <t>palesa</t>
  </si>
  <si>
    <t xml:space="preserve">NICOLE BASILO                      </t>
  </si>
  <si>
    <t xml:space="preserve">EVELYN                        </t>
  </si>
  <si>
    <t>c18281</t>
  </si>
  <si>
    <t>NOMUSA</t>
  </si>
  <si>
    <t>PATIENCE</t>
  </si>
  <si>
    <t>tshidi</t>
  </si>
  <si>
    <t xml:space="preserve">NA                                 </t>
  </si>
  <si>
    <t>SHENE MOTHILAL</t>
  </si>
  <si>
    <t>shene</t>
  </si>
  <si>
    <t xml:space="preserve">SHOPRITE HEAD OFFICE               </t>
  </si>
  <si>
    <t>JUSTINA</t>
  </si>
  <si>
    <t>jeatin</t>
  </si>
  <si>
    <t xml:space="preserve">CARDIES                            </t>
  </si>
  <si>
    <t>PATIYD ROTKIN</t>
  </si>
  <si>
    <t>Nikita</t>
  </si>
  <si>
    <t xml:space="preserve">DENISE DONELLY                     </t>
  </si>
  <si>
    <t>DENISE</t>
  </si>
  <si>
    <t xml:space="preserve">brent                         </t>
  </si>
  <si>
    <t xml:space="preserve">POD received from cell 0693852220 M     </t>
  </si>
  <si>
    <t xml:space="preserve">RR MARKETING                       </t>
  </si>
  <si>
    <t>Sasa</t>
  </si>
  <si>
    <t xml:space="preserve">PHILA KAKANA                       </t>
  </si>
  <si>
    <t>PHILA KAKANA</t>
  </si>
  <si>
    <t xml:space="preserve">SABASHINI NAIDOO                   </t>
  </si>
  <si>
    <t xml:space="preserve">SABASHINI NAIDOO              </t>
  </si>
  <si>
    <t xml:space="preserve">RESHIKA RAMPISOLD                  </t>
  </si>
  <si>
    <t>POD received from cell 0797074161 M</t>
  </si>
  <si>
    <t xml:space="preserve">DEMISHA GOVENDER                   </t>
  </si>
  <si>
    <t>dewina</t>
  </si>
  <si>
    <t>ADELIA</t>
  </si>
  <si>
    <t>ADEWA</t>
  </si>
  <si>
    <t xml:space="preserve">NATASHA NKOSI                      </t>
  </si>
  <si>
    <t>HERMAN</t>
  </si>
  <si>
    <t xml:space="preserve">JANVI SOMAIYA                      </t>
  </si>
  <si>
    <t xml:space="preserve">kyle lewis                    </t>
  </si>
  <si>
    <t xml:space="preserve">POD received from cell 0738748251 M     </t>
  </si>
  <si>
    <t xml:space="preserve">CARDIES SANDTON CITY               </t>
  </si>
  <si>
    <t>ADELIA COOKE</t>
  </si>
  <si>
    <t>PRISCILLA</t>
  </si>
  <si>
    <t xml:space="preserve">SASHA LEE GOVENDER                 </t>
  </si>
  <si>
    <t>SASHA LEE GOVENDER</t>
  </si>
  <si>
    <t xml:space="preserve">SUNRISE ROAD NPC                   </t>
  </si>
  <si>
    <t>Je riba</t>
  </si>
  <si>
    <t xml:space="preserve">S.A GREETINGS                      </t>
  </si>
  <si>
    <t>CHANTE LOUW</t>
  </si>
  <si>
    <t xml:space="preserve">CARDIES TYGERVALLEY                </t>
  </si>
  <si>
    <t>CARMEN</t>
  </si>
  <si>
    <t xml:space="preserve">CARDIES MENLYN PARK                </t>
  </si>
  <si>
    <t xml:space="preserve">CARDIES MENLYN MAINE               </t>
  </si>
  <si>
    <t xml:space="preserve">CARDIES MALL OF AFRICA             </t>
  </si>
  <si>
    <t xml:space="preserve">JENNA BAOILEY                      </t>
  </si>
  <si>
    <t>JENNA BAOILEY</t>
  </si>
  <si>
    <t xml:space="preserve">CHERLENE ENGELBECHT                </t>
  </si>
  <si>
    <t>Heidi</t>
  </si>
  <si>
    <t xml:space="preserve">TRACEY ROSSINI                     </t>
  </si>
  <si>
    <t>TRACEY ROSSINI</t>
  </si>
  <si>
    <t xml:space="preserve">SIEMENS                            </t>
  </si>
  <si>
    <t>jorg</t>
  </si>
  <si>
    <t xml:space="preserve">LIASA MARI ZONDAGH                 </t>
  </si>
  <si>
    <t>LIASA MARI ZONDAGH</t>
  </si>
  <si>
    <t>POD received from cell 0813493047 M</t>
  </si>
  <si>
    <t xml:space="preserve">KIRSEN                             </t>
  </si>
  <si>
    <t>gail</t>
  </si>
  <si>
    <t>POD received from cell 0659756866 M</t>
  </si>
  <si>
    <t xml:space="preserve">CHANTELLE LIEBENBERG               </t>
  </si>
  <si>
    <t>CHANTELLE LIEBENBERG</t>
  </si>
  <si>
    <t>POD received from cell 0823042954 M</t>
  </si>
  <si>
    <t xml:space="preserve">DANELLE REITZ RUACH                </t>
  </si>
  <si>
    <t>DANIEL REITH</t>
  </si>
  <si>
    <t>Graig</t>
  </si>
  <si>
    <t xml:space="preserve">141 KASSIER ROAD                   </t>
  </si>
  <si>
    <t>LINDI ENGELBRECHT</t>
  </si>
  <si>
    <t>lindi</t>
  </si>
  <si>
    <t>POD received from cell 0730059234 M</t>
  </si>
  <si>
    <t xml:space="preserve">SA. GREETINGS                      </t>
  </si>
  <si>
    <t xml:space="preserve">S A GREATINGS                      </t>
  </si>
  <si>
    <t xml:space="preserve">CANINE PLANET                      </t>
  </si>
  <si>
    <t>CARLA STRYDOM</t>
  </si>
  <si>
    <t>Carla</t>
  </si>
  <si>
    <t>ARSHAD</t>
  </si>
  <si>
    <t>jodi</t>
  </si>
  <si>
    <t>NOMVELISO HLWAYI</t>
  </si>
  <si>
    <t>SHANELL NEL</t>
  </si>
  <si>
    <t>lulo</t>
  </si>
  <si>
    <t>POD received from cell 0719145518 M</t>
  </si>
  <si>
    <t xml:space="preserve">OAKHURST ANIMAL CLINIC             </t>
  </si>
  <si>
    <t>MARLIA DELANGE</t>
  </si>
  <si>
    <t>MARLIE ROSSET</t>
  </si>
  <si>
    <t>POD received from cell 0734787843 M</t>
  </si>
  <si>
    <t>QUDSIYYAH PARKER</t>
  </si>
  <si>
    <t>parker</t>
  </si>
  <si>
    <t>CHRISTA PRETORIUS</t>
  </si>
  <si>
    <t>Marnus</t>
  </si>
  <si>
    <t>MELNITIA WILLIAMS</t>
  </si>
  <si>
    <t>Anthu</t>
  </si>
  <si>
    <t>POD received from cell 0671799174 M</t>
  </si>
  <si>
    <t>NELSP</t>
  </si>
  <si>
    <t>NELSPRUIT</t>
  </si>
  <si>
    <t xml:space="preserve">ROB FERREIRA HOSPITAL              </t>
  </si>
  <si>
    <t>MAREE-LOUISE VENTER SCHOEMAN</t>
  </si>
  <si>
    <t>m v  schoeman</t>
  </si>
  <si>
    <t>POD received from cell 0636317762 M</t>
  </si>
  <si>
    <t>CARO ROBBERTZE</t>
  </si>
  <si>
    <t xml:space="preserve">DISNEY                             </t>
  </si>
  <si>
    <t>LINDI TREURNICHT</t>
  </si>
  <si>
    <t>JACKI</t>
  </si>
  <si>
    <t>Cherie</t>
  </si>
  <si>
    <t>AMY NAUDE</t>
  </si>
  <si>
    <t>zukiswa</t>
  </si>
  <si>
    <t xml:space="preserve">TALENT 10 HOLDINGS                 </t>
  </si>
  <si>
    <t>BIANCA NAIDOO</t>
  </si>
  <si>
    <t>mathiba</t>
  </si>
  <si>
    <t>YERISHA RAJPAL</t>
  </si>
  <si>
    <t xml:space="preserve">CARDIES EASTRAND MALL              </t>
  </si>
  <si>
    <t xml:space="preserve">CARDIES ROSEBANK                   </t>
  </si>
  <si>
    <t>MAAGER</t>
  </si>
  <si>
    <t>tsidi</t>
  </si>
  <si>
    <t xml:space="preserve">BOITUMELO MOSHOLI                  </t>
  </si>
  <si>
    <t>BOITUMELO MOSHOLI</t>
  </si>
  <si>
    <t xml:space="preserve">SYLVIA HOLVERDA                    </t>
  </si>
  <si>
    <t>SYLVIA HOLVERDA</t>
  </si>
  <si>
    <t xml:space="preserve">BDO GQEBERHA                       </t>
  </si>
  <si>
    <t>MAUREEN PENNELS</t>
  </si>
  <si>
    <t>Ayeesha</t>
  </si>
  <si>
    <t xml:space="preserve">CHANTELLE VOGEL                    </t>
  </si>
  <si>
    <t>CHANTELLE VOGEL</t>
  </si>
  <si>
    <t xml:space="preserve">C ARMEN BOWESR                     </t>
  </si>
  <si>
    <t>CARMEN BOWESR</t>
  </si>
  <si>
    <t xml:space="preserve">ULUNTU PHILBANE                    </t>
  </si>
  <si>
    <t xml:space="preserve">CARDIES BEDFORD CENTRE             </t>
  </si>
  <si>
    <t xml:space="preserve">SA GREETING                        </t>
  </si>
  <si>
    <t xml:space="preserve">CARDIES THE PAVILON                </t>
  </si>
  <si>
    <t>SINOH</t>
  </si>
  <si>
    <t>BONGIE PATISWA</t>
  </si>
  <si>
    <t xml:space="preserve">SIMPHIWE MSHWANE                   </t>
  </si>
  <si>
    <t xml:space="preserve">CARDIES THE REDS                   </t>
  </si>
  <si>
    <t xml:space="preserve">CARDIES MENLYN                     </t>
  </si>
  <si>
    <t xml:space="preserve">CARDIES CANAL WALK                 </t>
  </si>
  <si>
    <t>CARDIES</t>
  </si>
  <si>
    <t>PATTYB ROTKIN</t>
  </si>
  <si>
    <t xml:space="preserve">FRANCES JOUBERT                    </t>
  </si>
  <si>
    <t xml:space="preserve">TIAUTO INVESTMENTS                 </t>
  </si>
  <si>
    <t>MANDY ANTILL</t>
  </si>
  <si>
    <t xml:space="preserve">VILOSHNI SARESHA HARRICHARAN       </t>
  </si>
  <si>
    <t xml:space="preserve">SHANNON MANUEL                     </t>
  </si>
  <si>
    <t xml:space="preserve">THATO SEPHAKA                      </t>
  </si>
  <si>
    <t xml:space="preserve">KIRAH Z KANFECTIONZ                </t>
  </si>
  <si>
    <t>ZAAKIRAH MOOSA</t>
  </si>
  <si>
    <t xml:space="preserve">SHANNYN MAISTRY                    </t>
  </si>
  <si>
    <t xml:space="preserve">PRESHANTHA NAIDOO                  </t>
  </si>
  <si>
    <t xml:space="preserve">KELSEY SKYE VAN ES                 </t>
  </si>
  <si>
    <t>MARGA</t>
  </si>
  <si>
    <t>MARGATE</t>
  </si>
  <si>
    <t xml:space="preserve">CARDIES SHELLY BEACH               </t>
  </si>
  <si>
    <t xml:space="preserve">ADELIA HEAD OFFICE                 </t>
  </si>
  <si>
    <t>YOGITA</t>
  </si>
  <si>
    <t xml:space="preserve">CAEDIES VAAL MALL                  </t>
  </si>
  <si>
    <t xml:space="preserve">IVONA MILANOVA                     </t>
  </si>
  <si>
    <t>IVONA MILANOVA</t>
  </si>
  <si>
    <t>POD received from cell 0723940461 M</t>
  </si>
  <si>
    <t xml:space="preserve">RESHIKA RAMPRESAD                  </t>
  </si>
  <si>
    <t>MAKENGO</t>
  </si>
  <si>
    <t xml:space="preserve">MENOKA CHINASAMY                   </t>
  </si>
  <si>
    <t>POD received from cell 0838903542 M</t>
  </si>
  <si>
    <t xml:space="preserve">CARA DALY                          </t>
  </si>
  <si>
    <t>CARA DALY</t>
  </si>
  <si>
    <t xml:space="preserve">PRESIDENT GROUP                    </t>
  </si>
  <si>
    <t>lesely</t>
  </si>
  <si>
    <t xml:space="preserve">KEY PINETOWN                       </t>
  </si>
  <si>
    <t xml:space="preserve">ANGELINA NIEWOUDT                  </t>
  </si>
  <si>
    <t xml:space="preserve">NADIA SINGH                        </t>
  </si>
  <si>
    <t>P H SINGH</t>
  </si>
  <si>
    <t>TERESA  NATASHA BREGOVITS</t>
  </si>
  <si>
    <t>Devania</t>
  </si>
  <si>
    <t>POD received from cell 0834941426 M</t>
  </si>
  <si>
    <t>REVONIA MALAYAIH</t>
  </si>
  <si>
    <t>Revonia</t>
  </si>
  <si>
    <t>WISDOM NKOLELE</t>
  </si>
  <si>
    <t>Risuna</t>
  </si>
  <si>
    <t xml:space="preserve">PRESIDENTIAL GROUP CC              </t>
  </si>
  <si>
    <t>LESLEY SIHAMBA</t>
  </si>
  <si>
    <t>allan</t>
  </si>
  <si>
    <t xml:space="preserve">MUSGRAVE BROLL OFFICES             </t>
  </si>
  <si>
    <t>AMINA NDUNGANE  KALAI NAIDOO</t>
  </si>
  <si>
    <t>ROFI LEGODI</t>
  </si>
  <si>
    <t>savi</t>
  </si>
  <si>
    <t>BONTLE SETSHEDI</t>
  </si>
  <si>
    <t>Moyo s</t>
  </si>
  <si>
    <t>BIANCA MARQUES</t>
  </si>
  <si>
    <t>POD received from cell 0747980518 M</t>
  </si>
  <si>
    <t>CAITLAN ZASTER</t>
  </si>
  <si>
    <t>Caitlin</t>
  </si>
  <si>
    <t>ANGELINA NIEUWOUDT</t>
  </si>
  <si>
    <t>BALINDILE</t>
  </si>
  <si>
    <t>HANLIE BRAND</t>
  </si>
  <si>
    <t>H Brand</t>
  </si>
  <si>
    <t xml:space="preserve">CARDIES PAVILION                   </t>
  </si>
  <si>
    <t xml:space="preserve">CARDIES H O                        </t>
  </si>
  <si>
    <t>ADELIA COOK</t>
  </si>
  <si>
    <t xml:space="preserve">A BREED                            </t>
  </si>
  <si>
    <t xml:space="preserve">CARDIES MALL OF THE SOUTH          </t>
  </si>
  <si>
    <t>NUNO   DANIE</t>
  </si>
  <si>
    <t xml:space="preserve">SASHA LANGA                        </t>
  </si>
  <si>
    <t>sasha</t>
  </si>
  <si>
    <t xml:space="preserve">MASONS                             </t>
  </si>
  <si>
    <t>MROGAN JONKER</t>
  </si>
  <si>
    <t>CM JODO</t>
  </si>
  <si>
    <t xml:space="preserve">STACEY PEACOCK                     </t>
  </si>
  <si>
    <t>STACEY PEACOCK</t>
  </si>
  <si>
    <t xml:space="preserve">PG PS ATTORNEYS                    </t>
  </si>
  <si>
    <t>NICOLE MUSTARD</t>
  </si>
  <si>
    <t>nicole</t>
  </si>
  <si>
    <t>POD received from cell 0784468189 M</t>
  </si>
  <si>
    <t xml:space="preserve">CORNE SENEKAL                      </t>
  </si>
  <si>
    <t>C O  SENEKAL</t>
  </si>
  <si>
    <t>POD received from cell 0732432786 M</t>
  </si>
  <si>
    <t xml:space="preserve">CARDIES-GATEWAY                    </t>
  </si>
  <si>
    <t xml:space="preserve">JACKY BYLEVELDT                    </t>
  </si>
  <si>
    <t>JACKY BYLEVELDT</t>
  </si>
  <si>
    <t xml:space="preserve">LAUREN REED                        </t>
  </si>
  <si>
    <t>lauren</t>
  </si>
  <si>
    <t xml:space="preserve">HEIDI LATTER                       </t>
  </si>
  <si>
    <t>HEIDI LOTTER</t>
  </si>
  <si>
    <t>K Lawrence</t>
  </si>
  <si>
    <t>SARAB</t>
  </si>
  <si>
    <t>PATSY</t>
  </si>
  <si>
    <t xml:space="preserve">CHRISTOPH BRAXTON                  </t>
  </si>
  <si>
    <t>Annette</t>
  </si>
  <si>
    <t>POD received from cell 0818132944 M</t>
  </si>
  <si>
    <t>adela</t>
  </si>
  <si>
    <t xml:space="preserve">S.A.A GREETINGS                    </t>
  </si>
  <si>
    <t>ALWYN</t>
  </si>
  <si>
    <t>CHARMAINE</t>
  </si>
  <si>
    <t xml:space="preserve">KADER TECHNOLOGIES                 </t>
  </si>
  <si>
    <t>VEON KRUGER</t>
  </si>
  <si>
    <t>FAH</t>
  </si>
  <si>
    <t xml:space="preserve">FAEZA TALIEP                       </t>
  </si>
  <si>
    <t>FAEZA TALIEP</t>
  </si>
  <si>
    <t xml:space="preserve">STEELROSE COMMUNICATIONS           </t>
  </si>
  <si>
    <t>TANILLE LAWRENCE</t>
  </si>
  <si>
    <t>hiuten</t>
  </si>
  <si>
    <t>POD received from cell 0782094127 M</t>
  </si>
  <si>
    <t xml:space="preserve">CLAIRE WILKE                       </t>
  </si>
  <si>
    <t>GERT</t>
  </si>
  <si>
    <t xml:space="preserve">CHANDRE DU RAND                    </t>
  </si>
  <si>
    <t xml:space="preserve">LORRAINE VAN DER MERWE             </t>
  </si>
  <si>
    <t>LORRAINE VAN DER MERWE</t>
  </si>
  <si>
    <t>POD received from cell 0794763095 M</t>
  </si>
  <si>
    <t xml:space="preserve">ROBIN KARATING                     </t>
  </si>
  <si>
    <t xml:space="preserve">ROBIN KARATING                </t>
  </si>
  <si>
    <t xml:space="preserve">SONET DU PREEZ                     </t>
  </si>
  <si>
    <t xml:space="preserve">SUNE MARE                          </t>
  </si>
  <si>
    <t>SUNE MARE</t>
  </si>
  <si>
    <t xml:space="preserve">YUSHAIL NAIDOO                     </t>
  </si>
  <si>
    <t>d naidoo</t>
  </si>
  <si>
    <t xml:space="preserve">MATT BRETT                         </t>
  </si>
  <si>
    <t xml:space="preserve">JOHN CRANE                         </t>
  </si>
  <si>
    <t>TERESA MURPHY</t>
  </si>
  <si>
    <t>nkuli</t>
  </si>
  <si>
    <t xml:space="preserve">AC DESOUSA ATTORNEYS               </t>
  </si>
  <si>
    <t>RITA NAIDOO</t>
  </si>
  <si>
    <t>Phindile</t>
  </si>
  <si>
    <t>SA</t>
  </si>
  <si>
    <t>MBALI</t>
  </si>
  <si>
    <t>ADELA</t>
  </si>
  <si>
    <t xml:space="preserve">CARDIES CRESTA                     </t>
  </si>
  <si>
    <t xml:space="preserve">SA GRRETINGS                       </t>
  </si>
  <si>
    <t xml:space="preserve">S A GREETINGS                      </t>
  </si>
  <si>
    <t>Tshidi</t>
  </si>
  <si>
    <t>POD received from cell 0715578102 M</t>
  </si>
  <si>
    <t xml:space="preserve">BIANCA PRETORIOUS                  </t>
  </si>
  <si>
    <t>shanthal</t>
  </si>
  <si>
    <t xml:space="preserve">BRYAN MC CARTHY                    </t>
  </si>
  <si>
    <t>talent</t>
  </si>
  <si>
    <t>POD received from cell 0846516465 M</t>
  </si>
  <si>
    <t xml:space="preserve">SA                                 </t>
  </si>
  <si>
    <t xml:space="preserve">CRAFTY CRAFTS                      </t>
  </si>
  <si>
    <t>Caro</t>
  </si>
  <si>
    <t xml:space="preserve">VERUDE                             </t>
  </si>
  <si>
    <t xml:space="preserve">CARDIES GATEWAY                    </t>
  </si>
  <si>
    <t>VERONIKA SWARDT</t>
  </si>
  <si>
    <t>Asanda</t>
  </si>
  <si>
    <t>Box</t>
  </si>
  <si>
    <t xml:space="preserve">CARDIES MUSGRAVE                   </t>
  </si>
  <si>
    <t>mbali</t>
  </si>
  <si>
    <t>POD received from cell 0720188324 M</t>
  </si>
  <si>
    <t>JADE THOMPSON</t>
  </si>
  <si>
    <t>ASHLEA FEATHERSTONE</t>
  </si>
  <si>
    <t>JADE   JANNA</t>
  </si>
  <si>
    <t xml:space="preserve">MPHO PHOSA                         </t>
  </si>
  <si>
    <t>mahlona</t>
  </si>
  <si>
    <t>POD received from cell 0766706547 M</t>
  </si>
  <si>
    <t xml:space="preserve">SHAISTA NABEE                      </t>
  </si>
  <si>
    <t>SHAISTA NABEE</t>
  </si>
  <si>
    <t xml:space="preserve">GILLIAN TWINE                      </t>
  </si>
  <si>
    <t>GILLIAN TWINE</t>
  </si>
  <si>
    <t>POD received from cell 0693852220 M</t>
  </si>
  <si>
    <t xml:space="preserve">BOITUMELO TSRETU                   </t>
  </si>
  <si>
    <t>ADELIA COK</t>
  </si>
  <si>
    <t>ALMA OOSTHUIZEN</t>
  </si>
  <si>
    <t>PATTY B ROTKIN</t>
  </si>
  <si>
    <t>sithandile</t>
  </si>
  <si>
    <t>UMZUM</t>
  </si>
  <si>
    <t>UMZUMBE</t>
  </si>
  <si>
    <t>MINESH VALLABH</t>
  </si>
  <si>
    <t>MINESH</t>
  </si>
  <si>
    <t>MARINA NOTHNAGEL</t>
  </si>
  <si>
    <t>Marina</t>
  </si>
  <si>
    <t>YAATRI JIVEN</t>
  </si>
  <si>
    <t>Atisang</t>
  </si>
  <si>
    <t xml:space="preserve">EXCEED                             </t>
  </si>
  <si>
    <t xml:space="preserve">CHORMAINE NAIDOO                   </t>
  </si>
  <si>
    <t>patsy</t>
  </si>
  <si>
    <t>MOOSA HENDRICKS JODI-MONIQUE</t>
  </si>
  <si>
    <t xml:space="preserve">CARDIES THE PAVILION               </t>
  </si>
  <si>
    <t xml:space="preserve">PATSY                              </t>
  </si>
  <si>
    <t>SAMANTHA</t>
  </si>
  <si>
    <t>LEP</t>
  </si>
  <si>
    <t xml:space="preserve">BOITUMELO JAELE                    </t>
  </si>
  <si>
    <t>BOITUMELO JELE</t>
  </si>
  <si>
    <t>Tumelo</t>
  </si>
  <si>
    <t xml:space="preserve">KIRSTEY SOLOMON                    </t>
  </si>
  <si>
    <t>KIRSTEY SOLOMON</t>
  </si>
  <si>
    <t xml:space="preserve">LAUREN CORREIA                     </t>
  </si>
  <si>
    <t>Mavis</t>
  </si>
  <si>
    <t xml:space="preserve">DEROSHA MOODLEY                    </t>
  </si>
  <si>
    <t>DEROSHA MOODLEY</t>
  </si>
  <si>
    <t>POD received from cell 0644807340 M</t>
  </si>
  <si>
    <t xml:space="preserve">CARDIES HEAD OFFICE                </t>
  </si>
  <si>
    <t>CHANTEL DE KLERK</t>
  </si>
  <si>
    <t xml:space="preserve">CARDIES EASTGATE SHOPPING CENT     </t>
  </si>
  <si>
    <t xml:space="preserve">BIANCA MEYER                       </t>
  </si>
  <si>
    <t>BIANCA MEYER</t>
  </si>
  <si>
    <t>Bianca Meyer</t>
  </si>
  <si>
    <t xml:space="preserve">SA GREETINGSS                      </t>
  </si>
  <si>
    <t>MERVIN GOVENDER</t>
  </si>
  <si>
    <t>LYNETTE</t>
  </si>
  <si>
    <t>CHANTAL</t>
  </si>
  <si>
    <t xml:space="preserve">DASH HAIR                          </t>
  </si>
  <si>
    <t>JONATHAN JORDAAN</t>
  </si>
  <si>
    <t>CHENE</t>
  </si>
  <si>
    <t xml:space="preserve">SARAH STRATFORD                    </t>
  </si>
  <si>
    <t>SARAH STRATFORD</t>
  </si>
  <si>
    <t>SARAH</t>
  </si>
  <si>
    <t xml:space="preserve">ALISHA WADE                        </t>
  </si>
  <si>
    <t>ALISHA</t>
  </si>
  <si>
    <t xml:space="preserve">Simanga                       </t>
  </si>
  <si>
    <t xml:space="preserve">POD received from cell 0635553328 M     </t>
  </si>
  <si>
    <t xml:space="preserve">NATASHA SEWPERSAD                  </t>
  </si>
  <si>
    <t>NATASHA</t>
  </si>
  <si>
    <t>Natasha</t>
  </si>
  <si>
    <t>KAYLIN SAULS</t>
  </si>
  <si>
    <t xml:space="preserve">MARLEE VAN LINGEN                  </t>
  </si>
  <si>
    <t>Annah</t>
  </si>
  <si>
    <t xml:space="preserve">ROMAINE MOONSAMY                   </t>
  </si>
  <si>
    <t>ROMAINE MOONSAMY</t>
  </si>
  <si>
    <t>POD received from cell 0761907616 M</t>
  </si>
  <si>
    <t xml:space="preserve">CARDS CONSTANTIA                   </t>
  </si>
  <si>
    <t>NICK PODMORE</t>
  </si>
  <si>
    <t>PATTYB KOTKIN</t>
  </si>
  <si>
    <t>natheley</t>
  </si>
  <si>
    <t xml:space="preserve">ANESSA                             </t>
  </si>
  <si>
    <t>z bayat</t>
  </si>
  <si>
    <t xml:space="preserve">DANIEL PEREIRA                     </t>
  </si>
  <si>
    <t>Lovenes</t>
  </si>
  <si>
    <t>POD received from cell 0818590343 M</t>
  </si>
  <si>
    <t xml:space="preserve">CHANTEL STAPLEBERG                 </t>
  </si>
  <si>
    <t>mthokozisi</t>
  </si>
  <si>
    <t xml:space="preserve">DRIVER NVESTMENT                   </t>
  </si>
  <si>
    <t xml:space="preserve">MARIA SAMBO                        </t>
  </si>
  <si>
    <t xml:space="preserve">MARIA SAMBO                   </t>
  </si>
  <si>
    <t>MICHEAL</t>
  </si>
  <si>
    <t>ALWAYN</t>
  </si>
  <si>
    <t>ALWYNI</t>
  </si>
  <si>
    <t xml:space="preserve">REVOLUTION                         </t>
  </si>
  <si>
    <t>Melanie</t>
  </si>
  <si>
    <t xml:space="preserve">CHRISTINA REDDY                    </t>
  </si>
  <si>
    <t>Timothy</t>
  </si>
  <si>
    <t xml:space="preserve">DINO TRADING                       </t>
  </si>
  <si>
    <t>NAIKER</t>
  </si>
  <si>
    <t>shaun</t>
  </si>
  <si>
    <t xml:space="preserve">TRISHANA RAMKALAWAN                </t>
  </si>
  <si>
    <t>TRISHANA RAMKALAWAN</t>
  </si>
  <si>
    <t xml:space="preserve">VISHAANA DULLABH                   </t>
  </si>
  <si>
    <t>Vishaana</t>
  </si>
  <si>
    <t>DANIE  NEMO</t>
  </si>
  <si>
    <t xml:space="preserve">KAYLEIGHT ERASMUS                  </t>
  </si>
  <si>
    <t>annie</t>
  </si>
  <si>
    <t xml:space="preserve">MARIANE VAN DER LINDE              </t>
  </si>
  <si>
    <t>MARIANE VAN DER LINDE</t>
  </si>
  <si>
    <t xml:space="preserve">FELICIA WATSON                     </t>
  </si>
  <si>
    <t>FELICIA WATSON</t>
  </si>
  <si>
    <t xml:space="preserve">JODY VA MERWE                      </t>
  </si>
  <si>
    <t>Geraldine</t>
  </si>
  <si>
    <t xml:space="preserve">SIPAMANDLA MPIKELELI               </t>
  </si>
  <si>
    <t>SIPAMANDLA MPIKELELI</t>
  </si>
  <si>
    <t>NEWCA</t>
  </si>
  <si>
    <t>NEWCASTLE</t>
  </si>
  <si>
    <t xml:space="preserve">AHMED BHAYLA                       </t>
  </si>
  <si>
    <t>Jenite</t>
  </si>
  <si>
    <t>POD received from cell 0792540285 M</t>
  </si>
  <si>
    <t>samantha</t>
  </si>
  <si>
    <t xml:space="preserve">PRINEAE SUBRAMONEY                 </t>
  </si>
  <si>
    <t>meleni</t>
  </si>
  <si>
    <t>AMANDA BUTHELEZI</t>
  </si>
  <si>
    <t>CHANTELLE</t>
  </si>
  <si>
    <t>ZIPHE</t>
  </si>
  <si>
    <t xml:space="preserve">GABLER MEDICAL                     </t>
  </si>
  <si>
    <t>CATHERINE</t>
  </si>
  <si>
    <t>PREETHUM</t>
  </si>
  <si>
    <t>reuben</t>
  </si>
  <si>
    <t xml:space="preserve">CARDIES EASTGATE UPPER             </t>
  </si>
  <si>
    <t xml:space="preserve">AMROD JOHANNESBURG                 </t>
  </si>
  <si>
    <t>LINDI</t>
  </si>
  <si>
    <t xml:space="preserve">DISPATCH </t>
  </si>
  <si>
    <t>lindy</t>
  </si>
  <si>
    <t>Patty Rotkin</t>
  </si>
  <si>
    <t>ROFE</t>
  </si>
  <si>
    <t xml:space="preserve">SHOP NO 1A SHELLY CENTRE           </t>
  </si>
  <si>
    <t>EMILY</t>
  </si>
  <si>
    <t xml:space="preserve">SHOP G169                          </t>
  </si>
  <si>
    <t>Amanda</t>
  </si>
  <si>
    <t xml:space="preserve">BIANCA TAME                        </t>
  </si>
  <si>
    <t>Bianca</t>
  </si>
  <si>
    <t>YOLANDER</t>
  </si>
  <si>
    <t xml:space="preserve">SHOP NO L15 16                     </t>
  </si>
  <si>
    <t>PATRTYB ROTKIN</t>
  </si>
  <si>
    <t>asakhe</t>
  </si>
  <si>
    <t xml:space="preserve">CHRISTENSEN TOLLS                  </t>
  </si>
  <si>
    <t>jasmin</t>
  </si>
  <si>
    <t xml:space="preserve">DR FRAY GP PRACTIVE                </t>
  </si>
  <si>
    <t>Fiona</t>
  </si>
  <si>
    <t xml:space="preserve">SHOP 139 THE PAVILLION             </t>
  </si>
  <si>
    <t>thuli</t>
  </si>
  <si>
    <t xml:space="preserve">CORENDISH SQUARE                   </t>
  </si>
  <si>
    <t xml:space="preserve">MONIQUE WILLEWMSE                  </t>
  </si>
  <si>
    <t>MONIQUE</t>
  </si>
  <si>
    <t xml:space="preserve">ENAN 8                             </t>
  </si>
  <si>
    <t>kaith</t>
  </si>
  <si>
    <t xml:space="preserve">SHOP NO L72 MALL OF THE SOUTH      </t>
  </si>
  <si>
    <t>CARDIES MALL</t>
  </si>
  <si>
    <t>PARTTYS ROTKIN</t>
  </si>
  <si>
    <t xml:space="preserve">SHOP 112 VAAL MALL                 </t>
  </si>
  <si>
    <t>PATTY ROTKIN</t>
  </si>
  <si>
    <t>REBECCA</t>
  </si>
  <si>
    <t xml:space="preserve">SHOP 269 CANAL WALK                </t>
  </si>
  <si>
    <t>PATTYB</t>
  </si>
  <si>
    <t xml:space="preserve">BALLITE JUNCTION                   </t>
  </si>
  <si>
    <t xml:space="preserve">SHOP 14A CONSTANTIA                </t>
  </si>
  <si>
    <t>thobi</t>
  </si>
  <si>
    <t>POD received from cell 0685031074 M</t>
  </si>
  <si>
    <t xml:space="preserve">SHOP 112 MUSGRAVE CENTRE           </t>
  </si>
  <si>
    <t>cardies</t>
  </si>
  <si>
    <t>CARDIES GATEWAY</t>
  </si>
  <si>
    <t xml:space="preserve">RED ROCKERT SA                     </t>
  </si>
  <si>
    <t>JODI MARTIN</t>
  </si>
  <si>
    <t>POD received from cell 0810709670 M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</si>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</sst>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left"/>
    </xf>
    <xf numFmtId="0" fontId="1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4"/>
  <sheetViews>
    <sheetView tabSelected="1" workbookViewId="0"/>
  </sheetViews>
  <sheetFormatPr defaultRowHeight="14.4" x14ac:dyDescent="0.3"/>
  <cols>
    <col min="2" max="2" width="15.21875" customWidth="1"/>
    <col min="3" max="3" width="5.109375" bestFit="1" customWidth="1"/>
    <col min="4" max="4" width="6" customWidth="1"/>
    <col min="5" max="5" width="14.21875" bestFit="1" customWidth="1"/>
    <col min="6" max="6" width="10.33203125" style="4" bestFit="1" customWidth="1"/>
    <col min="7" max="7" width="7" bestFit="1" customWidth="1"/>
    <col min="8" max="8" width="6.88671875" customWidth="1"/>
    <col min="10" max="10" width="11.21875" customWidth="1"/>
    <col min="11" max="11" width="6.77734375" customWidth="1"/>
    <col min="13" max="13" width="11" customWidth="1"/>
    <col min="15" max="15" width="4.6640625" bestFit="1" customWidth="1"/>
    <col min="16" max="16" width="5.77734375" customWidth="1"/>
    <col min="17" max="67" width="8.88671875" style="3"/>
  </cols>
  <sheetData>
    <row r="1" spans="1:92" ht="43.2" x14ac:dyDescent="0.3">
      <c r="A1" s="5" t="s">
        <v>733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734</v>
      </c>
      <c r="G1" s="5" t="s">
        <v>4</v>
      </c>
      <c r="H1" s="5" t="s">
        <v>5</v>
      </c>
      <c r="I1" s="5" t="s">
        <v>735</v>
      </c>
      <c r="J1" s="5" t="s">
        <v>6</v>
      </c>
      <c r="K1" s="5" t="s">
        <v>7</v>
      </c>
      <c r="L1" s="5" t="s">
        <v>736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13</v>
      </c>
      <c r="U1" s="5" t="s">
        <v>15</v>
      </c>
      <c r="V1" s="5" t="s">
        <v>13</v>
      </c>
      <c r="W1" s="5" t="s">
        <v>16</v>
      </c>
      <c r="X1" s="5" t="s">
        <v>13</v>
      </c>
      <c r="Y1" s="5" t="s">
        <v>17</v>
      </c>
      <c r="Z1" s="5" t="s">
        <v>13</v>
      </c>
      <c r="AA1" s="5" t="s">
        <v>18</v>
      </c>
      <c r="AB1" s="5" t="s">
        <v>13</v>
      </c>
      <c r="AC1" s="5" t="s">
        <v>19</v>
      </c>
      <c r="AD1" s="5" t="s">
        <v>13</v>
      </c>
      <c r="AE1" s="5" t="s">
        <v>20</v>
      </c>
      <c r="AF1" s="5" t="s">
        <v>13</v>
      </c>
      <c r="AG1" s="5" t="s">
        <v>21</v>
      </c>
      <c r="AH1" s="5" t="s">
        <v>13</v>
      </c>
      <c r="AI1" s="5" t="s">
        <v>22</v>
      </c>
      <c r="AJ1" s="5" t="s">
        <v>13</v>
      </c>
      <c r="AK1" s="5" t="s">
        <v>23</v>
      </c>
      <c r="AL1" s="5" t="s">
        <v>13</v>
      </c>
      <c r="AM1" s="5" t="s">
        <v>24</v>
      </c>
      <c r="AN1" s="5" t="s">
        <v>13</v>
      </c>
      <c r="AO1" s="5" t="s">
        <v>25</v>
      </c>
      <c r="AP1" s="5" t="s">
        <v>13</v>
      </c>
      <c r="AQ1" s="5" t="s">
        <v>26</v>
      </c>
      <c r="AR1" s="5" t="s">
        <v>13</v>
      </c>
      <c r="AS1" s="5" t="s">
        <v>27</v>
      </c>
      <c r="AT1" s="5" t="s">
        <v>13</v>
      </c>
      <c r="AU1" s="5" t="s">
        <v>28</v>
      </c>
      <c r="AV1" s="5" t="s">
        <v>13</v>
      </c>
      <c r="AW1" s="5" t="s">
        <v>29</v>
      </c>
      <c r="AX1" s="5" t="s">
        <v>13</v>
      </c>
      <c r="AY1" s="5" t="s">
        <v>30</v>
      </c>
      <c r="AZ1" s="5" t="s">
        <v>13</v>
      </c>
      <c r="BA1" s="5" t="s">
        <v>31</v>
      </c>
      <c r="BB1" s="5" t="s">
        <v>13</v>
      </c>
      <c r="BC1" s="5" t="s">
        <v>737</v>
      </c>
      <c r="BD1" s="5" t="s">
        <v>13</v>
      </c>
      <c r="BE1" s="5" t="s">
        <v>738</v>
      </c>
      <c r="BF1" s="5" t="s">
        <v>13</v>
      </c>
      <c r="BG1" s="5" t="s">
        <v>32</v>
      </c>
      <c r="BH1" s="5" t="s">
        <v>739</v>
      </c>
      <c r="BI1" s="5" t="s">
        <v>33</v>
      </c>
      <c r="BJ1" s="5" t="s">
        <v>34</v>
      </c>
      <c r="BK1" s="5" t="s">
        <v>740</v>
      </c>
      <c r="BL1" s="5" t="s">
        <v>741</v>
      </c>
      <c r="BM1" s="5" t="s">
        <v>742</v>
      </c>
      <c r="BN1" s="5" t="s">
        <v>35</v>
      </c>
      <c r="BO1" s="5" t="s">
        <v>36</v>
      </c>
      <c r="BP1" s="5" t="s">
        <v>37</v>
      </c>
      <c r="BQ1" s="5" t="s">
        <v>38</v>
      </c>
      <c r="BR1" s="5" t="s">
        <v>39</v>
      </c>
      <c r="BS1" s="5" t="s">
        <v>40</v>
      </c>
      <c r="BT1" s="5" t="s">
        <v>41</v>
      </c>
      <c r="BU1" s="5" t="s">
        <v>42</v>
      </c>
      <c r="BV1" s="5" t="s">
        <v>43</v>
      </c>
      <c r="BW1" s="5" t="s">
        <v>44</v>
      </c>
      <c r="BX1" s="5" t="s">
        <v>45</v>
      </c>
      <c r="BY1" s="5" t="s">
        <v>46</v>
      </c>
      <c r="BZ1" s="5" t="s">
        <v>47</v>
      </c>
      <c r="CA1" s="5" t="s">
        <v>48</v>
      </c>
      <c r="CB1" s="5" t="s">
        <v>49</v>
      </c>
      <c r="CC1" s="5" t="s">
        <v>50</v>
      </c>
      <c r="CD1" s="5" t="s">
        <v>51</v>
      </c>
      <c r="CE1" s="5" t="s">
        <v>52</v>
      </c>
      <c r="CF1" s="5" t="s">
        <v>53</v>
      </c>
      <c r="CG1" s="5" t="s">
        <v>54</v>
      </c>
      <c r="CH1" s="5" t="s">
        <v>55</v>
      </c>
      <c r="CI1" s="5" t="s">
        <v>56</v>
      </c>
      <c r="CJ1" s="5" t="s">
        <v>57</v>
      </c>
      <c r="CK1" s="5" t="s">
        <v>58</v>
      </c>
      <c r="CL1" s="5" t="s">
        <v>59</v>
      </c>
      <c r="CM1" s="5" t="s">
        <v>60</v>
      </c>
      <c r="CN1" s="5" t="s">
        <v>743</v>
      </c>
    </row>
    <row r="2" spans="1:92" x14ac:dyDescent="0.3">
      <c r="A2" t="s">
        <v>258</v>
      </c>
      <c r="B2" t="s">
        <v>259</v>
      </c>
      <c r="C2" t="s">
        <v>61</v>
      </c>
      <c r="E2" t="str">
        <f>"009943149894"</f>
        <v>009943149894</v>
      </c>
      <c r="F2" s="4">
        <v>44994</v>
      </c>
      <c r="G2">
        <v>202312</v>
      </c>
      <c r="H2" t="s">
        <v>119</v>
      </c>
      <c r="I2" t="s">
        <v>120</v>
      </c>
      <c r="J2" t="s">
        <v>260</v>
      </c>
      <c r="K2" t="s">
        <v>64</v>
      </c>
      <c r="L2" t="s">
        <v>119</v>
      </c>
      <c r="M2" t="s">
        <v>120</v>
      </c>
      <c r="N2" t="s">
        <v>261</v>
      </c>
      <c r="O2" t="s">
        <v>203</v>
      </c>
      <c r="P2" t="str">
        <f>"N A                           "</f>
        <v xml:space="preserve">N A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27.12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4.7</v>
      </c>
      <c r="BJ2" s="3">
        <v>11.6</v>
      </c>
      <c r="BK2" s="3">
        <v>12</v>
      </c>
      <c r="BL2" s="3">
        <v>76.42</v>
      </c>
      <c r="BM2" s="3">
        <v>11.46</v>
      </c>
      <c r="BN2" s="3">
        <v>87.88</v>
      </c>
      <c r="BO2" s="3">
        <v>87.88</v>
      </c>
      <c r="BQ2" t="s">
        <v>262</v>
      </c>
      <c r="BR2" t="s">
        <v>263</v>
      </c>
      <c r="BS2" s="1">
        <v>44995</v>
      </c>
      <c r="BT2" s="2">
        <v>0.4375</v>
      </c>
      <c r="BU2" t="s">
        <v>264</v>
      </c>
      <c r="BV2" t="s">
        <v>69</v>
      </c>
      <c r="BY2">
        <v>57972.46</v>
      </c>
      <c r="BZ2" t="s">
        <v>97</v>
      </c>
      <c r="CC2" t="s">
        <v>120</v>
      </c>
      <c r="CD2">
        <v>2092</v>
      </c>
      <c r="CE2" t="s">
        <v>83</v>
      </c>
      <c r="CF2" s="1">
        <v>44996</v>
      </c>
      <c r="CI2">
        <v>1</v>
      </c>
      <c r="CJ2">
        <v>1</v>
      </c>
      <c r="CK2">
        <v>32</v>
      </c>
      <c r="CL2" t="s">
        <v>72</v>
      </c>
    </row>
    <row r="3" spans="1:92" x14ac:dyDescent="0.3">
      <c r="A3" t="s">
        <v>258</v>
      </c>
      <c r="B3" t="s">
        <v>259</v>
      </c>
      <c r="C3" t="s">
        <v>61</v>
      </c>
      <c r="E3" t="str">
        <f>"009943149891"</f>
        <v>009943149891</v>
      </c>
      <c r="F3" s="4">
        <v>44994</v>
      </c>
      <c r="G3">
        <v>202312</v>
      </c>
      <c r="H3" t="s">
        <v>119</v>
      </c>
      <c r="I3" t="s">
        <v>120</v>
      </c>
      <c r="J3" t="s">
        <v>260</v>
      </c>
      <c r="K3" t="s">
        <v>64</v>
      </c>
      <c r="L3" t="s">
        <v>65</v>
      </c>
      <c r="M3" t="s">
        <v>66</v>
      </c>
      <c r="N3" t="s">
        <v>265</v>
      </c>
      <c r="O3" t="s">
        <v>203</v>
      </c>
      <c r="P3" t="str">
        <f>"N A                           "</f>
        <v xml:space="preserve">N A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44.9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1</v>
      </c>
      <c r="BJ3" s="3">
        <v>0.2</v>
      </c>
      <c r="BK3" s="3">
        <v>1</v>
      </c>
      <c r="BL3" s="3">
        <v>126.54</v>
      </c>
      <c r="BM3" s="3">
        <v>18.98</v>
      </c>
      <c r="BN3" s="3">
        <v>145.52000000000001</v>
      </c>
      <c r="BO3" s="3">
        <v>145.52000000000001</v>
      </c>
      <c r="BQ3" t="s">
        <v>214</v>
      </c>
      <c r="BR3" t="s">
        <v>263</v>
      </c>
      <c r="BS3" s="1">
        <v>45001</v>
      </c>
      <c r="BT3" s="2">
        <v>0.42499999999999999</v>
      </c>
      <c r="BU3" t="s">
        <v>266</v>
      </c>
      <c r="BV3" t="s">
        <v>72</v>
      </c>
      <c r="BW3" t="s">
        <v>103</v>
      </c>
      <c r="BX3" t="s">
        <v>142</v>
      </c>
      <c r="BY3">
        <v>1200</v>
      </c>
      <c r="BZ3" t="s">
        <v>97</v>
      </c>
      <c r="CC3" t="s">
        <v>66</v>
      </c>
      <c r="CD3">
        <v>7965</v>
      </c>
      <c r="CE3" t="s">
        <v>83</v>
      </c>
      <c r="CF3" s="1">
        <v>45002</v>
      </c>
      <c r="CI3">
        <v>1</v>
      </c>
      <c r="CJ3">
        <v>5</v>
      </c>
      <c r="CK3">
        <v>31</v>
      </c>
      <c r="CL3" t="s">
        <v>72</v>
      </c>
    </row>
    <row r="4" spans="1:92" x14ac:dyDescent="0.3">
      <c r="A4" t="s">
        <v>258</v>
      </c>
      <c r="B4" t="s">
        <v>259</v>
      </c>
      <c r="C4" t="s">
        <v>61</v>
      </c>
      <c r="E4" t="str">
        <f>"009943116620"</f>
        <v>009943116620</v>
      </c>
      <c r="F4" s="4">
        <v>44994</v>
      </c>
      <c r="G4">
        <v>202312</v>
      </c>
      <c r="H4" t="s">
        <v>119</v>
      </c>
      <c r="I4" t="s">
        <v>120</v>
      </c>
      <c r="J4" t="s">
        <v>260</v>
      </c>
      <c r="K4" t="s">
        <v>64</v>
      </c>
      <c r="L4" t="s">
        <v>198</v>
      </c>
      <c r="M4" t="s">
        <v>199</v>
      </c>
      <c r="N4" t="s">
        <v>267</v>
      </c>
      <c r="O4" t="s">
        <v>203</v>
      </c>
      <c r="P4" t="str">
        <f>"N A                           "</f>
        <v xml:space="preserve">N A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84.23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1.3</v>
      </c>
      <c r="BJ4" s="3">
        <v>8.9</v>
      </c>
      <c r="BK4" s="3">
        <v>9</v>
      </c>
      <c r="BL4" s="3">
        <v>237.37</v>
      </c>
      <c r="BM4" s="3">
        <v>35.61</v>
      </c>
      <c r="BN4" s="3">
        <v>272.98</v>
      </c>
      <c r="BO4" s="3">
        <v>272.98</v>
      </c>
      <c r="BQ4" t="s">
        <v>214</v>
      </c>
      <c r="BR4" t="s">
        <v>263</v>
      </c>
      <c r="BS4" s="1">
        <v>44995</v>
      </c>
      <c r="BT4" s="2">
        <v>0.54166666666666663</v>
      </c>
      <c r="BU4" t="s">
        <v>268</v>
      </c>
      <c r="BV4" t="s">
        <v>69</v>
      </c>
      <c r="BY4">
        <v>44593.919999999998</v>
      </c>
      <c r="BZ4" t="s">
        <v>97</v>
      </c>
      <c r="CA4" t="s">
        <v>239</v>
      </c>
      <c r="CC4" t="s">
        <v>199</v>
      </c>
      <c r="CD4">
        <v>2210</v>
      </c>
      <c r="CE4" t="s">
        <v>83</v>
      </c>
      <c r="CF4" s="1">
        <v>44995</v>
      </c>
      <c r="CI4">
        <v>1</v>
      </c>
      <c r="CJ4">
        <v>1</v>
      </c>
      <c r="CK4">
        <v>34</v>
      </c>
      <c r="CL4" t="s">
        <v>72</v>
      </c>
    </row>
    <row r="5" spans="1:92" x14ac:dyDescent="0.3">
      <c r="A5" t="s">
        <v>258</v>
      </c>
      <c r="B5" t="s">
        <v>259</v>
      </c>
      <c r="C5" t="s">
        <v>61</v>
      </c>
      <c r="E5" t="str">
        <f>"009943116622"</f>
        <v>009943116622</v>
      </c>
      <c r="F5" s="4">
        <v>44994</v>
      </c>
      <c r="G5">
        <v>202312</v>
      </c>
      <c r="H5" t="s">
        <v>119</v>
      </c>
      <c r="I5" t="s">
        <v>120</v>
      </c>
      <c r="J5" t="s">
        <v>260</v>
      </c>
      <c r="K5" t="s">
        <v>64</v>
      </c>
      <c r="L5" t="s">
        <v>84</v>
      </c>
      <c r="M5" t="s">
        <v>85</v>
      </c>
      <c r="N5" t="s">
        <v>269</v>
      </c>
      <c r="O5" t="s">
        <v>203</v>
      </c>
      <c r="P5" t="str">
        <f>"N A                           "</f>
        <v xml:space="preserve">N A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20.81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1.9</v>
      </c>
      <c r="BJ5" s="3">
        <v>9</v>
      </c>
      <c r="BK5" s="3">
        <v>9</v>
      </c>
      <c r="BL5" s="3">
        <v>58.65</v>
      </c>
      <c r="BM5" s="3">
        <v>8.8000000000000007</v>
      </c>
      <c r="BN5" s="3">
        <v>67.45</v>
      </c>
      <c r="BO5" s="3">
        <v>67.45</v>
      </c>
      <c r="BQ5" t="s">
        <v>270</v>
      </c>
      <c r="BR5" t="s">
        <v>263</v>
      </c>
      <c r="BS5" s="1">
        <v>44995</v>
      </c>
      <c r="BT5" s="2">
        <v>0.54583333333333328</v>
      </c>
      <c r="BU5" t="s">
        <v>169</v>
      </c>
      <c r="BV5" t="s">
        <v>72</v>
      </c>
      <c r="BW5" t="s">
        <v>103</v>
      </c>
      <c r="BX5" t="s">
        <v>155</v>
      </c>
      <c r="BY5">
        <v>45160.19</v>
      </c>
      <c r="BZ5" t="s">
        <v>97</v>
      </c>
      <c r="CC5" t="s">
        <v>85</v>
      </c>
      <c r="CD5">
        <v>1448</v>
      </c>
      <c r="CE5" t="s">
        <v>83</v>
      </c>
      <c r="CF5" s="1">
        <v>44996</v>
      </c>
      <c r="CI5">
        <v>1</v>
      </c>
      <c r="CJ5">
        <v>1</v>
      </c>
      <c r="CK5">
        <v>32</v>
      </c>
      <c r="CL5" t="s">
        <v>72</v>
      </c>
    </row>
    <row r="6" spans="1:92" x14ac:dyDescent="0.3">
      <c r="A6" t="s">
        <v>258</v>
      </c>
      <c r="B6" t="s">
        <v>259</v>
      </c>
      <c r="C6" t="s">
        <v>61</v>
      </c>
      <c r="E6" t="str">
        <f>"009942877377"</f>
        <v>009942877377</v>
      </c>
      <c r="F6" s="4">
        <v>44993</v>
      </c>
      <c r="G6">
        <v>202312</v>
      </c>
      <c r="H6" t="s">
        <v>254</v>
      </c>
      <c r="I6" t="s">
        <v>255</v>
      </c>
      <c r="J6" t="s">
        <v>271</v>
      </c>
      <c r="K6" t="s">
        <v>64</v>
      </c>
      <c r="L6" t="s">
        <v>119</v>
      </c>
      <c r="M6" t="s">
        <v>120</v>
      </c>
      <c r="N6" t="s">
        <v>272</v>
      </c>
      <c r="O6" t="s">
        <v>96</v>
      </c>
      <c r="P6" t="str">
        <f>"                              "</f>
        <v xml:space="preserve">  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5.25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46.31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1</v>
      </c>
      <c r="BJ6" s="3">
        <v>0.2</v>
      </c>
      <c r="BK6" s="3">
        <v>1</v>
      </c>
      <c r="BL6" s="3">
        <v>135.76</v>
      </c>
      <c r="BM6" s="3">
        <v>20.36</v>
      </c>
      <c r="BN6" s="3">
        <v>156.12</v>
      </c>
      <c r="BO6" s="3">
        <v>156.12</v>
      </c>
      <c r="BQ6" t="s">
        <v>273</v>
      </c>
      <c r="BR6" t="s">
        <v>274</v>
      </c>
      <c r="BS6" s="1">
        <v>44994</v>
      </c>
      <c r="BT6" s="2">
        <v>0.33333333333333331</v>
      </c>
      <c r="BU6" t="s">
        <v>275</v>
      </c>
      <c r="BV6" t="s">
        <v>69</v>
      </c>
      <c r="BY6">
        <v>1200</v>
      </c>
      <c r="BZ6" t="s">
        <v>97</v>
      </c>
      <c r="CA6" t="s">
        <v>149</v>
      </c>
      <c r="CC6" t="s">
        <v>120</v>
      </c>
      <c r="CD6">
        <v>2000</v>
      </c>
      <c r="CE6" t="s">
        <v>83</v>
      </c>
      <c r="CF6" s="1">
        <v>44994</v>
      </c>
      <c r="CI6">
        <v>1</v>
      </c>
      <c r="CJ6">
        <v>1</v>
      </c>
      <c r="CK6">
        <v>41</v>
      </c>
      <c r="CL6" t="s">
        <v>72</v>
      </c>
    </row>
    <row r="7" spans="1:92" x14ac:dyDescent="0.3">
      <c r="A7" t="s">
        <v>258</v>
      </c>
      <c r="B7" t="s">
        <v>259</v>
      </c>
      <c r="C7" t="s">
        <v>61</v>
      </c>
      <c r="E7" t="str">
        <f>"009943149892"</f>
        <v>009943149892</v>
      </c>
      <c r="F7" s="4">
        <v>44994</v>
      </c>
      <c r="G7">
        <v>202312</v>
      </c>
      <c r="H7" t="s">
        <v>119</v>
      </c>
      <c r="I7" t="s">
        <v>120</v>
      </c>
      <c r="J7" t="s">
        <v>260</v>
      </c>
      <c r="K7" t="s">
        <v>64</v>
      </c>
      <c r="L7" t="s">
        <v>65</v>
      </c>
      <c r="M7" t="s">
        <v>66</v>
      </c>
      <c r="N7" t="s">
        <v>276</v>
      </c>
      <c r="O7" t="s">
        <v>203</v>
      </c>
      <c r="P7" t="str">
        <f>"N A                           "</f>
        <v xml:space="preserve">N A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56.13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2</v>
      </c>
      <c r="BI7" s="3">
        <v>1.3</v>
      </c>
      <c r="BJ7" s="3">
        <v>4.7</v>
      </c>
      <c r="BK7" s="3">
        <v>5</v>
      </c>
      <c r="BL7" s="3">
        <v>158.18</v>
      </c>
      <c r="BM7" s="3">
        <v>23.73</v>
      </c>
      <c r="BN7" s="3">
        <v>181.91</v>
      </c>
      <c r="BO7" s="3">
        <v>181.91</v>
      </c>
      <c r="BQ7" t="s">
        <v>214</v>
      </c>
      <c r="BR7" t="s">
        <v>263</v>
      </c>
      <c r="BS7" s="1">
        <v>44998</v>
      </c>
      <c r="BT7" s="2">
        <v>0.55555555555555558</v>
      </c>
      <c r="BU7" t="s">
        <v>277</v>
      </c>
      <c r="BV7" t="s">
        <v>72</v>
      </c>
      <c r="BW7" t="s">
        <v>98</v>
      </c>
      <c r="BX7" t="s">
        <v>222</v>
      </c>
      <c r="BY7">
        <v>23511.3</v>
      </c>
      <c r="BZ7" t="s">
        <v>97</v>
      </c>
      <c r="CA7" t="s">
        <v>135</v>
      </c>
      <c r="CC7" t="s">
        <v>66</v>
      </c>
      <c r="CD7">
        <v>8000</v>
      </c>
      <c r="CE7" t="s">
        <v>83</v>
      </c>
      <c r="CF7" s="1">
        <v>44999</v>
      </c>
      <c r="CI7">
        <v>1</v>
      </c>
      <c r="CJ7">
        <v>2</v>
      </c>
      <c r="CK7">
        <v>31</v>
      </c>
      <c r="CL7" t="s">
        <v>72</v>
      </c>
    </row>
    <row r="8" spans="1:92" x14ac:dyDescent="0.3">
      <c r="A8" t="s">
        <v>278</v>
      </c>
      <c r="B8" t="s">
        <v>259</v>
      </c>
      <c r="C8" t="s">
        <v>61</v>
      </c>
      <c r="E8" t="str">
        <f>"009941520337"</f>
        <v>009941520337</v>
      </c>
      <c r="F8" s="4">
        <v>44995</v>
      </c>
      <c r="G8">
        <v>202312</v>
      </c>
      <c r="H8" t="s">
        <v>101</v>
      </c>
      <c r="I8" t="s">
        <v>102</v>
      </c>
      <c r="J8" t="s">
        <v>272</v>
      </c>
      <c r="K8" t="s">
        <v>64</v>
      </c>
      <c r="L8" t="s">
        <v>119</v>
      </c>
      <c r="M8" t="s">
        <v>120</v>
      </c>
      <c r="N8" t="s">
        <v>272</v>
      </c>
      <c r="O8" t="s">
        <v>96</v>
      </c>
      <c r="P8" t="str">
        <f>"                              "</f>
        <v xml:space="preserve">      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5.25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46.31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2.5</v>
      </c>
      <c r="BJ8" s="3">
        <v>9.3000000000000007</v>
      </c>
      <c r="BK8" s="3">
        <v>10</v>
      </c>
      <c r="BL8" s="3">
        <v>135.76</v>
      </c>
      <c r="BM8" s="3">
        <v>20.36</v>
      </c>
      <c r="BN8" s="3">
        <v>156.12</v>
      </c>
      <c r="BO8" s="3">
        <v>156.12</v>
      </c>
      <c r="BQ8" t="s">
        <v>279</v>
      </c>
      <c r="BR8" t="s">
        <v>280</v>
      </c>
      <c r="BS8" s="1">
        <v>44998</v>
      </c>
      <c r="BT8" s="2">
        <v>0.41041666666666665</v>
      </c>
      <c r="BU8" t="s">
        <v>281</v>
      </c>
      <c r="BV8" t="s">
        <v>69</v>
      </c>
      <c r="BY8">
        <v>46620</v>
      </c>
      <c r="BZ8" t="s">
        <v>97</v>
      </c>
      <c r="CA8" t="s">
        <v>149</v>
      </c>
      <c r="CC8" t="s">
        <v>120</v>
      </c>
      <c r="CD8">
        <v>2013</v>
      </c>
      <c r="CE8" t="s">
        <v>83</v>
      </c>
      <c r="CF8" s="1">
        <v>44998</v>
      </c>
      <c r="CI8">
        <v>1</v>
      </c>
      <c r="CJ8">
        <v>1</v>
      </c>
      <c r="CK8">
        <v>41</v>
      </c>
      <c r="CL8" t="s">
        <v>72</v>
      </c>
    </row>
    <row r="9" spans="1:92" x14ac:dyDescent="0.3">
      <c r="A9" t="s">
        <v>258</v>
      </c>
      <c r="B9" t="s">
        <v>259</v>
      </c>
      <c r="C9" t="s">
        <v>61</v>
      </c>
      <c r="E9" t="str">
        <f>"009943116626"</f>
        <v>009943116626</v>
      </c>
      <c r="F9" s="4">
        <v>44995</v>
      </c>
      <c r="G9">
        <v>202312</v>
      </c>
      <c r="H9" t="s">
        <v>119</v>
      </c>
      <c r="I9" t="s">
        <v>120</v>
      </c>
      <c r="J9" t="s">
        <v>260</v>
      </c>
      <c r="K9" t="s">
        <v>64</v>
      </c>
      <c r="L9" t="s">
        <v>158</v>
      </c>
      <c r="M9" t="s">
        <v>159</v>
      </c>
      <c r="N9" t="s">
        <v>282</v>
      </c>
      <c r="O9" t="s">
        <v>203</v>
      </c>
      <c r="P9" t="str">
        <f t="shared" ref="P9:P14" si="0">"N A                           "</f>
        <v xml:space="preserve">N A   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22.91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1.7</v>
      </c>
      <c r="BJ9" s="3">
        <v>9.1</v>
      </c>
      <c r="BK9" s="3">
        <v>10</v>
      </c>
      <c r="BL9" s="3">
        <v>64.569999999999993</v>
      </c>
      <c r="BM9" s="3">
        <v>9.69</v>
      </c>
      <c r="BN9" s="3">
        <v>74.260000000000005</v>
      </c>
      <c r="BO9" s="3">
        <v>74.260000000000005</v>
      </c>
      <c r="BQ9" t="s">
        <v>283</v>
      </c>
      <c r="BR9" t="s">
        <v>263</v>
      </c>
      <c r="BS9" s="1">
        <v>44998</v>
      </c>
      <c r="BT9" s="2">
        <v>0.51180555555555551</v>
      </c>
      <c r="BU9" t="s">
        <v>284</v>
      </c>
      <c r="BV9" t="s">
        <v>69</v>
      </c>
      <c r="BY9">
        <v>45664.75</v>
      </c>
      <c r="BZ9" t="s">
        <v>97</v>
      </c>
      <c r="CA9" t="s">
        <v>93</v>
      </c>
      <c r="CC9" t="s">
        <v>159</v>
      </c>
      <c r="CD9">
        <v>1682</v>
      </c>
      <c r="CE9" t="s">
        <v>83</v>
      </c>
      <c r="CF9" s="1">
        <v>44998</v>
      </c>
      <c r="CI9">
        <v>1</v>
      </c>
      <c r="CJ9">
        <v>1</v>
      </c>
      <c r="CK9">
        <v>32</v>
      </c>
      <c r="CL9" t="s">
        <v>72</v>
      </c>
    </row>
    <row r="10" spans="1:92" x14ac:dyDescent="0.3">
      <c r="A10" t="s">
        <v>258</v>
      </c>
      <c r="B10" t="s">
        <v>259</v>
      </c>
      <c r="C10" t="s">
        <v>61</v>
      </c>
      <c r="E10" t="str">
        <f>"009943116623"</f>
        <v>009943116623</v>
      </c>
      <c r="F10" s="4">
        <v>44995</v>
      </c>
      <c r="G10">
        <v>202312</v>
      </c>
      <c r="H10" t="s">
        <v>119</v>
      </c>
      <c r="I10" t="s">
        <v>120</v>
      </c>
      <c r="J10" t="s">
        <v>260</v>
      </c>
      <c r="K10" t="s">
        <v>64</v>
      </c>
      <c r="L10" t="s">
        <v>65</v>
      </c>
      <c r="M10" t="s">
        <v>66</v>
      </c>
      <c r="N10" t="s">
        <v>285</v>
      </c>
      <c r="O10" t="s">
        <v>203</v>
      </c>
      <c r="P10" t="str">
        <f t="shared" si="0"/>
        <v xml:space="preserve">N A   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44.9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1</v>
      </c>
      <c r="BJ10" s="3">
        <v>0.2</v>
      </c>
      <c r="BK10" s="3">
        <v>1</v>
      </c>
      <c r="BL10" s="3">
        <v>126.54</v>
      </c>
      <c r="BM10" s="3">
        <v>18.98</v>
      </c>
      <c r="BN10" s="3">
        <v>145.52000000000001</v>
      </c>
      <c r="BO10" s="3">
        <v>145.52000000000001</v>
      </c>
      <c r="BQ10" t="s">
        <v>214</v>
      </c>
      <c r="BR10" t="s">
        <v>286</v>
      </c>
      <c r="BS10" s="1">
        <v>44998</v>
      </c>
      <c r="BT10" s="2">
        <v>0.40277777777777773</v>
      </c>
      <c r="BU10" t="s">
        <v>287</v>
      </c>
      <c r="BV10" t="s">
        <v>69</v>
      </c>
      <c r="BY10">
        <v>1200</v>
      </c>
      <c r="BZ10" t="s">
        <v>97</v>
      </c>
      <c r="CA10" t="s">
        <v>121</v>
      </c>
      <c r="CC10" t="s">
        <v>66</v>
      </c>
      <c r="CD10">
        <v>7560</v>
      </c>
      <c r="CE10" t="s">
        <v>83</v>
      </c>
      <c r="CF10" s="1">
        <v>44999</v>
      </c>
      <c r="CI10">
        <v>1</v>
      </c>
      <c r="CJ10">
        <v>1</v>
      </c>
      <c r="CK10">
        <v>31</v>
      </c>
      <c r="CL10" t="s">
        <v>72</v>
      </c>
    </row>
    <row r="11" spans="1:92" x14ac:dyDescent="0.3">
      <c r="A11" t="s">
        <v>258</v>
      </c>
      <c r="B11" t="s">
        <v>259</v>
      </c>
      <c r="C11" t="s">
        <v>61</v>
      </c>
      <c r="E11" t="str">
        <f>"009943285301"</f>
        <v>009943285301</v>
      </c>
      <c r="F11" s="4">
        <v>44995</v>
      </c>
      <c r="G11">
        <v>202312</v>
      </c>
      <c r="H11" t="s">
        <v>119</v>
      </c>
      <c r="I11" t="s">
        <v>120</v>
      </c>
      <c r="J11" t="s">
        <v>260</v>
      </c>
      <c r="K11" t="s">
        <v>64</v>
      </c>
      <c r="L11" t="s">
        <v>65</v>
      </c>
      <c r="M11" t="s">
        <v>66</v>
      </c>
      <c r="N11" t="s">
        <v>288</v>
      </c>
      <c r="O11" t="s">
        <v>96</v>
      </c>
      <c r="P11" t="str">
        <f t="shared" si="0"/>
        <v xml:space="preserve">N A  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5.25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46.31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6.7</v>
      </c>
      <c r="BJ11" s="3">
        <v>9.9</v>
      </c>
      <c r="BK11" s="3">
        <v>10</v>
      </c>
      <c r="BL11" s="3">
        <v>135.76</v>
      </c>
      <c r="BM11" s="3">
        <v>20.36</v>
      </c>
      <c r="BN11" s="3">
        <v>156.12</v>
      </c>
      <c r="BO11" s="3">
        <v>156.12</v>
      </c>
      <c r="BQ11" t="s">
        <v>214</v>
      </c>
      <c r="BR11" t="s">
        <v>289</v>
      </c>
      <c r="BS11" s="1">
        <v>44998</v>
      </c>
      <c r="BT11" s="2">
        <v>0.50416666666666665</v>
      </c>
      <c r="BU11" t="s">
        <v>290</v>
      </c>
      <c r="BV11" t="s">
        <v>69</v>
      </c>
      <c r="BY11">
        <v>49450.05</v>
      </c>
      <c r="BZ11" t="s">
        <v>97</v>
      </c>
      <c r="CA11" t="s">
        <v>228</v>
      </c>
      <c r="CC11" t="s">
        <v>66</v>
      </c>
      <c r="CD11">
        <v>7708</v>
      </c>
      <c r="CE11" t="s">
        <v>83</v>
      </c>
      <c r="CF11" s="1">
        <v>44999</v>
      </c>
      <c r="CI11">
        <v>2</v>
      </c>
      <c r="CJ11">
        <v>1</v>
      </c>
      <c r="CK11">
        <v>41</v>
      </c>
      <c r="CL11" t="s">
        <v>72</v>
      </c>
    </row>
    <row r="12" spans="1:92" x14ac:dyDescent="0.3">
      <c r="A12" t="s">
        <v>258</v>
      </c>
      <c r="B12" t="s">
        <v>259</v>
      </c>
      <c r="C12" t="s">
        <v>61</v>
      </c>
      <c r="E12" t="str">
        <f>"009943116629"</f>
        <v>009943116629</v>
      </c>
      <c r="F12" s="4">
        <v>44995</v>
      </c>
      <c r="G12">
        <v>202312</v>
      </c>
      <c r="H12" t="s">
        <v>119</v>
      </c>
      <c r="I12" t="s">
        <v>120</v>
      </c>
      <c r="J12" t="s">
        <v>260</v>
      </c>
      <c r="K12" t="s">
        <v>64</v>
      </c>
      <c r="L12" t="s">
        <v>65</v>
      </c>
      <c r="M12" t="s">
        <v>66</v>
      </c>
      <c r="N12" t="s">
        <v>291</v>
      </c>
      <c r="O12" t="s">
        <v>203</v>
      </c>
      <c r="P12" t="str">
        <f t="shared" si="0"/>
        <v xml:space="preserve">N A  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101.03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1.4</v>
      </c>
      <c r="BJ12" s="3">
        <v>8.9</v>
      </c>
      <c r="BK12" s="3">
        <v>9</v>
      </c>
      <c r="BL12" s="3">
        <v>284.72000000000003</v>
      </c>
      <c r="BM12" s="3">
        <v>42.71</v>
      </c>
      <c r="BN12" s="3">
        <v>327.43</v>
      </c>
      <c r="BO12" s="3">
        <v>327.43</v>
      </c>
      <c r="BQ12" t="s">
        <v>292</v>
      </c>
      <c r="BR12" t="s">
        <v>263</v>
      </c>
      <c r="BS12" s="1">
        <v>44998</v>
      </c>
      <c r="BT12" s="2">
        <v>0.65833333333333333</v>
      </c>
      <c r="BU12" t="s">
        <v>293</v>
      </c>
      <c r="BV12" t="s">
        <v>72</v>
      </c>
      <c r="BW12" t="s">
        <v>103</v>
      </c>
      <c r="BX12" t="s">
        <v>107</v>
      </c>
      <c r="BY12">
        <v>44383.46</v>
      </c>
      <c r="BZ12" t="s">
        <v>97</v>
      </c>
      <c r="CA12" t="s">
        <v>294</v>
      </c>
      <c r="CC12" t="s">
        <v>66</v>
      </c>
      <c r="CD12">
        <v>7441</v>
      </c>
      <c r="CE12" t="s">
        <v>83</v>
      </c>
      <c r="CF12" s="1">
        <v>44999</v>
      </c>
      <c r="CI12">
        <v>1</v>
      </c>
      <c r="CJ12">
        <v>1</v>
      </c>
      <c r="CK12">
        <v>31</v>
      </c>
      <c r="CL12" t="s">
        <v>72</v>
      </c>
    </row>
    <row r="13" spans="1:92" x14ac:dyDescent="0.3">
      <c r="A13" t="s">
        <v>258</v>
      </c>
      <c r="B13" t="s">
        <v>259</v>
      </c>
      <c r="C13" t="s">
        <v>61</v>
      </c>
      <c r="E13" t="str">
        <f>"009943116614"</f>
        <v>009943116614</v>
      </c>
      <c r="F13" s="4">
        <v>44995</v>
      </c>
      <c r="G13">
        <v>202312</v>
      </c>
      <c r="H13" t="s">
        <v>119</v>
      </c>
      <c r="I13" t="s">
        <v>120</v>
      </c>
      <c r="J13" t="s">
        <v>260</v>
      </c>
      <c r="K13" t="s">
        <v>64</v>
      </c>
      <c r="L13" t="s">
        <v>236</v>
      </c>
      <c r="M13" t="s">
        <v>237</v>
      </c>
      <c r="N13" t="s">
        <v>295</v>
      </c>
      <c r="O13" t="s">
        <v>203</v>
      </c>
      <c r="P13" t="str">
        <f t="shared" si="0"/>
        <v xml:space="preserve">N A   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46.4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0.8</v>
      </c>
      <c r="BJ13" s="3">
        <v>2.1</v>
      </c>
      <c r="BK13" s="3">
        <v>3</v>
      </c>
      <c r="BL13" s="3">
        <v>130.76</v>
      </c>
      <c r="BM13" s="3">
        <v>19.61</v>
      </c>
      <c r="BN13" s="3">
        <v>150.37</v>
      </c>
      <c r="BO13" s="3">
        <v>150.37</v>
      </c>
      <c r="BQ13" t="s">
        <v>214</v>
      </c>
      <c r="BR13" t="s">
        <v>263</v>
      </c>
      <c r="BS13" s="1">
        <v>44998</v>
      </c>
      <c r="BT13" s="2">
        <v>0.40972222222222227</v>
      </c>
      <c r="BU13" t="s">
        <v>296</v>
      </c>
      <c r="BV13" t="s">
        <v>69</v>
      </c>
      <c r="BY13">
        <v>10350.74</v>
      </c>
      <c r="BZ13" t="s">
        <v>97</v>
      </c>
      <c r="CA13" t="s">
        <v>212</v>
      </c>
      <c r="CC13" t="s">
        <v>237</v>
      </c>
      <c r="CD13">
        <v>4339</v>
      </c>
      <c r="CE13" t="s">
        <v>83</v>
      </c>
      <c r="CF13" s="1">
        <v>44999</v>
      </c>
      <c r="CI13">
        <v>1</v>
      </c>
      <c r="CJ13">
        <v>1</v>
      </c>
      <c r="CK13">
        <v>33</v>
      </c>
      <c r="CL13" t="s">
        <v>72</v>
      </c>
    </row>
    <row r="14" spans="1:92" x14ac:dyDescent="0.3">
      <c r="A14" t="s">
        <v>258</v>
      </c>
      <c r="B14" t="s">
        <v>259</v>
      </c>
      <c r="C14" t="s">
        <v>61</v>
      </c>
      <c r="E14" t="str">
        <f>"009943116625"</f>
        <v>009943116625</v>
      </c>
      <c r="F14" s="4">
        <v>44995</v>
      </c>
      <c r="G14">
        <v>202312</v>
      </c>
      <c r="H14" t="s">
        <v>119</v>
      </c>
      <c r="I14" t="s">
        <v>120</v>
      </c>
      <c r="J14" t="s">
        <v>260</v>
      </c>
      <c r="K14" t="s">
        <v>64</v>
      </c>
      <c r="L14" t="s">
        <v>119</v>
      </c>
      <c r="M14" t="s">
        <v>120</v>
      </c>
      <c r="N14" t="s">
        <v>297</v>
      </c>
      <c r="O14" t="s">
        <v>203</v>
      </c>
      <c r="P14" t="str">
        <f t="shared" si="0"/>
        <v xml:space="preserve">N A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18.71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15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0.8</v>
      </c>
      <c r="BJ14" s="3">
        <v>2</v>
      </c>
      <c r="BK14" s="3">
        <v>2</v>
      </c>
      <c r="BL14" s="3">
        <v>67.73</v>
      </c>
      <c r="BM14" s="3">
        <v>10.16</v>
      </c>
      <c r="BN14" s="3">
        <v>77.89</v>
      </c>
      <c r="BO14" s="3">
        <v>77.89</v>
      </c>
      <c r="BQ14" t="s">
        <v>214</v>
      </c>
      <c r="BR14" t="s">
        <v>263</v>
      </c>
      <c r="BS14" s="1">
        <v>44998</v>
      </c>
      <c r="BT14" s="2">
        <v>0.65138888888888891</v>
      </c>
      <c r="BU14" t="s">
        <v>298</v>
      </c>
      <c r="BV14" t="s">
        <v>72</v>
      </c>
      <c r="BW14" t="s">
        <v>98</v>
      </c>
      <c r="BX14" t="s">
        <v>148</v>
      </c>
      <c r="BY14">
        <v>9790.11</v>
      </c>
      <c r="BZ14" t="s">
        <v>174</v>
      </c>
      <c r="CA14" t="s">
        <v>162</v>
      </c>
      <c r="CC14" t="s">
        <v>120</v>
      </c>
      <c r="CD14">
        <v>2188</v>
      </c>
      <c r="CE14" t="s">
        <v>83</v>
      </c>
      <c r="CF14" s="1">
        <v>44998</v>
      </c>
      <c r="CI14">
        <v>1</v>
      </c>
      <c r="CJ14">
        <v>1</v>
      </c>
      <c r="CK14">
        <v>32</v>
      </c>
      <c r="CL14" t="s">
        <v>72</v>
      </c>
    </row>
    <row r="15" spans="1:92" x14ac:dyDescent="0.3">
      <c r="A15" t="s">
        <v>258</v>
      </c>
      <c r="B15" t="s">
        <v>259</v>
      </c>
      <c r="C15" t="s">
        <v>61</v>
      </c>
      <c r="E15" t="str">
        <f>"009943116631"</f>
        <v>009943116631</v>
      </c>
      <c r="F15" s="4">
        <v>45000</v>
      </c>
      <c r="G15">
        <v>202312</v>
      </c>
      <c r="H15" t="s">
        <v>119</v>
      </c>
      <c r="I15" t="s">
        <v>120</v>
      </c>
      <c r="J15" t="s">
        <v>260</v>
      </c>
      <c r="K15" t="s">
        <v>64</v>
      </c>
      <c r="L15" t="s">
        <v>101</v>
      </c>
      <c r="M15" t="s">
        <v>102</v>
      </c>
      <c r="N15" t="s">
        <v>299</v>
      </c>
      <c r="O15" t="s">
        <v>67</v>
      </c>
      <c r="P15" t="str">
        <f>"                              "</f>
        <v xml:space="preserve">      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119.69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1.6</v>
      </c>
      <c r="BJ15" s="3">
        <v>9.6</v>
      </c>
      <c r="BK15" s="3">
        <v>10</v>
      </c>
      <c r="BL15" s="3">
        <v>337.31</v>
      </c>
      <c r="BM15" s="3">
        <v>50.6</v>
      </c>
      <c r="BN15" s="3">
        <v>387.91</v>
      </c>
      <c r="BO15" s="3">
        <v>387.91</v>
      </c>
      <c r="BR15" t="s">
        <v>263</v>
      </c>
      <c r="BS15" s="1">
        <v>45001</v>
      </c>
      <c r="BT15" s="2">
        <v>0.47916666666666669</v>
      </c>
      <c r="BU15" t="s">
        <v>300</v>
      </c>
      <c r="BV15" t="s">
        <v>72</v>
      </c>
      <c r="BW15" t="s">
        <v>153</v>
      </c>
      <c r="BX15" t="s">
        <v>204</v>
      </c>
      <c r="BY15">
        <v>47779.199999999997</v>
      </c>
      <c r="BZ15" t="s">
        <v>70</v>
      </c>
      <c r="CA15" t="s">
        <v>183</v>
      </c>
      <c r="CC15" t="s">
        <v>102</v>
      </c>
      <c r="CD15">
        <v>4000</v>
      </c>
      <c r="CE15" t="s">
        <v>83</v>
      </c>
      <c r="CF15" s="1">
        <v>45002</v>
      </c>
      <c r="CI15">
        <v>1</v>
      </c>
      <c r="CJ15">
        <v>1</v>
      </c>
      <c r="CK15">
        <v>21</v>
      </c>
      <c r="CL15" t="s">
        <v>72</v>
      </c>
    </row>
    <row r="16" spans="1:92" x14ac:dyDescent="0.3">
      <c r="A16" t="s">
        <v>258</v>
      </c>
      <c r="B16" t="s">
        <v>259</v>
      </c>
      <c r="C16" t="s">
        <v>61</v>
      </c>
      <c r="E16" t="str">
        <f>"009943116632"</f>
        <v>009943116632</v>
      </c>
      <c r="F16" s="4">
        <v>45000</v>
      </c>
      <c r="G16">
        <v>202312</v>
      </c>
      <c r="H16" t="s">
        <v>119</v>
      </c>
      <c r="I16" t="s">
        <v>120</v>
      </c>
      <c r="J16" t="s">
        <v>260</v>
      </c>
      <c r="K16" t="s">
        <v>64</v>
      </c>
      <c r="L16" t="s">
        <v>119</v>
      </c>
      <c r="M16" t="s">
        <v>120</v>
      </c>
      <c r="N16" t="s">
        <v>301</v>
      </c>
      <c r="O16" t="s">
        <v>203</v>
      </c>
      <c r="P16" t="str">
        <f>"                              "</f>
        <v xml:space="preserve">  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20.81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1.3</v>
      </c>
      <c r="BJ16" s="3">
        <v>8.8000000000000007</v>
      </c>
      <c r="BK16" s="3">
        <v>9</v>
      </c>
      <c r="BL16" s="3">
        <v>58.65</v>
      </c>
      <c r="BM16" s="3">
        <v>8.8000000000000007</v>
      </c>
      <c r="BN16" s="3">
        <v>67.45</v>
      </c>
      <c r="BO16" s="3">
        <v>67.45</v>
      </c>
      <c r="BR16" t="s">
        <v>263</v>
      </c>
      <c r="BS16" s="1">
        <v>45001</v>
      </c>
      <c r="BT16" s="2">
        <v>0.69444444444444453</v>
      </c>
      <c r="BU16" t="s">
        <v>219</v>
      </c>
      <c r="BV16" t="s">
        <v>72</v>
      </c>
      <c r="BW16" t="s">
        <v>98</v>
      </c>
      <c r="BX16" t="s">
        <v>148</v>
      </c>
      <c r="BY16">
        <v>44246.32</v>
      </c>
      <c r="BZ16" t="s">
        <v>97</v>
      </c>
      <c r="CA16" t="s">
        <v>302</v>
      </c>
      <c r="CC16" t="s">
        <v>120</v>
      </c>
      <c r="CD16">
        <v>2196</v>
      </c>
      <c r="CE16" t="s">
        <v>83</v>
      </c>
      <c r="CF16" s="1">
        <v>45002</v>
      </c>
      <c r="CI16">
        <v>1</v>
      </c>
      <c r="CJ16">
        <v>1</v>
      </c>
      <c r="CK16">
        <v>32</v>
      </c>
      <c r="CL16" t="s">
        <v>72</v>
      </c>
    </row>
    <row r="17" spans="1:90" x14ac:dyDescent="0.3">
      <c r="A17" t="s">
        <v>258</v>
      </c>
      <c r="B17" t="s">
        <v>259</v>
      </c>
      <c r="C17" t="s">
        <v>61</v>
      </c>
      <c r="E17" t="str">
        <f>"009943116827"</f>
        <v>009943116827</v>
      </c>
      <c r="F17" s="4">
        <v>45000</v>
      </c>
      <c r="G17">
        <v>202312</v>
      </c>
      <c r="H17" t="s">
        <v>119</v>
      </c>
      <c r="I17" t="s">
        <v>120</v>
      </c>
      <c r="J17" t="s">
        <v>260</v>
      </c>
      <c r="K17" t="s">
        <v>64</v>
      </c>
      <c r="L17" t="s">
        <v>193</v>
      </c>
      <c r="M17" t="s">
        <v>194</v>
      </c>
      <c r="N17" t="s">
        <v>303</v>
      </c>
      <c r="O17" t="s">
        <v>203</v>
      </c>
      <c r="P17" t="str">
        <f>"                              "</f>
        <v xml:space="preserve">   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119.36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4.3</v>
      </c>
      <c r="BJ17" s="3">
        <v>9.1999999999999993</v>
      </c>
      <c r="BK17" s="3">
        <v>10</v>
      </c>
      <c r="BL17" s="3">
        <v>336.38</v>
      </c>
      <c r="BM17" s="3">
        <v>50.46</v>
      </c>
      <c r="BN17" s="3">
        <v>386.84</v>
      </c>
      <c r="BO17" s="3">
        <v>386.84</v>
      </c>
      <c r="BR17" t="s">
        <v>263</v>
      </c>
      <c r="BS17" s="1">
        <v>45001</v>
      </c>
      <c r="BT17" s="2">
        <v>0.48055555555555557</v>
      </c>
      <c r="BU17" t="s">
        <v>304</v>
      </c>
      <c r="BV17" t="s">
        <v>69</v>
      </c>
      <c r="BY17">
        <v>46224</v>
      </c>
      <c r="BZ17" t="s">
        <v>97</v>
      </c>
      <c r="CA17" t="s">
        <v>215</v>
      </c>
      <c r="CC17" t="s">
        <v>194</v>
      </c>
      <c r="CD17">
        <v>4430</v>
      </c>
      <c r="CE17" t="s">
        <v>83</v>
      </c>
      <c r="CF17" s="1">
        <v>45002</v>
      </c>
      <c r="CI17">
        <v>1</v>
      </c>
      <c r="CJ17">
        <v>1</v>
      </c>
      <c r="CK17">
        <v>33</v>
      </c>
      <c r="CL17" t="s">
        <v>72</v>
      </c>
    </row>
    <row r="18" spans="1:90" x14ac:dyDescent="0.3">
      <c r="A18" t="s">
        <v>258</v>
      </c>
      <c r="B18" t="s">
        <v>259</v>
      </c>
      <c r="C18" t="s">
        <v>61</v>
      </c>
      <c r="E18" t="str">
        <f>"009943210516"</f>
        <v>009943210516</v>
      </c>
      <c r="F18" s="4">
        <v>45000</v>
      </c>
      <c r="G18">
        <v>202312</v>
      </c>
      <c r="H18" t="s">
        <v>105</v>
      </c>
      <c r="I18" t="s">
        <v>106</v>
      </c>
      <c r="J18" t="s">
        <v>288</v>
      </c>
      <c r="K18" t="s">
        <v>64</v>
      </c>
      <c r="L18" t="s">
        <v>119</v>
      </c>
      <c r="M18" t="s">
        <v>120</v>
      </c>
      <c r="N18" t="s">
        <v>272</v>
      </c>
      <c r="O18" t="s">
        <v>96</v>
      </c>
      <c r="P18" t="str">
        <f>"NOREF                         "</f>
        <v xml:space="preserve">NOREF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5.25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46.31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1</v>
      </c>
      <c r="BJ18" s="3">
        <v>0.2</v>
      </c>
      <c r="BK18" s="3">
        <v>1</v>
      </c>
      <c r="BL18" s="3">
        <v>135.76</v>
      </c>
      <c r="BM18" s="3">
        <v>20.36</v>
      </c>
      <c r="BN18" s="3">
        <v>156.12</v>
      </c>
      <c r="BO18" s="3">
        <v>156.12</v>
      </c>
      <c r="BQ18" t="s">
        <v>305</v>
      </c>
      <c r="BR18" t="s">
        <v>187</v>
      </c>
      <c r="BS18" s="1">
        <v>45001</v>
      </c>
      <c r="BT18" s="2">
        <v>0.4069444444444445</v>
      </c>
      <c r="BU18" t="s">
        <v>281</v>
      </c>
      <c r="BV18" t="s">
        <v>69</v>
      </c>
      <c r="BY18">
        <v>1200</v>
      </c>
      <c r="BZ18" t="s">
        <v>97</v>
      </c>
      <c r="CA18" t="s">
        <v>149</v>
      </c>
      <c r="CC18" t="s">
        <v>120</v>
      </c>
      <c r="CD18">
        <v>2013</v>
      </c>
      <c r="CE18" t="s">
        <v>83</v>
      </c>
      <c r="CF18" s="1">
        <v>45001</v>
      </c>
      <c r="CI18">
        <v>1</v>
      </c>
      <c r="CJ18">
        <v>1</v>
      </c>
      <c r="CK18">
        <v>41</v>
      </c>
      <c r="CL18" t="s">
        <v>72</v>
      </c>
    </row>
    <row r="19" spans="1:90" x14ac:dyDescent="0.3">
      <c r="A19" t="s">
        <v>258</v>
      </c>
      <c r="B19" t="s">
        <v>259</v>
      </c>
      <c r="C19" t="s">
        <v>61</v>
      </c>
      <c r="E19" t="str">
        <f>"009943210517"</f>
        <v>009943210517</v>
      </c>
      <c r="F19" s="4">
        <v>45000</v>
      </c>
      <c r="G19">
        <v>202312</v>
      </c>
      <c r="H19" t="s">
        <v>105</v>
      </c>
      <c r="I19" t="s">
        <v>106</v>
      </c>
      <c r="J19" t="s">
        <v>288</v>
      </c>
      <c r="K19" t="s">
        <v>64</v>
      </c>
      <c r="L19" t="s">
        <v>119</v>
      </c>
      <c r="M19" t="s">
        <v>120</v>
      </c>
      <c r="N19" t="s">
        <v>272</v>
      </c>
      <c r="O19" t="s">
        <v>96</v>
      </c>
      <c r="P19" t="str">
        <f>"NOREF                         "</f>
        <v xml:space="preserve">NOREF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5.25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46.31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1</v>
      </c>
      <c r="BJ19" s="3">
        <v>0.2</v>
      </c>
      <c r="BK19" s="3">
        <v>1</v>
      </c>
      <c r="BL19" s="3">
        <v>135.76</v>
      </c>
      <c r="BM19" s="3">
        <v>20.36</v>
      </c>
      <c r="BN19" s="3">
        <v>156.12</v>
      </c>
      <c r="BO19" s="3">
        <v>156.12</v>
      </c>
      <c r="BQ19" t="s">
        <v>306</v>
      </c>
      <c r="BR19" t="s">
        <v>187</v>
      </c>
      <c r="BS19" s="1">
        <v>45001</v>
      </c>
      <c r="BT19" s="2">
        <v>0.41388888888888892</v>
      </c>
      <c r="BU19" t="s">
        <v>281</v>
      </c>
      <c r="BV19" t="s">
        <v>69</v>
      </c>
      <c r="BY19">
        <v>1200</v>
      </c>
      <c r="BZ19" t="s">
        <v>97</v>
      </c>
      <c r="CA19" t="s">
        <v>149</v>
      </c>
      <c r="CC19" t="s">
        <v>120</v>
      </c>
      <c r="CD19">
        <v>2013</v>
      </c>
      <c r="CE19" t="s">
        <v>83</v>
      </c>
      <c r="CF19" s="1">
        <v>45001</v>
      </c>
      <c r="CI19">
        <v>1</v>
      </c>
      <c r="CJ19">
        <v>1</v>
      </c>
      <c r="CK19">
        <v>41</v>
      </c>
      <c r="CL19" t="s">
        <v>72</v>
      </c>
    </row>
    <row r="20" spans="1:90" x14ac:dyDescent="0.3">
      <c r="A20" t="s">
        <v>258</v>
      </c>
      <c r="B20" t="s">
        <v>259</v>
      </c>
      <c r="C20" t="s">
        <v>61</v>
      </c>
      <c r="E20" t="str">
        <f>"009942989025"</f>
        <v>009942989025</v>
      </c>
      <c r="F20" s="4">
        <v>45000</v>
      </c>
      <c r="G20">
        <v>202312</v>
      </c>
      <c r="H20" t="s">
        <v>119</v>
      </c>
      <c r="I20" t="s">
        <v>120</v>
      </c>
      <c r="J20" t="s">
        <v>288</v>
      </c>
      <c r="K20" t="s">
        <v>64</v>
      </c>
      <c r="L20" t="s">
        <v>119</v>
      </c>
      <c r="M20" t="s">
        <v>120</v>
      </c>
      <c r="N20" t="s">
        <v>272</v>
      </c>
      <c r="O20" t="s">
        <v>67</v>
      </c>
      <c r="P20" t="str">
        <f>"..                            "</f>
        <v xml:space="preserve">..   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18.71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0.6</v>
      </c>
      <c r="BJ20" s="3">
        <v>1</v>
      </c>
      <c r="BK20" s="3">
        <v>1</v>
      </c>
      <c r="BL20" s="3">
        <v>52.72</v>
      </c>
      <c r="BM20" s="3">
        <v>7.91</v>
      </c>
      <c r="BN20" s="3">
        <v>60.63</v>
      </c>
      <c r="BO20" s="3">
        <v>60.63</v>
      </c>
      <c r="BR20" t="s">
        <v>235</v>
      </c>
      <c r="BS20" s="1">
        <v>45001</v>
      </c>
      <c r="BT20" s="2">
        <v>0.4145833333333333</v>
      </c>
      <c r="BU20" t="s">
        <v>281</v>
      </c>
      <c r="BV20" t="s">
        <v>69</v>
      </c>
      <c r="BY20">
        <v>4878.59</v>
      </c>
      <c r="BZ20" t="s">
        <v>70</v>
      </c>
      <c r="CA20" t="s">
        <v>149</v>
      </c>
      <c r="CC20" t="s">
        <v>120</v>
      </c>
      <c r="CD20">
        <v>2013</v>
      </c>
      <c r="CE20" t="s">
        <v>83</v>
      </c>
      <c r="CF20" s="1">
        <v>45001</v>
      </c>
      <c r="CI20">
        <v>1</v>
      </c>
      <c r="CJ20">
        <v>1</v>
      </c>
      <c r="CK20">
        <v>22</v>
      </c>
      <c r="CL20" t="s">
        <v>72</v>
      </c>
    </row>
    <row r="21" spans="1:90" x14ac:dyDescent="0.3">
      <c r="A21" t="s">
        <v>258</v>
      </c>
      <c r="B21" t="s">
        <v>259</v>
      </c>
      <c r="C21" t="s">
        <v>61</v>
      </c>
      <c r="E21" t="str">
        <f>"009943149890"</f>
        <v>009943149890</v>
      </c>
      <c r="F21" s="4">
        <v>44993</v>
      </c>
      <c r="G21">
        <v>202312</v>
      </c>
      <c r="H21" t="s">
        <v>119</v>
      </c>
      <c r="I21" t="s">
        <v>120</v>
      </c>
      <c r="J21" t="s">
        <v>260</v>
      </c>
      <c r="K21" t="s">
        <v>64</v>
      </c>
      <c r="L21" t="s">
        <v>90</v>
      </c>
      <c r="M21" t="s">
        <v>91</v>
      </c>
      <c r="N21" t="s">
        <v>307</v>
      </c>
      <c r="O21" t="s">
        <v>203</v>
      </c>
      <c r="P21" t="str">
        <f>"N A                           "</f>
        <v xml:space="preserve">N A   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18.71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1.2</v>
      </c>
      <c r="BJ21" s="3">
        <v>2.1</v>
      </c>
      <c r="BK21" s="3">
        <v>3</v>
      </c>
      <c r="BL21" s="3">
        <v>52.73</v>
      </c>
      <c r="BM21" s="3">
        <v>7.91</v>
      </c>
      <c r="BN21" s="3">
        <v>60.64</v>
      </c>
      <c r="BO21" s="3">
        <v>60.64</v>
      </c>
      <c r="BQ21" t="s">
        <v>214</v>
      </c>
      <c r="BR21" t="s">
        <v>263</v>
      </c>
      <c r="BS21" s="1">
        <v>44994</v>
      </c>
      <c r="BT21" s="2">
        <v>0.57708333333333328</v>
      </c>
      <c r="BU21" t="s">
        <v>308</v>
      </c>
      <c r="BV21" t="s">
        <v>72</v>
      </c>
      <c r="BW21" t="s">
        <v>103</v>
      </c>
      <c r="BX21" t="s">
        <v>155</v>
      </c>
      <c r="BY21">
        <v>10263.34</v>
      </c>
      <c r="BZ21" t="s">
        <v>97</v>
      </c>
      <c r="CA21" t="s">
        <v>188</v>
      </c>
      <c r="CC21" t="s">
        <v>91</v>
      </c>
      <c r="CD21">
        <v>1459</v>
      </c>
      <c r="CE21" t="s">
        <v>83</v>
      </c>
      <c r="CF21" s="1">
        <v>44995</v>
      </c>
      <c r="CI21">
        <v>1</v>
      </c>
      <c r="CJ21">
        <v>1</v>
      </c>
      <c r="CK21">
        <v>32</v>
      </c>
      <c r="CL21" t="s">
        <v>72</v>
      </c>
    </row>
    <row r="22" spans="1:90" x14ac:dyDescent="0.3">
      <c r="A22" t="s">
        <v>258</v>
      </c>
      <c r="B22" t="s">
        <v>259</v>
      </c>
      <c r="C22" t="s">
        <v>61</v>
      </c>
      <c r="E22" t="str">
        <f>"009943149888"</f>
        <v>009943149888</v>
      </c>
      <c r="F22" s="4">
        <v>44993</v>
      </c>
      <c r="G22">
        <v>202312</v>
      </c>
      <c r="H22" t="s">
        <v>119</v>
      </c>
      <c r="I22" t="s">
        <v>120</v>
      </c>
      <c r="J22" t="s">
        <v>260</v>
      </c>
      <c r="K22" t="s">
        <v>64</v>
      </c>
      <c r="L22" t="s">
        <v>65</v>
      </c>
      <c r="M22" t="s">
        <v>66</v>
      </c>
      <c r="N22" t="s">
        <v>309</v>
      </c>
      <c r="O22" t="s">
        <v>203</v>
      </c>
      <c r="P22" t="str">
        <f>"N A                           "</f>
        <v xml:space="preserve">N A   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44.9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</v>
      </c>
      <c r="BJ22" s="3">
        <v>0.2</v>
      </c>
      <c r="BK22" s="3">
        <v>1</v>
      </c>
      <c r="BL22" s="3">
        <v>126.54</v>
      </c>
      <c r="BM22" s="3">
        <v>18.98</v>
      </c>
      <c r="BN22" s="3">
        <v>145.52000000000001</v>
      </c>
      <c r="BO22" s="3">
        <v>145.52000000000001</v>
      </c>
      <c r="BQ22" t="s">
        <v>214</v>
      </c>
      <c r="BR22" t="s">
        <v>263</v>
      </c>
      <c r="BS22" s="1">
        <v>44994</v>
      </c>
      <c r="BT22" s="2">
        <v>0.42708333333333331</v>
      </c>
      <c r="BU22" t="s">
        <v>310</v>
      </c>
      <c r="BV22" t="s">
        <v>69</v>
      </c>
      <c r="BY22">
        <v>1200</v>
      </c>
      <c r="BZ22" t="s">
        <v>97</v>
      </c>
      <c r="CA22" t="s">
        <v>311</v>
      </c>
      <c r="CC22" t="s">
        <v>66</v>
      </c>
      <c r="CD22">
        <v>7925</v>
      </c>
      <c r="CE22" t="s">
        <v>83</v>
      </c>
      <c r="CF22" s="1">
        <v>44995</v>
      </c>
      <c r="CI22">
        <v>1</v>
      </c>
      <c r="CJ22">
        <v>1</v>
      </c>
      <c r="CK22">
        <v>31</v>
      </c>
      <c r="CL22" t="s">
        <v>72</v>
      </c>
    </row>
    <row r="23" spans="1:90" x14ac:dyDescent="0.3">
      <c r="A23" t="s">
        <v>258</v>
      </c>
      <c r="B23" t="s">
        <v>259</v>
      </c>
      <c r="C23" t="s">
        <v>61</v>
      </c>
      <c r="E23" t="str">
        <f>"009942840099"</f>
        <v>009942840099</v>
      </c>
      <c r="F23" s="4">
        <v>44993</v>
      </c>
      <c r="G23">
        <v>202312</v>
      </c>
      <c r="H23" t="s">
        <v>208</v>
      </c>
      <c r="I23" t="s">
        <v>209</v>
      </c>
      <c r="J23" t="s">
        <v>312</v>
      </c>
      <c r="K23" t="s">
        <v>64</v>
      </c>
      <c r="L23" t="s">
        <v>119</v>
      </c>
      <c r="M23" t="s">
        <v>120</v>
      </c>
      <c r="N23" t="s">
        <v>272</v>
      </c>
      <c r="O23" t="s">
        <v>67</v>
      </c>
      <c r="P23" t="str">
        <f>"NA                            "</f>
        <v xml:space="preserve">NA   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18.71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1</v>
      </c>
      <c r="BJ23" s="3">
        <v>0.2</v>
      </c>
      <c r="BK23" s="3">
        <v>1</v>
      </c>
      <c r="BL23" s="3">
        <v>52.72</v>
      </c>
      <c r="BM23" s="3">
        <v>7.91</v>
      </c>
      <c r="BN23" s="3">
        <v>60.63</v>
      </c>
      <c r="BO23" s="3">
        <v>60.63</v>
      </c>
      <c r="BQ23" t="s">
        <v>313</v>
      </c>
      <c r="BR23" t="s">
        <v>314</v>
      </c>
      <c r="BS23" s="1">
        <v>44994</v>
      </c>
      <c r="BT23" s="2">
        <v>0.33263888888888887</v>
      </c>
      <c r="BU23" t="s">
        <v>275</v>
      </c>
      <c r="BV23" t="s">
        <v>69</v>
      </c>
      <c r="BY23">
        <v>1200</v>
      </c>
      <c r="BZ23" t="s">
        <v>70</v>
      </c>
      <c r="CA23" t="s">
        <v>149</v>
      </c>
      <c r="CC23" t="s">
        <v>120</v>
      </c>
      <c r="CD23">
        <v>2013</v>
      </c>
      <c r="CE23" t="s">
        <v>83</v>
      </c>
      <c r="CF23" s="1">
        <v>44994</v>
      </c>
      <c r="CI23">
        <v>1</v>
      </c>
      <c r="CJ23">
        <v>1</v>
      </c>
      <c r="CK23">
        <v>22</v>
      </c>
      <c r="CL23" t="s">
        <v>72</v>
      </c>
    </row>
    <row r="24" spans="1:90" x14ac:dyDescent="0.3">
      <c r="A24" t="s">
        <v>258</v>
      </c>
      <c r="B24" t="s">
        <v>259</v>
      </c>
      <c r="C24" t="s">
        <v>61</v>
      </c>
      <c r="E24" t="str">
        <f>"009943149887"</f>
        <v>009943149887</v>
      </c>
      <c r="F24" s="4">
        <v>44993</v>
      </c>
      <c r="G24">
        <v>202312</v>
      </c>
      <c r="H24" t="s">
        <v>119</v>
      </c>
      <c r="I24" t="s">
        <v>120</v>
      </c>
      <c r="J24" t="s">
        <v>260</v>
      </c>
      <c r="K24" t="s">
        <v>64</v>
      </c>
      <c r="L24" t="s">
        <v>119</v>
      </c>
      <c r="M24" t="s">
        <v>120</v>
      </c>
      <c r="N24" t="s">
        <v>315</v>
      </c>
      <c r="O24" t="s">
        <v>203</v>
      </c>
      <c r="P24" t="str">
        <f>"N A                           "</f>
        <v xml:space="preserve">N A  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20.81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2.6</v>
      </c>
      <c r="BJ24" s="3">
        <v>9</v>
      </c>
      <c r="BK24" s="3">
        <v>9</v>
      </c>
      <c r="BL24" s="3">
        <v>58.65</v>
      </c>
      <c r="BM24" s="3">
        <v>8.8000000000000007</v>
      </c>
      <c r="BN24" s="3">
        <v>67.45</v>
      </c>
      <c r="BO24" s="3">
        <v>67.45</v>
      </c>
      <c r="BQ24" t="s">
        <v>214</v>
      </c>
      <c r="BR24" t="s">
        <v>263</v>
      </c>
      <c r="BS24" s="1">
        <v>44999</v>
      </c>
      <c r="BT24" s="2">
        <v>0.4770833333333333</v>
      </c>
      <c r="BU24" t="s">
        <v>316</v>
      </c>
      <c r="BV24" t="s">
        <v>72</v>
      </c>
      <c r="BW24" t="s">
        <v>103</v>
      </c>
      <c r="BX24" t="s">
        <v>155</v>
      </c>
      <c r="BY24">
        <v>44971.7</v>
      </c>
      <c r="BZ24" t="s">
        <v>97</v>
      </c>
      <c r="CA24" t="s">
        <v>133</v>
      </c>
      <c r="CC24" t="s">
        <v>120</v>
      </c>
      <c r="CD24">
        <v>2065</v>
      </c>
      <c r="CE24" t="s">
        <v>83</v>
      </c>
      <c r="CF24" s="1">
        <v>45000</v>
      </c>
      <c r="CI24">
        <v>1</v>
      </c>
      <c r="CJ24">
        <v>4</v>
      </c>
      <c r="CK24">
        <v>32</v>
      </c>
      <c r="CL24" t="s">
        <v>72</v>
      </c>
    </row>
    <row r="25" spans="1:90" x14ac:dyDescent="0.3">
      <c r="A25" t="s">
        <v>258</v>
      </c>
      <c r="B25" t="s">
        <v>259</v>
      </c>
      <c r="C25" t="s">
        <v>61</v>
      </c>
      <c r="E25" t="str">
        <f>"009943149947"</f>
        <v>009943149947</v>
      </c>
      <c r="F25" s="4">
        <v>44993</v>
      </c>
      <c r="G25">
        <v>202312</v>
      </c>
      <c r="H25" t="s">
        <v>119</v>
      </c>
      <c r="I25" t="s">
        <v>120</v>
      </c>
      <c r="J25" t="s">
        <v>260</v>
      </c>
      <c r="K25" t="s">
        <v>64</v>
      </c>
      <c r="L25" t="s">
        <v>105</v>
      </c>
      <c r="M25" t="s">
        <v>106</v>
      </c>
      <c r="N25" t="s">
        <v>317</v>
      </c>
      <c r="O25" t="s">
        <v>203</v>
      </c>
      <c r="P25" t="str">
        <f>"N A                           "</f>
        <v xml:space="preserve">N A   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44.9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1.2</v>
      </c>
      <c r="BJ25" s="3">
        <v>2.2000000000000002</v>
      </c>
      <c r="BK25" s="3">
        <v>3</v>
      </c>
      <c r="BL25" s="3">
        <v>126.54</v>
      </c>
      <c r="BM25" s="3">
        <v>18.98</v>
      </c>
      <c r="BN25" s="3">
        <v>145.52000000000001</v>
      </c>
      <c r="BO25" s="3">
        <v>145.52000000000001</v>
      </c>
      <c r="BQ25" t="s">
        <v>214</v>
      </c>
      <c r="BR25" t="s">
        <v>263</v>
      </c>
      <c r="BS25" s="1">
        <v>44994</v>
      </c>
      <c r="BT25" s="2">
        <v>0.33402777777777781</v>
      </c>
      <c r="BU25" t="s">
        <v>318</v>
      </c>
      <c r="BV25" t="s">
        <v>69</v>
      </c>
      <c r="BY25">
        <v>11228.45</v>
      </c>
      <c r="BZ25" t="s">
        <v>97</v>
      </c>
      <c r="CA25" t="s">
        <v>231</v>
      </c>
      <c r="CC25" t="s">
        <v>106</v>
      </c>
      <c r="CD25">
        <v>81</v>
      </c>
      <c r="CE25" t="s">
        <v>83</v>
      </c>
      <c r="CF25" s="1">
        <v>44994</v>
      </c>
      <c r="CI25">
        <v>1</v>
      </c>
      <c r="CJ25">
        <v>1</v>
      </c>
      <c r="CK25">
        <v>31</v>
      </c>
      <c r="CL25" t="s">
        <v>72</v>
      </c>
    </row>
    <row r="26" spans="1:90" x14ac:dyDescent="0.3">
      <c r="A26" t="s">
        <v>258</v>
      </c>
      <c r="B26" t="s">
        <v>259</v>
      </c>
      <c r="C26" t="s">
        <v>61</v>
      </c>
      <c r="E26" t="str">
        <f>"009940447999"</f>
        <v>009940447999</v>
      </c>
      <c r="F26" s="4">
        <v>44993</v>
      </c>
      <c r="G26">
        <v>202312</v>
      </c>
      <c r="H26" t="s">
        <v>65</v>
      </c>
      <c r="I26" t="s">
        <v>66</v>
      </c>
      <c r="J26" t="s">
        <v>288</v>
      </c>
      <c r="K26" t="s">
        <v>64</v>
      </c>
      <c r="L26" t="s">
        <v>119</v>
      </c>
      <c r="M26" t="s">
        <v>120</v>
      </c>
      <c r="N26" t="s">
        <v>319</v>
      </c>
      <c r="O26" t="s">
        <v>67</v>
      </c>
      <c r="P26" t="str">
        <f>"                              "</f>
        <v xml:space="preserve">        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29.93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0.5</v>
      </c>
      <c r="BJ26" s="3">
        <v>2.1</v>
      </c>
      <c r="BK26" s="3">
        <v>2.5</v>
      </c>
      <c r="BL26" s="3">
        <v>84.35</v>
      </c>
      <c r="BM26" s="3">
        <v>12.65</v>
      </c>
      <c r="BN26" s="3">
        <v>97</v>
      </c>
      <c r="BO26" s="3">
        <v>97</v>
      </c>
      <c r="BQ26" t="s">
        <v>313</v>
      </c>
      <c r="BR26" t="s">
        <v>320</v>
      </c>
      <c r="BS26" s="1">
        <v>44994</v>
      </c>
      <c r="BT26" s="2">
        <v>0.33194444444444443</v>
      </c>
      <c r="BU26" t="s">
        <v>275</v>
      </c>
      <c r="BV26" t="s">
        <v>69</v>
      </c>
      <c r="BY26">
        <v>10660.44</v>
      </c>
      <c r="BZ26" t="s">
        <v>70</v>
      </c>
      <c r="CA26" t="s">
        <v>149</v>
      </c>
      <c r="CC26" t="s">
        <v>120</v>
      </c>
      <c r="CD26">
        <v>2013</v>
      </c>
      <c r="CE26" t="s">
        <v>83</v>
      </c>
      <c r="CF26" s="1">
        <v>44994</v>
      </c>
      <c r="CI26">
        <v>1</v>
      </c>
      <c r="CJ26">
        <v>1</v>
      </c>
      <c r="CK26">
        <v>21</v>
      </c>
      <c r="CL26" t="s">
        <v>72</v>
      </c>
    </row>
    <row r="27" spans="1:90" x14ac:dyDescent="0.3">
      <c r="A27" t="s">
        <v>258</v>
      </c>
      <c r="B27" t="s">
        <v>259</v>
      </c>
      <c r="C27" t="s">
        <v>61</v>
      </c>
      <c r="E27" t="str">
        <f>"009942776645"</f>
        <v>009942776645</v>
      </c>
      <c r="F27" s="4">
        <v>44993</v>
      </c>
      <c r="G27">
        <v>202312</v>
      </c>
      <c r="H27" t="s">
        <v>65</v>
      </c>
      <c r="I27" t="s">
        <v>66</v>
      </c>
      <c r="J27" t="s">
        <v>321</v>
      </c>
      <c r="K27" t="s">
        <v>64</v>
      </c>
      <c r="L27" t="s">
        <v>119</v>
      </c>
      <c r="M27" t="s">
        <v>120</v>
      </c>
      <c r="N27" t="s">
        <v>272</v>
      </c>
      <c r="O27" t="s">
        <v>67</v>
      </c>
      <c r="P27" t="str">
        <f>"                              "</f>
        <v xml:space="preserve">      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23.95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0.2</v>
      </c>
      <c r="BJ27" s="3">
        <v>1.4</v>
      </c>
      <c r="BK27" s="3">
        <v>1.5</v>
      </c>
      <c r="BL27" s="3">
        <v>67.489999999999995</v>
      </c>
      <c r="BM27" s="3">
        <v>10.119999999999999</v>
      </c>
      <c r="BN27" s="3">
        <v>77.61</v>
      </c>
      <c r="BO27" s="3">
        <v>77.61</v>
      </c>
      <c r="BQ27" t="s">
        <v>305</v>
      </c>
      <c r="BR27" t="s">
        <v>322</v>
      </c>
      <c r="BS27" s="1">
        <v>44994</v>
      </c>
      <c r="BT27" s="2">
        <v>0.33194444444444443</v>
      </c>
      <c r="BU27" t="s">
        <v>275</v>
      </c>
      <c r="BV27" t="s">
        <v>69</v>
      </c>
      <c r="BY27">
        <v>6847.5</v>
      </c>
      <c r="BZ27" t="s">
        <v>70</v>
      </c>
      <c r="CA27" t="s">
        <v>149</v>
      </c>
      <c r="CC27" t="s">
        <v>120</v>
      </c>
      <c r="CD27">
        <v>2016</v>
      </c>
      <c r="CE27" t="s">
        <v>83</v>
      </c>
      <c r="CF27" s="1">
        <v>44994</v>
      </c>
      <c r="CI27">
        <v>1</v>
      </c>
      <c r="CJ27">
        <v>1</v>
      </c>
      <c r="CK27">
        <v>21</v>
      </c>
      <c r="CL27" t="s">
        <v>72</v>
      </c>
    </row>
    <row r="28" spans="1:90" x14ac:dyDescent="0.3">
      <c r="A28" t="s">
        <v>258</v>
      </c>
      <c r="B28" t="s">
        <v>259</v>
      </c>
      <c r="C28" t="s">
        <v>61</v>
      </c>
      <c r="E28" t="str">
        <f>"009943210514"</f>
        <v>009943210514</v>
      </c>
      <c r="F28" s="4">
        <v>44993</v>
      </c>
      <c r="G28">
        <v>202312</v>
      </c>
      <c r="H28" t="s">
        <v>105</v>
      </c>
      <c r="I28" t="s">
        <v>106</v>
      </c>
      <c r="J28" t="s">
        <v>323</v>
      </c>
      <c r="K28" t="s">
        <v>64</v>
      </c>
      <c r="L28" t="s">
        <v>119</v>
      </c>
      <c r="M28" t="s">
        <v>120</v>
      </c>
      <c r="N28" t="s">
        <v>272</v>
      </c>
      <c r="O28" t="s">
        <v>96</v>
      </c>
      <c r="P28" t="str">
        <f>"NOREF                         "</f>
        <v xml:space="preserve">NOREF 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5.25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46.31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2</v>
      </c>
      <c r="BJ28" s="3">
        <v>0.5</v>
      </c>
      <c r="BK28" s="3">
        <v>2</v>
      </c>
      <c r="BL28" s="3">
        <v>135.76</v>
      </c>
      <c r="BM28" s="3">
        <v>20.36</v>
      </c>
      <c r="BN28" s="3">
        <v>156.12</v>
      </c>
      <c r="BO28" s="3">
        <v>156.12</v>
      </c>
      <c r="BQ28" t="s">
        <v>313</v>
      </c>
      <c r="BR28" t="s">
        <v>187</v>
      </c>
      <c r="BS28" s="1">
        <v>44994</v>
      </c>
      <c r="BT28" s="2">
        <v>0.33124999999999999</v>
      </c>
      <c r="BU28" t="s">
        <v>275</v>
      </c>
      <c r="BV28" t="s">
        <v>69</v>
      </c>
      <c r="BY28">
        <v>2400</v>
      </c>
      <c r="BZ28" t="s">
        <v>97</v>
      </c>
      <c r="CA28" t="s">
        <v>149</v>
      </c>
      <c r="CC28" t="s">
        <v>120</v>
      </c>
      <c r="CD28">
        <v>2013</v>
      </c>
      <c r="CE28" t="s">
        <v>83</v>
      </c>
      <c r="CF28" s="1">
        <v>44994</v>
      </c>
      <c r="CI28">
        <v>1</v>
      </c>
      <c r="CJ28">
        <v>1</v>
      </c>
      <c r="CK28">
        <v>41</v>
      </c>
      <c r="CL28" t="s">
        <v>72</v>
      </c>
    </row>
    <row r="29" spans="1:90" x14ac:dyDescent="0.3">
      <c r="A29" t="s">
        <v>258</v>
      </c>
      <c r="B29" t="s">
        <v>259</v>
      </c>
      <c r="C29" t="s">
        <v>61</v>
      </c>
      <c r="E29" t="str">
        <f>"009943210515"</f>
        <v>009943210515</v>
      </c>
      <c r="F29" s="4">
        <v>44993</v>
      </c>
      <c r="G29">
        <v>202312</v>
      </c>
      <c r="H29" t="s">
        <v>105</v>
      </c>
      <c r="I29" t="s">
        <v>106</v>
      </c>
      <c r="J29" t="s">
        <v>324</v>
      </c>
      <c r="K29" t="s">
        <v>64</v>
      </c>
      <c r="L29" t="s">
        <v>119</v>
      </c>
      <c r="M29" t="s">
        <v>120</v>
      </c>
      <c r="N29" t="s">
        <v>272</v>
      </c>
      <c r="O29" t="s">
        <v>96</v>
      </c>
      <c r="P29" t="str">
        <f>"NOREF                         "</f>
        <v xml:space="preserve">NOREF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5.25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46.31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2</v>
      </c>
      <c r="BJ29" s="3">
        <v>0.5</v>
      </c>
      <c r="BK29" s="3">
        <v>2</v>
      </c>
      <c r="BL29" s="3">
        <v>135.76</v>
      </c>
      <c r="BM29" s="3">
        <v>20.36</v>
      </c>
      <c r="BN29" s="3">
        <v>156.12</v>
      </c>
      <c r="BO29" s="3">
        <v>156.12</v>
      </c>
      <c r="BQ29" t="s">
        <v>313</v>
      </c>
      <c r="BR29" t="s">
        <v>187</v>
      </c>
      <c r="BS29" s="1">
        <v>44994</v>
      </c>
      <c r="BT29" s="2">
        <v>0.33263888888888887</v>
      </c>
      <c r="BU29" t="s">
        <v>275</v>
      </c>
      <c r="BV29" t="s">
        <v>69</v>
      </c>
      <c r="BY29">
        <v>2400</v>
      </c>
      <c r="BZ29" t="s">
        <v>97</v>
      </c>
      <c r="CA29" t="s">
        <v>149</v>
      </c>
      <c r="CC29" t="s">
        <v>120</v>
      </c>
      <c r="CD29">
        <v>2013</v>
      </c>
      <c r="CE29" t="s">
        <v>83</v>
      </c>
      <c r="CF29" s="1">
        <v>44994</v>
      </c>
      <c r="CI29">
        <v>1</v>
      </c>
      <c r="CJ29">
        <v>1</v>
      </c>
      <c r="CK29">
        <v>41</v>
      </c>
      <c r="CL29" t="s">
        <v>72</v>
      </c>
    </row>
    <row r="30" spans="1:90" x14ac:dyDescent="0.3">
      <c r="A30" t="s">
        <v>258</v>
      </c>
      <c r="B30" t="s">
        <v>259</v>
      </c>
      <c r="C30" t="s">
        <v>61</v>
      </c>
      <c r="E30" t="str">
        <f>"009943453149"</f>
        <v>009943453149</v>
      </c>
      <c r="F30" s="4">
        <v>45013</v>
      </c>
      <c r="G30">
        <v>202312</v>
      </c>
      <c r="H30" t="s">
        <v>158</v>
      </c>
      <c r="I30" t="s">
        <v>159</v>
      </c>
      <c r="J30" t="s">
        <v>325</v>
      </c>
      <c r="K30" t="s">
        <v>64</v>
      </c>
      <c r="L30" t="s">
        <v>119</v>
      </c>
      <c r="M30" t="s">
        <v>120</v>
      </c>
      <c r="N30" t="s">
        <v>272</v>
      </c>
      <c r="O30" t="s">
        <v>67</v>
      </c>
      <c r="P30" t="str">
        <f t="shared" ref="P30:P39" si="1">"N A                           "</f>
        <v xml:space="preserve">N A   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18.71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</v>
      </c>
      <c r="BJ30" s="3">
        <v>0.2</v>
      </c>
      <c r="BK30" s="3">
        <v>1</v>
      </c>
      <c r="BL30" s="3">
        <v>52.72</v>
      </c>
      <c r="BM30" s="3">
        <v>7.91</v>
      </c>
      <c r="BN30" s="3">
        <v>60.63</v>
      </c>
      <c r="BO30" s="3">
        <v>60.63</v>
      </c>
      <c r="BQ30" t="s">
        <v>313</v>
      </c>
      <c r="BR30" t="s">
        <v>235</v>
      </c>
      <c r="BS30" s="1">
        <v>45014</v>
      </c>
      <c r="BT30" s="2">
        <v>0.41666666666666669</v>
      </c>
      <c r="BU30" t="s">
        <v>147</v>
      </c>
      <c r="BV30" t="s">
        <v>69</v>
      </c>
      <c r="BY30">
        <v>1200</v>
      </c>
      <c r="BZ30" t="s">
        <v>70</v>
      </c>
      <c r="CC30" t="s">
        <v>120</v>
      </c>
      <c r="CD30">
        <v>2013</v>
      </c>
      <c r="CE30" t="s">
        <v>83</v>
      </c>
      <c r="CF30" s="1">
        <v>45015</v>
      </c>
      <c r="CI30">
        <v>1</v>
      </c>
      <c r="CJ30">
        <v>1</v>
      </c>
      <c r="CK30">
        <v>22</v>
      </c>
      <c r="CL30" t="s">
        <v>72</v>
      </c>
    </row>
    <row r="31" spans="1:90" x14ac:dyDescent="0.3">
      <c r="A31" t="s">
        <v>258</v>
      </c>
      <c r="B31" t="s">
        <v>259</v>
      </c>
      <c r="C31" t="s">
        <v>61</v>
      </c>
      <c r="E31" t="str">
        <f>"009943116837"</f>
        <v>009943116837</v>
      </c>
      <c r="F31" s="4">
        <v>44998</v>
      </c>
      <c r="G31">
        <v>202312</v>
      </c>
      <c r="H31" t="s">
        <v>119</v>
      </c>
      <c r="I31" t="s">
        <v>120</v>
      </c>
      <c r="J31" t="s">
        <v>260</v>
      </c>
      <c r="K31" t="s">
        <v>64</v>
      </c>
      <c r="L31" t="s">
        <v>110</v>
      </c>
      <c r="M31" t="s">
        <v>111</v>
      </c>
      <c r="N31" t="s">
        <v>326</v>
      </c>
      <c r="O31" t="s">
        <v>203</v>
      </c>
      <c r="P31" t="str">
        <f t="shared" si="1"/>
        <v xml:space="preserve">N A   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44.9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</v>
      </c>
      <c r="BJ31" s="3">
        <v>0.2</v>
      </c>
      <c r="BK31" s="3">
        <v>1</v>
      </c>
      <c r="BL31" s="3">
        <v>126.54</v>
      </c>
      <c r="BM31" s="3">
        <v>18.98</v>
      </c>
      <c r="BN31" s="3">
        <v>145.52000000000001</v>
      </c>
      <c r="BO31" s="3">
        <v>145.52000000000001</v>
      </c>
      <c r="BQ31" t="s">
        <v>214</v>
      </c>
      <c r="BR31" t="s">
        <v>263</v>
      </c>
      <c r="BS31" s="1">
        <v>44999</v>
      </c>
      <c r="BT31" s="2">
        <v>0.43402777777777773</v>
      </c>
      <c r="BU31" t="s">
        <v>327</v>
      </c>
      <c r="BV31" t="s">
        <v>69</v>
      </c>
      <c r="BY31">
        <v>1200</v>
      </c>
      <c r="BZ31" t="s">
        <v>97</v>
      </c>
      <c r="CA31" t="s">
        <v>175</v>
      </c>
      <c r="CC31" t="s">
        <v>111</v>
      </c>
      <c r="CD31">
        <v>3610</v>
      </c>
      <c r="CE31" t="s">
        <v>83</v>
      </c>
      <c r="CF31" s="1">
        <v>45000</v>
      </c>
      <c r="CI31">
        <v>2</v>
      </c>
      <c r="CJ31">
        <v>1</v>
      </c>
      <c r="CK31">
        <v>31</v>
      </c>
      <c r="CL31" t="s">
        <v>72</v>
      </c>
    </row>
    <row r="32" spans="1:90" x14ac:dyDescent="0.3">
      <c r="A32" t="s">
        <v>258</v>
      </c>
      <c r="B32" t="s">
        <v>259</v>
      </c>
      <c r="C32" t="s">
        <v>61</v>
      </c>
      <c r="E32" t="str">
        <f>"009943116835"</f>
        <v>009943116835</v>
      </c>
      <c r="F32" s="4">
        <v>44998</v>
      </c>
      <c r="G32">
        <v>202312</v>
      </c>
      <c r="H32" t="s">
        <v>119</v>
      </c>
      <c r="I32" t="s">
        <v>120</v>
      </c>
      <c r="J32" t="s">
        <v>260</v>
      </c>
      <c r="K32" t="s">
        <v>64</v>
      </c>
      <c r="L32" t="s">
        <v>105</v>
      </c>
      <c r="M32" t="s">
        <v>106</v>
      </c>
      <c r="N32" t="s">
        <v>328</v>
      </c>
      <c r="O32" t="s">
        <v>203</v>
      </c>
      <c r="P32" t="str">
        <f t="shared" si="1"/>
        <v xml:space="preserve">N A   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44.9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</v>
      </c>
      <c r="BJ32" s="3">
        <v>0.2</v>
      </c>
      <c r="BK32" s="3">
        <v>1</v>
      </c>
      <c r="BL32" s="3">
        <v>126.54</v>
      </c>
      <c r="BM32" s="3">
        <v>18.98</v>
      </c>
      <c r="BN32" s="3">
        <v>145.52000000000001</v>
      </c>
      <c r="BO32" s="3">
        <v>145.52000000000001</v>
      </c>
      <c r="BQ32" t="s">
        <v>214</v>
      </c>
      <c r="BR32" t="s">
        <v>263</v>
      </c>
      <c r="BS32" s="1">
        <v>45000</v>
      </c>
      <c r="BT32" s="2">
        <v>0.43611111111111112</v>
      </c>
      <c r="BU32" t="s">
        <v>329</v>
      </c>
      <c r="BV32" t="s">
        <v>72</v>
      </c>
      <c r="BW32" t="s">
        <v>98</v>
      </c>
      <c r="BX32" t="s">
        <v>156</v>
      </c>
      <c r="BY32">
        <v>1200</v>
      </c>
      <c r="BZ32" t="s">
        <v>97</v>
      </c>
      <c r="CA32" t="s">
        <v>122</v>
      </c>
      <c r="CC32" t="s">
        <v>106</v>
      </c>
      <c r="CD32">
        <v>182</v>
      </c>
      <c r="CE32" t="s">
        <v>83</v>
      </c>
      <c r="CF32" s="1">
        <v>45000</v>
      </c>
      <c r="CI32">
        <v>1</v>
      </c>
      <c r="CJ32">
        <v>2</v>
      </c>
      <c r="CK32">
        <v>31</v>
      </c>
      <c r="CL32" t="s">
        <v>72</v>
      </c>
    </row>
    <row r="33" spans="1:90" x14ac:dyDescent="0.3">
      <c r="A33" t="s">
        <v>258</v>
      </c>
      <c r="B33" t="s">
        <v>259</v>
      </c>
      <c r="C33" t="s">
        <v>61</v>
      </c>
      <c r="E33" t="str">
        <f>"009943116838"</f>
        <v>009943116838</v>
      </c>
      <c r="F33" s="4">
        <v>44998</v>
      </c>
      <c r="G33">
        <v>202312</v>
      </c>
      <c r="H33" t="s">
        <v>119</v>
      </c>
      <c r="I33" t="s">
        <v>120</v>
      </c>
      <c r="J33" t="s">
        <v>260</v>
      </c>
      <c r="K33" t="s">
        <v>64</v>
      </c>
      <c r="L33" t="s">
        <v>119</v>
      </c>
      <c r="M33" t="s">
        <v>120</v>
      </c>
      <c r="N33" t="s">
        <v>330</v>
      </c>
      <c r="O33" t="s">
        <v>96</v>
      </c>
      <c r="P33" t="str">
        <f t="shared" si="1"/>
        <v xml:space="preserve">N A   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5.25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35.729999999999997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1.5</v>
      </c>
      <c r="BJ33" s="3">
        <v>8.6999999999999993</v>
      </c>
      <c r="BK33" s="3">
        <v>9</v>
      </c>
      <c r="BL33" s="3">
        <v>105.95</v>
      </c>
      <c r="BM33" s="3">
        <v>15.89</v>
      </c>
      <c r="BN33" s="3">
        <v>121.84</v>
      </c>
      <c r="BO33" s="3">
        <v>121.84</v>
      </c>
      <c r="BQ33" t="s">
        <v>331</v>
      </c>
      <c r="BR33" t="s">
        <v>263</v>
      </c>
      <c r="BS33" s="1">
        <v>45002</v>
      </c>
      <c r="BT33" s="2">
        <v>0.29583333333333334</v>
      </c>
      <c r="BU33" t="s">
        <v>219</v>
      </c>
      <c r="BV33" t="s">
        <v>72</v>
      </c>
      <c r="BW33" t="s">
        <v>86</v>
      </c>
      <c r="BX33" t="s">
        <v>148</v>
      </c>
      <c r="BY33">
        <v>43479.07</v>
      </c>
      <c r="BZ33" t="s">
        <v>97</v>
      </c>
      <c r="CC33" t="s">
        <v>120</v>
      </c>
      <c r="CD33">
        <v>2196</v>
      </c>
      <c r="CE33" t="s">
        <v>83</v>
      </c>
      <c r="CF33" s="1">
        <v>45002</v>
      </c>
      <c r="CI33">
        <v>1</v>
      </c>
      <c r="CJ33">
        <v>4</v>
      </c>
      <c r="CK33">
        <v>42</v>
      </c>
      <c r="CL33" t="s">
        <v>72</v>
      </c>
    </row>
    <row r="34" spans="1:90" x14ac:dyDescent="0.3">
      <c r="A34" t="s">
        <v>258</v>
      </c>
      <c r="B34" t="s">
        <v>259</v>
      </c>
      <c r="C34" t="s">
        <v>61</v>
      </c>
      <c r="E34" t="str">
        <f>"009943116839"</f>
        <v>009943116839</v>
      </c>
      <c r="F34" s="4">
        <v>44998</v>
      </c>
      <c r="G34">
        <v>202312</v>
      </c>
      <c r="H34" t="s">
        <v>119</v>
      </c>
      <c r="I34" t="s">
        <v>120</v>
      </c>
      <c r="J34" t="s">
        <v>260</v>
      </c>
      <c r="K34" t="s">
        <v>64</v>
      </c>
      <c r="L34" t="s">
        <v>62</v>
      </c>
      <c r="M34" t="s">
        <v>63</v>
      </c>
      <c r="N34" t="s">
        <v>332</v>
      </c>
      <c r="O34" t="s">
        <v>203</v>
      </c>
      <c r="P34" t="str">
        <f t="shared" si="1"/>
        <v xml:space="preserve">N A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18.71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0.8</v>
      </c>
      <c r="BJ34" s="3">
        <v>2.2000000000000002</v>
      </c>
      <c r="BK34" s="3">
        <v>3</v>
      </c>
      <c r="BL34" s="3">
        <v>52.73</v>
      </c>
      <c r="BM34" s="3">
        <v>7.91</v>
      </c>
      <c r="BN34" s="3">
        <v>60.64</v>
      </c>
      <c r="BO34" s="3">
        <v>60.64</v>
      </c>
      <c r="BQ34" t="s">
        <v>214</v>
      </c>
      <c r="BR34" t="s">
        <v>263</v>
      </c>
      <c r="BS34" s="1">
        <v>44999</v>
      </c>
      <c r="BT34" s="2">
        <v>0.44444444444444442</v>
      </c>
      <c r="BU34" t="s">
        <v>333</v>
      </c>
      <c r="BV34" t="s">
        <v>69</v>
      </c>
      <c r="BY34">
        <v>10762.6</v>
      </c>
      <c r="BZ34" t="s">
        <v>97</v>
      </c>
      <c r="CA34" t="s">
        <v>167</v>
      </c>
      <c r="CC34" t="s">
        <v>63</v>
      </c>
      <c r="CD34">
        <v>1600</v>
      </c>
      <c r="CE34" t="s">
        <v>83</v>
      </c>
      <c r="CF34" s="1">
        <v>44999</v>
      </c>
      <c r="CI34">
        <v>1</v>
      </c>
      <c r="CJ34">
        <v>1</v>
      </c>
      <c r="CK34">
        <v>32</v>
      </c>
      <c r="CL34" t="s">
        <v>72</v>
      </c>
    </row>
    <row r="35" spans="1:90" x14ac:dyDescent="0.3">
      <c r="A35" t="s">
        <v>258</v>
      </c>
      <c r="B35" t="s">
        <v>259</v>
      </c>
      <c r="C35" t="s">
        <v>61</v>
      </c>
      <c r="E35" t="str">
        <f>"009943116843"</f>
        <v>009943116843</v>
      </c>
      <c r="F35" s="4">
        <v>44998</v>
      </c>
      <c r="G35">
        <v>202312</v>
      </c>
      <c r="H35" t="s">
        <v>119</v>
      </c>
      <c r="I35" t="s">
        <v>120</v>
      </c>
      <c r="J35" t="s">
        <v>260</v>
      </c>
      <c r="K35" t="s">
        <v>64</v>
      </c>
      <c r="L35" t="s">
        <v>196</v>
      </c>
      <c r="M35" t="s">
        <v>197</v>
      </c>
      <c r="N35" t="s">
        <v>334</v>
      </c>
      <c r="O35" t="s">
        <v>203</v>
      </c>
      <c r="P35" t="str">
        <f t="shared" si="1"/>
        <v xml:space="preserve">N A 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44.9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0.2</v>
      </c>
      <c r="BJ35" s="3">
        <v>2.4</v>
      </c>
      <c r="BK35" s="3">
        <v>3</v>
      </c>
      <c r="BL35" s="3">
        <v>126.54</v>
      </c>
      <c r="BM35" s="3">
        <v>18.98</v>
      </c>
      <c r="BN35" s="3">
        <v>145.52000000000001</v>
      </c>
      <c r="BO35" s="3">
        <v>145.52000000000001</v>
      </c>
      <c r="BQ35" t="s">
        <v>214</v>
      </c>
      <c r="BR35" t="s">
        <v>263</v>
      </c>
      <c r="BS35" s="1">
        <v>44999</v>
      </c>
      <c r="BT35" s="2">
        <v>0.6479166666666667</v>
      </c>
      <c r="BU35" t="s">
        <v>335</v>
      </c>
      <c r="BV35" t="s">
        <v>72</v>
      </c>
      <c r="BW35" t="s">
        <v>103</v>
      </c>
      <c r="BX35" t="s">
        <v>253</v>
      </c>
      <c r="BY35">
        <v>11938.08</v>
      </c>
      <c r="BZ35" t="s">
        <v>97</v>
      </c>
      <c r="CA35" t="s">
        <v>336</v>
      </c>
      <c r="CC35" t="s">
        <v>197</v>
      </c>
      <c r="CD35">
        <v>9300</v>
      </c>
      <c r="CE35" t="s">
        <v>83</v>
      </c>
      <c r="CF35" s="1">
        <v>45000</v>
      </c>
      <c r="CI35">
        <v>1</v>
      </c>
      <c r="CJ35">
        <v>1</v>
      </c>
      <c r="CK35">
        <v>31</v>
      </c>
      <c r="CL35" t="s">
        <v>72</v>
      </c>
    </row>
    <row r="36" spans="1:90" x14ac:dyDescent="0.3">
      <c r="A36" t="s">
        <v>258</v>
      </c>
      <c r="B36" t="s">
        <v>259</v>
      </c>
      <c r="C36" t="s">
        <v>61</v>
      </c>
      <c r="E36" t="str">
        <f>"009943116846"</f>
        <v>009943116846</v>
      </c>
      <c r="F36" s="4">
        <v>44998</v>
      </c>
      <c r="G36">
        <v>202312</v>
      </c>
      <c r="H36" t="s">
        <v>119</v>
      </c>
      <c r="I36" t="s">
        <v>120</v>
      </c>
      <c r="J36" t="s">
        <v>260</v>
      </c>
      <c r="K36" t="s">
        <v>64</v>
      </c>
      <c r="L36" t="s">
        <v>73</v>
      </c>
      <c r="M36" t="s">
        <v>74</v>
      </c>
      <c r="N36" t="s">
        <v>337</v>
      </c>
      <c r="O36" t="s">
        <v>96</v>
      </c>
      <c r="P36" t="str">
        <f t="shared" si="1"/>
        <v xml:space="preserve">N A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5.25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46.31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0.7</v>
      </c>
      <c r="BJ36" s="3">
        <v>2.1</v>
      </c>
      <c r="BK36" s="3">
        <v>3</v>
      </c>
      <c r="BL36" s="3">
        <v>135.76</v>
      </c>
      <c r="BM36" s="3">
        <v>20.36</v>
      </c>
      <c r="BN36" s="3">
        <v>156.12</v>
      </c>
      <c r="BO36" s="3">
        <v>156.12</v>
      </c>
      <c r="BQ36" t="s">
        <v>214</v>
      </c>
      <c r="BR36" t="s">
        <v>263</v>
      </c>
      <c r="BS36" s="1">
        <v>45000</v>
      </c>
      <c r="BT36" s="2">
        <v>0.42499999999999999</v>
      </c>
      <c r="BU36" t="s">
        <v>338</v>
      </c>
      <c r="BV36" t="s">
        <v>69</v>
      </c>
      <c r="BY36">
        <v>10449.540000000001</v>
      </c>
      <c r="BZ36" t="s">
        <v>97</v>
      </c>
      <c r="CA36" t="s">
        <v>339</v>
      </c>
      <c r="CC36" t="s">
        <v>74</v>
      </c>
      <c r="CD36">
        <v>6000</v>
      </c>
      <c r="CE36" t="s">
        <v>83</v>
      </c>
      <c r="CF36" s="1">
        <v>45000</v>
      </c>
      <c r="CI36">
        <v>2</v>
      </c>
      <c r="CJ36">
        <v>2</v>
      </c>
      <c r="CK36">
        <v>41</v>
      </c>
      <c r="CL36" t="s">
        <v>72</v>
      </c>
    </row>
    <row r="37" spans="1:90" x14ac:dyDescent="0.3">
      <c r="A37" t="s">
        <v>258</v>
      </c>
      <c r="B37" t="s">
        <v>259</v>
      </c>
      <c r="C37" t="s">
        <v>61</v>
      </c>
      <c r="E37" t="str">
        <f>"009943116831"</f>
        <v>009943116831</v>
      </c>
      <c r="F37" s="4">
        <v>44998</v>
      </c>
      <c r="G37">
        <v>202312</v>
      </c>
      <c r="H37" t="s">
        <v>119</v>
      </c>
      <c r="I37" t="s">
        <v>120</v>
      </c>
      <c r="J37" t="s">
        <v>260</v>
      </c>
      <c r="K37" t="s">
        <v>64</v>
      </c>
      <c r="L37" t="s">
        <v>119</v>
      </c>
      <c r="M37" t="s">
        <v>120</v>
      </c>
      <c r="N37" t="s">
        <v>340</v>
      </c>
      <c r="O37" t="s">
        <v>203</v>
      </c>
      <c r="P37" t="str">
        <f t="shared" si="1"/>
        <v xml:space="preserve">N A  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22.91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2.5</v>
      </c>
      <c r="BJ37" s="3">
        <v>9.3000000000000007</v>
      </c>
      <c r="BK37" s="3">
        <v>10</v>
      </c>
      <c r="BL37" s="3">
        <v>64.569999999999993</v>
      </c>
      <c r="BM37" s="3">
        <v>9.69</v>
      </c>
      <c r="BN37" s="3">
        <v>74.260000000000005</v>
      </c>
      <c r="BO37" s="3">
        <v>74.260000000000005</v>
      </c>
      <c r="BQ37" t="s">
        <v>214</v>
      </c>
      <c r="BR37" t="s">
        <v>263</v>
      </c>
      <c r="BS37" s="1">
        <v>44999</v>
      </c>
      <c r="BT37" s="2">
        <v>0.45763888888888887</v>
      </c>
      <c r="BU37" t="s">
        <v>341</v>
      </c>
      <c r="BV37" t="s">
        <v>69</v>
      </c>
      <c r="BY37">
        <v>46433.04</v>
      </c>
      <c r="BZ37" t="s">
        <v>97</v>
      </c>
      <c r="CA37" t="s">
        <v>342</v>
      </c>
      <c r="CC37" t="s">
        <v>120</v>
      </c>
      <c r="CD37">
        <v>2040</v>
      </c>
      <c r="CE37" t="s">
        <v>83</v>
      </c>
      <c r="CF37" s="1">
        <v>44999</v>
      </c>
      <c r="CI37">
        <v>1</v>
      </c>
      <c r="CJ37">
        <v>1</v>
      </c>
      <c r="CK37">
        <v>32</v>
      </c>
      <c r="CL37" t="s">
        <v>72</v>
      </c>
    </row>
    <row r="38" spans="1:90" x14ac:dyDescent="0.3">
      <c r="A38" t="s">
        <v>258</v>
      </c>
      <c r="B38" t="s">
        <v>259</v>
      </c>
      <c r="C38" t="s">
        <v>61</v>
      </c>
      <c r="E38" t="str">
        <f>"009943116832"</f>
        <v>009943116832</v>
      </c>
      <c r="F38" s="4">
        <v>44998</v>
      </c>
      <c r="G38">
        <v>202312</v>
      </c>
      <c r="H38" t="s">
        <v>119</v>
      </c>
      <c r="I38" t="s">
        <v>120</v>
      </c>
      <c r="J38" t="s">
        <v>260</v>
      </c>
      <c r="K38" t="s">
        <v>64</v>
      </c>
      <c r="L38" t="s">
        <v>65</v>
      </c>
      <c r="M38" t="s">
        <v>66</v>
      </c>
      <c r="N38" t="s">
        <v>343</v>
      </c>
      <c r="O38" t="s">
        <v>203</v>
      </c>
      <c r="P38" t="str">
        <f t="shared" si="1"/>
        <v xml:space="preserve">N A   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44.9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1.5</v>
      </c>
      <c r="BJ38" s="3">
        <v>2.2000000000000002</v>
      </c>
      <c r="BK38" s="3">
        <v>3</v>
      </c>
      <c r="BL38" s="3">
        <v>126.54</v>
      </c>
      <c r="BM38" s="3">
        <v>18.98</v>
      </c>
      <c r="BN38" s="3">
        <v>145.52000000000001</v>
      </c>
      <c r="BO38" s="3">
        <v>145.52000000000001</v>
      </c>
      <c r="BQ38" t="s">
        <v>344</v>
      </c>
      <c r="BR38" t="s">
        <v>263</v>
      </c>
      <c r="BS38" s="1">
        <v>44999</v>
      </c>
      <c r="BT38" s="2">
        <v>0.62430555555555556</v>
      </c>
      <c r="BU38" t="s">
        <v>345</v>
      </c>
      <c r="BV38" t="s">
        <v>72</v>
      </c>
      <c r="BW38" t="s">
        <v>86</v>
      </c>
      <c r="BX38" t="s">
        <v>128</v>
      </c>
      <c r="BY38">
        <v>11159.23</v>
      </c>
      <c r="BZ38" t="s">
        <v>97</v>
      </c>
      <c r="CA38" t="s">
        <v>229</v>
      </c>
      <c r="CC38" t="s">
        <v>66</v>
      </c>
      <c r="CD38">
        <v>8000</v>
      </c>
      <c r="CE38" t="s">
        <v>83</v>
      </c>
      <c r="CF38" s="1">
        <v>45000</v>
      </c>
      <c r="CI38">
        <v>1</v>
      </c>
      <c r="CJ38">
        <v>1</v>
      </c>
      <c r="CK38">
        <v>31</v>
      </c>
      <c r="CL38" t="s">
        <v>72</v>
      </c>
    </row>
    <row r="39" spans="1:90" x14ac:dyDescent="0.3">
      <c r="A39" t="s">
        <v>258</v>
      </c>
      <c r="B39" t="s">
        <v>259</v>
      </c>
      <c r="C39" t="s">
        <v>61</v>
      </c>
      <c r="E39" t="str">
        <f>"009943285302"</f>
        <v>009943285302</v>
      </c>
      <c r="F39" s="4">
        <v>44998</v>
      </c>
      <c r="G39">
        <v>202312</v>
      </c>
      <c r="H39" t="s">
        <v>119</v>
      </c>
      <c r="I39" t="s">
        <v>120</v>
      </c>
      <c r="J39" t="s">
        <v>260</v>
      </c>
      <c r="K39" t="s">
        <v>64</v>
      </c>
      <c r="L39" t="s">
        <v>110</v>
      </c>
      <c r="M39" t="s">
        <v>111</v>
      </c>
      <c r="N39" t="s">
        <v>346</v>
      </c>
      <c r="O39" t="s">
        <v>96</v>
      </c>
      <c r="P39" t="str">
        <f t="shared" si="1"/>
        <v xml:space="preserve">N A   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5.25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46.31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0.2</v>
      </c>
      <c r="BJ39" s="3">
        <v>1.9</v>
      </c>
      <c r="BK39" s="3">
        <v>2</v>
      </c>
      <c r="BL39" s="3">
        <v>135.76</v>
      </c>
      <c r="BM39" s="3">
        <v>20.36</v>
      </c>
      <c r="BN39" s="3">
        <v>156.12</v>
      </c>
      <c r="BO39" s="3">
        <v>156.12</v>
      </c>
      <c r="BQ39" t="s">
        <v>347</v>
      </c>
      <c r="BR39" t="s">
        <v>263</v>
      </c>
      <c r="BS39" s="1">
        <v>44999</v>
      </c>
      <c r="BT39" s="2">
        <v>0.4152777777777778</v>
      </c>
      <c r="BU39" t="s">
        <v>348</v>
      </c>
      <c r="BV39" t="s">
        <v>69</v>
      </c>
      <c r="BY39">
        <v>9279.85</v>
      </c>
      <c r="BZ39" t="s">
        <v>97</v>
      </c>
      <c r="CA39" t="s">
        <v>349</v>
      </c>
      <c r="CC39" t="s">
        <v>111</v>
      </c>
      <c r="CD39">
        <v>3610</v>
      </c>
      <c r="CE39" t="s">
        <v>83</v>
      </c>
      <c r="CF39" s="1">
        <v>45000</v>
      </c>
      <c r="CI39">
        <v>1</v>
      </c>
      <c r="CJ39">
        <v>1</v>
      </c>
      <c r="CK39">
        <v>41</v>
      </c>
      <c r="CL39" t="s">
        <v>72</v>
      </c>
    </row>
    <row r="40" spans="1:90" x14ac:dyDescent="0.3">
      <c r="A40" t="s">
        <v>258</v>
      </c>
      <c r="B40" t="s">
        <v>259</v>
      </c>
      <c r="C40" t="s">
        <v>61</v>
      </c>
      <c r="E40" t="str">
        <f>"009941520363"</f>
        <v>009941520363</v>
      </c>
      <c r="F40" s="4">
        <v>44998</v>
      </c>
      <c r="G40">
        <v>202312</v>
      </c>
      <c r="H40" t="s">
        <v>101</v>
      </c>
      <c r="I40" t="s">
        <v>102</v>
      </c>
      <c r="J40" t="s">
        <v>272</v>
      </c>
      <c r="K40" t="s">
        <v>64</v>
      </c>
      <c r="L40" t="s">
        <v>119</v>
      </c>
      <c r="M40" t="s">
        <v>120</v>
      </c>
      <c r="N40" t="s">
        <v>350</v>
      </c>
      <c r="O40" t="s">
        <v>67</v>
      </c>
      <c r="P40" t="str">
        <f>"                              "</f>
        <v xml:space="preserve">     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23.95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0.2</v>
      </c>
      <c r="BK40" s="3">
        <v>1</v>
      </c>
      <c r="BL40" s="3">
        <v>67.489999999999995</v>
      </c>
      <c r="BM40" s="3">
        <v>10.119999999999999</v>
      </c>
      <c r="BN40" s="3">
        <v>77.61</v>
      </c>
      <c r="BO40" s="3">
        <v>77.61</v>
      </c>
      <c r="BQ40" t="s">
        <v>279</v>
      </c>
      <c r="BR40" t="s">
        <v>280</v>
      </c>
      <c r="BS40" s="1">
        <v>44999</v>
      </c>
      <c r="BT40" s="2">
        <v>0.34722222222222227</v>
      </c>
      <c r="BU40" t="s">
        <v>281</v>
      </c>
      <c r="BV40" t="s">
        <v>69</v>
      </c>
      <c r="BY40">
        <v>1200</v>
      </c>
      <c r="BZ40" t="s">
        <v>70</v>
      </c>
      <c r="CA40" t="s">
        <v>149</v>
      </c>
      <c r="CC40" t="s">
        <v>120</v>
      </c>
      <c r="CD40">
        <v>2013</v>
      </c>
      <c r="CE40" t="s">
        <v>83</v>
      </c>
      <c r="CF40" s="1">
        <v>44999</v>
      </c>
      <c r="CI40">
        <v>1</v>
      </c>
      <c r="CJ40">
        <v>1</v>
      </c>
      <c r="CK40">
        <v>21</v>
      </c>
      <c r="CL40" t="s">
        <v>72</v>
      </c>
    </row>
    <row r="41" spans="1:90" x14ac:dyDescent="0.3">
      <c r="A41" t="s">
        <v>258</v>
      </c>
      <c r="B41" t="s">
        <v>259</v>
      </c>
      <c r="C41" t="s">
        <v>61</v>
      </c>
      <c r="E41" t="str">
        <f>"009943221619"</f>
        <v>009943221619</v>
      </c>
      <c r="F41" s="4">
        <v>45012</v>
      </c>
      <c r="G41">
        <v>202312</v>
      </c>
      <c r="H41" t="s">
        <v>101</v>
      </c>
      <c r="I41" t="s">
        <v>102</v>
      </c>
      <c r="J41" t="s">
        <v>288</v>
      </c>
      <c r="K41" t="s">
        <v>64</v>
      </c>
      <c r="L41" t="s">
        <v>119</v>
      </c>
      <c r="M41" t="s">
        <v>120</v>
      </c>
      <c r="N41" t="s">
        <v>351</v>
      </c>
      <c r="O41" t="s">
        <v>96</v>
      </c>
      <c r="P41" t="str">
        <f>"                              "</f>
        <v xml:space="preserve">  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5.25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46.31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1</v>
      </c>
      <c r="BJ41" s="3">
        <v>0.2</v>
      </c>
      <c r="BK41" s="3">
        <v>1</v>
      </c>
      <c r="BL41" s="3">
        <v>135.76</v>
      </c>
      <c r="BM41" s="3">
        <v>20.36</v>
      </c>
      <c r="BN41" s="3">
        <v>156.12</v>
      </c>
      <c r="BO41" s="3">
        <v>156.12</v>
      </c>
      <c r="BR41" t="s">
        <v>274</v>
      </c>
      <c r="BS41" s="1">
        <v>45013</v>
      </c>
      <c r="BT41" s="2">
        <v>0.57291666666666663</v>
      </c>
      <c r="BU41" t="s">
        <v>263</v>
      </c>
      <c r="BV41" t="s">
        <v>69</v>
      </c>
      <c r="BY41">
        <v>1200</v>
      </c>
      <c r="BZ41" t="s">
        <v>97</v>
      </c>
      <c r="CC41" t="s">
        <v>120</v>
      </c>
      <c r="CD41">
        <v>2013</v>
      </c>
      <c r="CE41" t="s">
        <v>83</v>
      </c>
      <c r="CF41" s="1">
        <v>45014</v>
      </c>
      <c r="CI41">
        <v>1</v>
      </c>
      <c r="CJ41">
        <v>1</v>
      </c>
      <c r="CK41">
        <v>41</v>
      </c>
      <c r="CL41" t="s">
        <v>72</v>
      </c>
    </row>
    <row r="42" spans="1:90" x14ac:dyDescent="0.3">
      <c r="A42" t="s">
        <v>258</v>
      </c>
      <c r="B42" t="s">
        <v>259</v>
      </c>
      <c r="C42" t="s">
        <v>61</v>
      </c>
      <c r="E42" t="str">
        <f>"009943116673"</f>
        <v>009943116673</v>
      </c>
      <c r="F42" s="4">
        <v>45012</v>
      </c>
      <c r="G42">
        <v>202312</v>
      </c>
      <c r="H42" t="s">
        <v>119</v>
      </c>
      <c r="I42" t="s">
        <v>120</v>
      </c>
      <c r="J42" t="s">
        <v>260</v>
      </c>
      <c r="K42" t="s">
        <v>64</v>
      </c>
      <c r="L42" t="s">
        <v>123</v>
      </c>
      <c r="M42" t="s">
        <v>124</v>
      </c>
      <c r="N42" t="s">
        <v>352</v>
      </c>
      <c r="O42" t="s">
        <v>203</v>
      </c>
      <c r="P42" t="str">
        <f t="shared" ref="P42:P55" si="2">"N A                           "</f>
        <v xml:space="preserve">N A   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44.9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0.2</v>
      </c>
      <c r="BJ42" s="3">
        <v>2.6</v>
      </c>
      <c r="BK42" s="3">
        <v>3</v>
      </c>
      <c r="BL42" s="3">
        <v>126.54</v>
      </c>
      <c r="BM42" s="3">
        <v>18.98</v>
      </c>
      <c r="BN42" s="3">
        <v>145.52000000000001</v>
      </c>
      <c r="BO42" s="3">
        <v>145.52000000000001</v>
      </c>
      <c r="BQ42" t="s">
        <v>353</v>
      </c>
      <c r="BR42" t="s">
        <v>263</v>
      </c>
      <c r="BS42" s="1">
        <v>45013</v>
      </c>
      <c r="BT42" s="2">
        <v>0.5</v>
      </c>
      <c r="BU42" t="s">
        <v>354</v>
      </c>
      <c r="BV42" t="s">
        <v>69</v>
      </c>
      <c r="BY42">
        <v>12775.15</v>
      </c>
      <c r="BZ42" t="s">
        <v>97</v>
      </c>
      <c r="CA42" t="s">
        <v>172</v>
      </c>
      <c r="CC42" t="s">
        <v>124</v>
      </c>
      <c r="CD42">
        <v>157</v>
      </c>
      <c r="CE42" t="s">
        <v>83</v>
      </c>
      <c r="CF42" s="1">
        <v>45013</v>
      </c>
      <c r="CI42">
        <v>1</v>
      </c>
      <c r="CJ42">
        <v>1</v>
      </c>
      <c r="CK42">
        <v>31</v>
      </c>
      <c r="CL42" t="s">
        <v>72</v>
      </c>
    </row>
    <row r="43" spans="1:90" x14ac:dyDescent="0.3">
      <c r="A43" t="s">
        <v>258</v>
      </c>
      <c r="B43" t="s">
        <v>259</v>
      </c>
      <c r="C43" t="s">
        <v>61</v>
      </c>
      <c r="E43" t="str">
        <f>"009943116679"</f>
        <v>009943116679</v>
      </c>
      <c r="F43" s="4">
        <v>45012</v>
      </c>
      <c r="G43">
        <v>202312</v>
      </c>
      <c r="H43" t="s">
        <v>119</v>
      </c>
      <c r="I43" t="s">
        <v>120</v>
      </c>
      <c r="J43" t="s">
        <v>260</v>
      </c>
      <c r="K43" t="s">
        <v>64</v>
      </c>
      <c r="L43" t="s">
        <v>65</v>
      </c>
      <c r="M43" t="s">
        <v>66</v>
      </c>
      <c r="N43" t="s">
        <v>64</v>
      </c>
      <c r="O43" t="s">
        <v>67</v>
      </c>
      <c r="P43" t="str">
        <f t="shared" si="2"/>
        <v xml:space="preserve">N A  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514.64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5</v>
      </c>
      <c r="BI43" s="3">
        <v>22.2</v>
      </c>
      <c r="BJ43" s="3">
        <v>42.6</v>
      </c>
      <c r="BK43" s="3">
        <v>43</v>
      </c>
      <c r="BL43" s="3">
        <v>1450.34</v>
      </c>
      <c r="BM43" s="3">
        <v>217.55</v>
      </c>
      <c r="BN43" s="3">
        <v>1667.89</v>
      </c>
      <c r="BO43" s="3">
        <v>1667.89</v>
      </c>
      <c r="BQ43">
        <v>215824040</v>
      </c>
      <c r="BR43" t="s">
        <v>355</v>
      </c>
      <c r="BS43" s="1">
        <v>45013</v>
      </c>
      <c r="BT43" s="2">
        <v>0.43888888888888888</v>
      </c>
      <c r="BU43" t="s">
        <v>356</v>
      </c>
      <c r="BV43" t="s">
        <v>72</v>
      </c>
      <c r="BW43" t="s">
        <v>103</v>
      </c>
      <c r="BX43" t="s">
        <v>107</v>
      </c>
      <c r="BY43">
        <v>212960.54</v>
      </c>
      <c r="BZ43" t="s">
        <v>70</v>
      </c>
      <c r="CA43" t="s">
        <v>71</v>
      </c>
      <c r="CC43" t="s">
        <v>66</v>
      </c>
      <c r="CD43">
        <v>7441</v>
      </c>
      <c r="CE43" t="s">
        <v>83</v>
      </c>
      <c r="CF43" s="1">
        <v>45014</v>
      </c>
      <c r="CI43">
        <v>1</v>
      </c>
      <c r="CJ43">
        <v>1</v>
      </c>
      <c r="CK43">
        <v>21</v>
      </c>
      <c r="CL43" t="s">
        <v>72</v>
      </c>
    </row>
    <row r="44" spans="1:90" x14ac:dyDescent="0.3">
      <c r="A44" t="s">
        <v>258</v>
      </c>
      <c r="B44" t="s">
        <v>259</v>
      </c>
      <c r="C44" t="s">
        <v>61</v>
      </c>
      <c r="E44" t="str">
        <f>"009943116678"</f>
        <v>009943116678</v>
      </c>
      <c r="F44" s="4">
        <v>45012</v>
      </c>
      <c r="G44">
        <v>202312</v>
      </c>
      <c r="H44" t="s">
        <v>119</v>
      </c>
      <c r="I44" t="s">
        <v>120</v>
      </c>
      <c r="J44" t="s">
        <v>260</v>
      </c>
      <c r="K44" t="s">
        <v>64</v>
      </c>
      <c r="L44" t="s">
        <v>196</v>
      </c>
      <c r="M44" t="s">
        <v>197</v>
      </c>
      <c r="N44" t="s">
        <v>257</v>
      </c>
      <c r="O44" t="s">
        <v>67</v>
      </c>
      <c r="P44" t="str">
        <f t="shared" si="2"/>
        <v xml:space="preserve">N A   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664.24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7</v>
      </c>
      <c r="BI44" s="3">
        <v>25.3</v>
      </c>
      <c r="BJ44" s="3">
        <v>55.4</v>
      </c>
      <c r="BK44" s="3">
        <v>55.5</v>
      </c>
      <c r="BL44" s="3">
        <v>1871.94</v>
      </c>
      <c r="BM44" s="3">
        <v>280.79000000000002</v>
      </c>
      <c r="BN44" s="3">
        <v>2152.73</v>
      </c>
      <c r="BO44" s="3">
        <v>2152.73</v>
      </c>
      <c r="BQ44" t="s">
        <v>357</v>
      </c>
      <c r="BR44" t="s">
        <v>358</v>
      </c>
      <c r="BS44" s="1">
        <v>45013</v>
      </c>
      <c r="BT44" s="2">
        <v>0.48402777777777778</v>
      </c>
      <c r="BU44" t="s">
        <v>359</v>
      </c>
      <c r="BV44" t="s">
        <v>72</v>
      </c>
      <c r="BW44" t="s">
        <v>103</v>
      </c>
      <c r="BX44" t="s">
        <v>253</v>
      </c>
      <c r="BY44">
        <v>277165.62</v>
      </c>
      <c r="BZ44" t="s">
        <v>70</v>
      </c>
      <c r="CA44" t="s">
        <v>360</v>
      </c>
      <c r="CC44" t="s">
        <v>197</v>
      </c>
      <c r="CD44">
        <v>9300</v>
      </c>
      <c r="CE44" t="s">
        <v>83</v>
      </c>
      <c r="CF44" s="1">
        <v>45014</v>
      </c>
      <c r="CI44">
        <v>1</v>
      </c>
      <c r="CJ44">
        <v>1</v>
      </c>
      <c r="CK44">
        <v>21</v>
      </c>
      <c r="CL44" t="s">
        <v>72</v>
      </c>
    </row>
    <row r="45" spans="1:90" x14ac:dyDescent="0.3">
      <c r="A45" t="s">
        <v>258</v>
      </c>
      <c r="B45" t="s">
        <v>259</v>
      </c>
      <c r="C45" t="s">
        <v>61</v>
      </c>
      <c r="E45" t="str">
        <f>"009943116665"</f>
        <v>009943116665</v>
      </c>
      <c r="F45" s="4">
        <v>45012</v>
      </c>
      <c r="G45">
        <v>202312</v>
      </c>
      <c r="H45" t="s">
        <v>119</v>
      </c>
      <c r="I45" t="s">
        <v>120</v>
      </c>
      <c r="J45" t="s">
        <v>260</v>
      </c>
      <c r="K45" t="s">
        <v>64</v>
      </c>
      <c r="L45" t="s">
        <v>220</v>
      </c>
      <c r="M45" t="s">
        <v>221</v>
      </c>
      <c r="N45" t="s">
        <v>361</v>
      </c>
      <c r="O45" t="s">
        <v>203</v>
      </c>
      <c r="P45" t="str">
        <f t="shared" si="2"/>
        <v xml:space="preserve">N A   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46.4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0.2</v>
      </c>
      <c r="BJ45" s="3">
        <v>2.1</v>
      </c>
      <c r="BK45" s="3">
        <v>3</v>
      </c>
      <c r="BL45" s="3">
        <v>130.76</v>
      </c>
      <c r="BM45" s="3">
        <v>19.61</v>
      </c>
      <c r="BN45" s="3">
        <v>150.37</v>
      </c>
      <c r="BO45" s="3">
        <v>150.37</v>
      </c>
      <c r="BQ45" t="s">
        <v>362</v>
      </c>
      <c r="BR45" t="s">
        <v>263</v>
      </c>
      <c r="BS45" s="1">
        <v>45014</v>
      </c>
      <c r="BT45" s="2">
        <v>0.4284722222222222</v>
      </c>
      <c r="BU45" t="s">
        <v>202</v>
      </c>
      <c r="BV45" t="s">
        <v>69</v>
      </c>
      <c r="BY45">
        <v>10588.82</v>
      </c>
      <c r="BZ45" t="s">
        <v>97</v>
      </c>
      <c r="CC45" t="s">
        <v>221</v>
      </c>
      <c r="CD45">
        <v>6740</v>
      </c>
      <c r="CE45" t="s">
        <v>83</v>
      </c>
      <c r="CI45">
        <v>2</v>
      </c>
      <c r="CJ45">
        <v>2</v>
      </c>
      <c r="CK45">
        <v>33</v>
      </c>
      <c r="CL45" t="s">
        <v>72</v>
      </c>
    </row>
    <row r="46" spans="1:90" x14ac:dyDescent="0.3">
      <c r="A46" t="s">
        <v>258</v>
      </c>
      <c r="B46" t="s">
        <v>259</v>
      </c>
      <c r="C46" t="s">
        <v>61</v>
      </c>
      <c r="E46" t="str">
        <f>"009943116677"</f>
        <v>009943116677</v>
      </c>
      <c r="F46" s="4">
        <v>45012</v>
      </c>
      <c r="G46">
        <v>202312</v>
      </c>
      <c r="H46" t="s">
        <v>119</v>
      </c>
      <c r="I46" t="s">
        <v>120</v>
      </c>
      <c r="J46" t="s">
        <v>260</v>
      </c>
      <c r="K46" t="s">
        <v>64</v>
      </c>
      <c r="L46" t="s">
        <v>196</v>
      </c>
      <c r="M46" t="s">
        <v>197</v>
      </c>
      <c r="N46" t="s">
        <v>257</v>
      </c>
      <c r="O46" t="s">
        <v>203</v>
      </c>
      <c r="P46" t="str">
        <f t="shared" si="2"/>
        <v xml:space="preserve">N A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44.9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0.8</v>
      </c>
      <c r="BJ46" s="3">
        <v>2</v>
      </c>
      <c r="BK46" s="3">
        <v>2</v>
      </c>
      <c r="BL46" s="3">
        <v>126.54</v>
      </c>
      <c r="BM46" s="3">
        <v>18.98</v>
      </c>
      <c r="BN46" s="3">
        <v>145.52000000000001</v>
      </c>
      <c r="BO46" s="3">
        <v>145.52000000000001</v>
      </c>
      <c r="BQ46" t="s">
        <v>363</v>
      </c>
      <c r="BR46" t="s">
        <v>263</v>
      </c>
      <c r="BS46" s="1">
        <v>45013</v>
      </c>
      <c r="BT46" s="2">
        <v>0.45902777777777781</v>
      </c>
      <c r="BU46" t="s">
        <v>95</v>
      </c>
      <c r="BV46" t="s">
        <v>69</v>
      </c>
      <c r="BY46">
        <v>10210.299999999999</v>
      </c>
      <c r="BZ46" t="s">
        <v>97</v>
      </c>
      <c r="CA46" t="s">
        <v>364</v>
      </c>
      <c r="CC46" t="s">
        <v>197</v>
      </c>
      <c r="CD46">
        <v>9330</v>
      </c>
      <c r="CE46" t="s">
        <v>83</v>
      </c>
      <c r="CF46" s="1">
        <v>45014</v>
      </c>
      <c r="CI46">
        <v>1</v>
      </c>
      <c r="CJ46">
        <v>1</v>
      </c>
      <c r="CK46">
        <v>31</v>
      </c>
      <c r="CL46" t="s">
        <v>72</v>
      </c>
    </row>
    <row r="47" spans="1:90" x14ac:dyDescent="0.3">
      <c r="A47" t="s">
        <v>258</v>
      </c>
      <c r="B47" t="s">
        <v>259</v>
      </c>
      <c r="C47" t="s">
        <v>61</v>
      </c>
      <c r="E47" t="str">
        <f>"009943116669"</f>
        <v>009943116669</v>
      </c>
      <c r="F47" s="4">
        <v>45012</v>
      </c>
      <c r="G47">
        <v>202312</v>
      </c>
      <c r="H47" t="s">
        <v>119</v>
      </c>
      <c r="I47" t="s">
        <v>120</v>
      </c>
      <c r="J47" t="s">
        <v>260</v>
      </c>
      <c r="K47" t="s">
        <v>64</v>
      </c>
      <c r="L47" t="s">
        <v>65</v>
      </c>
      <c r="M47" t="s">
        <v>66</v>
      </c>
      <c r="N47" t="s">
        <v>257</v>
      </c>
      <c r="O47" t="s">
        <v>203</v>
      </c>
      <c r="P47" t="str">
        <f t="shared" si="2"/>
        <v xml:space="preserve">N A  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44.9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0.6</v>
      </c>
      <c r="BJ47" s="3">
        <v>1.9</v>
      </c>
      <c r="BK47" s="3">
        <v>2</v>
      </c>
      <c r="BL47" s="3">
        <v>126.54</v>
      </c>
      <c r="BM47" s="3">
        <v>18.98</v>
      </c>
      <c r="BN47" s="3">
        <v>145.52000000000001</v>
      </c>
      <c r="BO47" s="3">
        <v>145.52000000000001</v>
      </c>
      <c r="BQ47" t="s">
        <v>365</v>
      </c>
      <c r="BR47" t="s">
        <v>263</v>
      </c>
      <c r="BS47" s="1">
        <v>45013</v>
      </c>
      <c r="BT47" s="2">
        <v>0.43888888888888888</v>
      </c>
      <c r="BU47" t="s">
        <v>366</v>
      </c>
      <c r="BV47" t="s">
        <v>69</v>
      </c>
      <c r="BY47">
        <v>9477.91</v>
      </c>
      <c r="BZ47" t="s">
        <v>97</v>
      </c>
      <c r="CA47" t="s">
        <v>129</v>
      </c>
      <c r="CC47" t="s">
        <v>66</v>
      </c>
      <c r="CD47">
        <v>7925</v>
      </c>
      <c r="CE47" t="s">
        <v>83</v>
      </c>
      <c r="CF47" s="1">
        <v>45014</v>
      </c>
      <c r="CI47">
        <v>1</v>
      </c>
      <c r="CJ47">
        <v>1</v>
      </c>
      <c r="CK47">
        <v>31</v>
      </c>
      <c r="CL47" t="s">
        <v>72</v>
      </c>
    </row>
    <row r="48" spans="1:90" x14ac:dyDescent="0.3">
      <c r="A48" t="s">
        <v>258</v>
      </c>
      <c r="B48" t="s">
        <v>259</v>
      </c>
      <c r="C48" t="s">
        <v>61</v>
      </c>
      <c r="E48" t="str">
        <f>"009943116670"</f>
        <v>009943116670</v>
      </c>
      <c r="F48" s="4">
        <v>45012</v>
      </c>
      <c r="G48">
        <v>202312</v>
      </c>
      <c r="H48" t="s">
        <v>119</v>
      </c>
      <c r="I48" t="s">
        <v>120</v>
      </c>
      <c r="J48" t="s">
        <v>260</v>
      </c>
      <c r="K48" t="s">
        <v>64</v>
      </c>
      <c r="L48" t="s">
        <v>80</v>
      </c>
      <c r="M48" t="s">
        <v>81</v>
      </c>
      <c r="N48" t="s">
        <v>257</v>
      </c>
      <c r="O48" t="s">
        <v>203</v>
      </c>
      <c r="P48" t="str">
        <f t="shared" si="2"/>
        <v xml:space="preserve">N A   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18.71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0.5</v>
      </c>
      <c r="BJ48" s="3">
        <v>3</v>
      </c>
      <c r="BK48" s="3">
        <v>3</v>
      </c>
      <c r="BL48" s="3">
        <v>52.73</v>
      </c>
      <c r="BM48" s="3">
        <v>7.91</v>
      </c>
      <c r="BN48" s="3">
        <v>60.64</v>
      </c>
      <c r="BO48" s="3">
        <v>60.64</v>
      </c>
      <c r="BQ48" t="s">
        <v>367</v>
      </c>
      <c r="BR48" t="s">
        <v>263</v>
      </c>
      <c r="BS48" s="1">
        <v>45013</v>
      </c>
      <c r="BT48" s="2">
        <v>0.43472222222222223</v>
      </c>
      <c r="BU48" t="s">
        <v>368</v>
      </c>
      <c r="BV48" t="s">
        <v>69</v>
      </c>
      <c r="BY48">
        <v>14843.4</v>
      </c>
      <c r="BZ48" t="s">
        <v>97</v>
      </c>
      <c r="CA48" t="s">
        <v>92</v>
      </c>
      <c r="CC48" t="s">
        <v>81</v>
      </c>
      <c r="CD48">
        <v>1501</v>
      </c>
      <c r="CE48" t="s">
        <v>83</v>
      </c>
      <c r="CF48" s="1">
        <v>45013</v>
      </c>
      <c r="CI48">
        <v>1</v>
      </c>
      <c r="CJ48">
        <v>1</v>
      </c>
      <c r="CK48">
        <v>32</v>
      </c>
      <c r="CL48" t="s">
        <v>72</v>
      </c>
    </row>
    <row r="49" spans="1:90" x14ac:dyDescent="0.3">
      <c r="A49" t="s">
        <v>258</v>
      </c>
      <c r="B49" t="s">
        <v>259</v>
      </c>
      <c r="C49" t="s">
        <v>61</v>
      </c>
      <c r="E49" t="str">
        <f>"009943116671"</f>
        <v>009943116671</v>
      </c>
      <c r="F49" s="4">
        <v>45012</v>
      </c>
      <c r="G49">
        <v>202312</v>
      </c>
      <c r="H49" t="s">
        <v>119</v>
      </c>
      <c r="I49" t="s">
        <v>120</v>
      </c>
      <c r="J49" t="s">
        <v>260</v>
      </c>
      <c r="K49" t="s">
        <v>64</v>
      </c>
      <c r="L49" t="s">
        <v>65</v>
      </c>
      <c r="M49" t="s">
        <v>66</v>
      </c>
      <c r="N49" t="s">
        <v>257</v>
      </c>
      <c r="O49" t="s">
        <v>203</v>
      </c>
      <c r="P49" t="str">
        <f t="shared" si="2"/>
        <v xml:space="preserve">N A   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112.26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1</v>
      </c>
      <c r="BJ49" s="3">
        <v>9.5</v>
      </c>
      <c r="BK49" s="3">
        <v>10</v>
      </c>
      <c r="BL49" s="3">
        <v>316.36</v>
      </c>
      <c r="BM49" s="3">
        <v>47.45</v>
      </c>
      <c r="BN49" s="3">
        <v>363.81</v>
      </c>
      <c r="BO49" s="3">
        <v>363.81</v>
      </c>
      <c r="BQ49" t="s">
        <v>369</v>
      </c>
      <c r="BR49" t="s">
        <v>263</v>
      </c>
      <c r="BS49" s="1">
        <v>45013</v>
      </c>
      <c r="BT49" s="2">
        <v>0.43124999999999997</v>
      </c>
      <c r="BU49" t="s">
        <v>370</v>
      </c>
      <c r="BV49" t="s">
        <v>69</v>
      </c>
      <c r="BY49">
        <v>47456.639999999999</v>
      </c>
      <c r="BZ49" t="s">
        <v>97</v>
      </c>
      <c r="CA49" t="s">
        <v>371</v>
      </c>
      <c r="CC49" t="s">
        <v>66</v>
      </c>
      <c r="CD49">
        <v>7441</v>
      </c>
      <c r="CE49" t="s">
        <v>83</v>
      </c>
      <c r="CF49" s="1">
        <v>45014</v>
      </c>
      <c r="CI49">
        <v>1</v>
      </c>
      <c r="CJ49">
        <v>1</v>
      </c>
      <c r="CK49">
        <v>31</v>
      </c>
      <c r="CL49" t="s">
        <v>72</v>
      </c>
    </row>
    <row r="50" spans="1:90" x14ac:dyDescent="0.3">
      <c r="A50" t="s">
        <v>258</v>
      </c>
      <c r="B50" t="s">
        <v>259</v>
      </c>
      <c r="C50" t="s">
        <v>61</v>
      </c>
      <c r="E50" t="str">
        <f>"009943116666"</f>
        <v>009943116666</v>
      </c>
      <c r="F50" s="4">
        <v>45012</v>
      </c>
      <c r="G50">
        <v>202312</v>
      </c>
      <c r="H50" t="s">
        <v>119</v>
      </c>
      <c r="I50" t="s">
        <v>120</v>
      </c>
      <c r="J50" t="s">
        <v>260</v>
      </c>
      <c r="K50" t="s">
        <v>64</v>
      </c>
      <c r="L50" t="s">
        <v>372</v>
      </c>
      <c r="M50" t="s">
        <v>373</v>
      </c>
      <c r="N50" t="s">
        <v>374</v>
      </c>
      <c r="O50" t="s">
        <v>203</v>
      </c>
      <c r="P50" t="str">
        <f t="shared" si="2"/>
        <v xml:space="preserve">N A  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101.03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1.7</v>
      </c>
      <c r="BJ50" s="3">
        <v>9</v>
      </c>
      <c r="BK50" s="3">
        <v>9</v>
      </c>
      <c r="BL50" s="3">
        <v>284.72000000000003</v>
      </c>
      <c r="BM50" s="3">
        <v>42.71</v>
      </c>
      <c r="BN50" s="3">
        <v>327.43</v>
      </c>
      <c r="BO50" s="3">
        <v>327.43</v>
      </c>
      <c r="BQ50" t="s">
        <v>375</v>
      </c>
      <c r="BR50" t="s">
        <v>263</v>
      </c>
      <c r="BS50" s="1">
        <v>45013</v>
      </c>
      <c r="BT50" s="2">
        <v>0.5625</v>
      </c>
      <c r="BU50" t="s">
        <v>376</v>
      </c>
      <c r="BV50" t="s">
        <v>72</v>
      </c>
      <c r="BY50">
        <v>44819.54</v>
      </c>
      <c r="BZ50" t="s">
        <v>97</v>
      </c>
      <c r="CA50" t="s">
        <v>377</v>
      </c>
      <c r="CC50" t="s">
        <v>373</v>
      </c>
      <c r="CD50">
        <v>1201</v>
      </c>
      <c r="CE50" t="s">
        <v>83</v>
      </c>
      <c r="CF50" s="1">
        <v>45013</v>
      </c>
      <c r="CI50">
        <v>1</v>
      </c>
      <c r="CJ50">
        <v>1</v>
      </c>
      <c r="CK50">
        <v>31</v>
      </c>
      <c r="CL50" t="s">
        <v>72</v>
      </c>
    </row>
    <row r="51" spans="1:90" x14ac:dyDescent="0.3">
      <c r="A51" t="s">
        <v>258</v>
      </c>
      <c r="B51" t="s">
        <v>259</v>
      </c>
      <c r="C51" t="s">
        <v>61</v>
      </c>
      <c r="E51" t="str">
        <f>"009943116668"</f>
        <v>009943116668</v>
      </c>
      <c r="F51" s="4">
        <v>45012</v>
      </c>
      <c r="G51">
        <v>202312</v>
      </c>
      <c r="H51" t="s">
        <v>119</v>
      </c>
      <c r="I51" t="s">
        <v>120</v>
      </c>
      <c r="J51" t="s">
        <v>260</v>
      </c>
      <c r="K51" t="s">
        <v>64</v>
      </c>
      <c r="L51" t="s">
        <v>179</v>
      </c>
      <c r="M51" t="s">
        <v>180</v>
      </c>
      <c r="N51" t="s">
        <v>257</v>
      </c>
      <c r="O51" t="s">
        <v>203</v>
      </c>
      <c r="P51" t="str">
        <f t="shared" si="2"/>
        <v xml:space="preserve">N A   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22.91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2.9</v>
      </c>
      <c r="BJ51" s="3">
        <v>9.1999999999999993</v>
      </c>
      <c r="BK51" s="3">
        <v>10</v>
      </c>
      <c r="BL51" s="3">
        <v>64.569999999999993</v>
      </c>
      <c r="BM51" s="3">
        <v>9.69</v>
      </c>
      <c r="BN51" s="3">
        <v>74.260000000000005</v>
      </c>
      <c r="BO51" s="3">
        <v>74.260000000000005</v>
      </c>
      <c r="BQ51" t="s">
        <v>378</v>
      </c>
      <c r="BR51" t="s">
        <v>263</v>
      </c>
      <c r="BS51" t="s">
        <v>157</v>
      </c>
      <c r="BY51">
        <v>45908.480000000003</v>
      </c>
      <c r="BZ51" t="s">
        <v>97</v>
      </c>
      <c r="CC51" t="s">
        <v>180</v>
      </c>
      <c r="CD51">
        <v>1725</v>
      </c>
      <c r="CE51" t="s">
        <v>83</v>
      </c>
      <c r="CI51">
        <v>1</v>
      </c>
      <c r="CJ51" t="s">
        <v>157</v>
      </c>
      <c r="CK51">
        <v>32</v>
      </c>
      <c r="CL51" t="s">
        <v>72</v>
      </c>
    </row>
    <row r="52" spans="1:90" x14ac:dyDescent="0.3">
      <c r="A52" t="s">
        <v>258</v>
      </c>
      <c r="B52" t="s">
        <v>259</v>
      </c>
      <c r="C52" t="s">
        <v>61</v>
      </c>
      <c r="E52" t="str">
        <f>"009943116641"</f>
        <v>009943116641</v>
      </c>
      <c r="F52" s="4">
        <v>45012</v>
      </c>
      <c r="G52">
        <v>202312</v>
      </c>
      <c r="H52" t="s">
        <v>119</v>
      </c>
      <c r="I52" t="s">
        <v>120</v>
      </c>
      <c r="J52" t="s">
        <v>260</v>
      </c>
      <c r="K52" t="s">
        <v>64</v>
      </c>
      <c r="L52" t="s">
        <v>65</v>
      </c>
      <c r="M52" t="s">
        <v>66</v>
      </c>
      <c r="N52" t="s">
        <v>379</v>
      </c>
      <c r="O52" t="s">
        <v>203</v>
      </c>
      <c r="P52" t="str">
        <f t="shared" si="2"/>
        <v xml:space="preserve">N A   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44.9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1</v>
      </c>
      <c r="BJ52" s="3">
        <v>0.2</v>
      </c>
      <c r="BK52" s="3">
        <v>1</v>
      </c>
      <c r="BL52" s="3">
        <v>126.54</v>
      </c>
      <c r="BM52" s="3">
        <v>18.98</v>
      </c>
      <c r="BN52" s="3">
        <v>145.52000000000001</v>
      </c>
      <c r="BO52" s="3">
        <v>145.52000000000001</v>
      </c>
      <c r="BQ52" t="s">
        <v>380</v>
      </c>
      <c r="BR52" t="s">
        <v>381</v>
      </c>
      <c r="BS52" s="1">
        <v>45013</v>
      </c>
      <c r="BT52" s="2">
        <v>0.53263888888888888</v>
      </c>
      <c r="BU52" t="s">
        <v>382</v>
      </c>
      <c r="BV52" t="s">
        <v>69</v>
      </c>
      <c r="BY52">
        <v>1200</v>
      </c>
      <c r="BZ52" t="s">
        <v>97</v>
      </c>
      <c r="CA52" t="s">
        <v>228</v>
      </c>
      <c r="CC52" t="s">
        <v>66</v>
      </c>
      <c r="CD52">
        <v>7700</v>
      </c>
      <c r="CE52" t="s">
        <v>83</v>
      </c>
      <c r="CF52" s="1">
        <v>45014</v>
      </c>
      <c r="CI52">
        <v>1</v>
      </c>
      <c r="CJ52">
        <v>1</v>
      </c>
      <c r="CK52">
        <v>31</v>
      </c>
      <c r="CL52" t="s">
        <v>72</v>
      </c>
    </row>
    <row r="53" spans="1:90" x14ac:dyDescent="0.3">
      <c r="A53" t="s">
        <v>258</v>
      </c>
      <c r="B53" t="s">
        <v>259</v>
      </c>
      <c r="C53" t="s">
        <v>61</v>
      </c>
      <c r="E53" t="str">
        <f>"009943116672"</f>
        <v>009943116672</v>
      </c>
      <c r="F53" s="4">
        <v>45012</v>
      </c>
      <c r="G53">
        <v>202312</v>
      </c>
      <c r="H53" t="s">
        <v>119</v>
      </c>
      <c r="I53" t="s">
        <v>120</v>
      </c>
      <c r="J53" t="s">
        <v>260</v>
      </c>
      <c r="K53" t="s">
        <v>64</v>
      </c>
      <c r="L53" t="s">
        <v>117</v>
      </c>
      <c r="M53" t="s">
        <v>118</v>
      </c>
      <c r="N53" t="s">
        <v>257</v>
      </c>
      <c r="O53" t="s">
        <v>203</v>
      </c>
      <c r="P53" t="str">
        <f t="shared" si="2"/>
        <v xml:space="preserve">N A  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67.349999999999994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0.9</v>
      </c>
      <c r="BJ53" s="3">
        <v>5.4</v>
      </c>
      <c r="BK53" s="3">
        <v>6</v>
      </c>
      <c r="BL53" s="3">
        <v>189.81</v>
      </c>
      <c r="BM53" s="3">
        <v>28.47</v>
      </c>
      <c r="BN53" s="3">
        <v>218.28</v>
      </c>
      <c r="BO53" s="3">
        <v>218.28</v>
      </c>
      <c r="BQ53" t="s">
        <v>383</v>
      </c>
      <c r="BR53" t="s">
        <v>263</v>
      </c>
      <c r="BS53" s="1">
        <v>45013</v>
      </c>
      <c r="BT53" s="2">
        <v>0.54166666666666663</v>
      </c>
      <c r="BU53" t="s">
        <v>384</v>
      </c>
      <c r="BV53" t="s">
        <v>69</v>
      </c>
      <c r="BY53">
        <v>26861.52</v>
      </c>
      <c r="BZ53" t="s">
        <v>97</v>
      </c>
      <c r="CA53" t="s">
        <v>224</v>
      </c>
      <c r="CC53" t="s">
        <v>118</v>
      </c>
      <c r="CD53">
        <v>5205</v>
      </c>
      <c r="CE53" t="s">
        <v>83</v>
      </c>
      <c r="CF53" s="1">
        <v>45013</v>
      </c>
      <c r="CI53">
        <v>1</v>
      </c>
      <c r="CJ53">
        <v>1</v>
      </c>
      <c r="CK53">
        <v>31</v>
      </c>
      <c r="CL53" t="s">
        <v>72</v>
      </c>
    </row>
    <row r="54" spans="1:90" x14ac:dyDescent="0.3">
      <c r="A54" t="s">
        <v>258</v>
      </c>
      <c r="B54" t="s">
        <v>259</v>
      </c>
      <c r="C54" t="s">
        <v>61</v>
      </c>
      <c r="E54" t="str">
        <f>"009943116664"</f>
        <v>009943116664</v>
      </c>
      <c r="F54" s="4">
        <v>45012</v>
      </c>
      <c r="G54">
        <v>202312</v>
      </c>
      <c r="H54" t="s">
        <v>119</v>
      </c>
      <c r="I54" t="s">
        <v>120</v>
      </c>
      <c r="J54" t="s">
        <v>260</v>
      </c>
      <c r="K54" t="s">
        <v>64</v>
      </c>
      <c r="L54" t="s">
        <v>90</v>
      </c>
      <c r="M54" t="s">
        <v>91</v>
      </c>
      <c r="N54" t="s">
        <v>385</v>
      </c>
      <c r="O54" t="s">
        <v>203</v>
      </c>
      <c r="P54" t="str">
        <f t="shared" si="2"/>
        <v xml:space="preserve">N A   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20.81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15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2</v>
      </c>
      <c r="BJ54" s="3">
        <v>8.9</v>
      </c>
      <c r="BK54" s="3">
        <v>9</v>
      </c>
      <c r="BL54" s="3">
        <v>73.650000000000006</v>
      </c>
      <c r="BM54" s="3">
        <v>11.05</v>
      </c>
      <c r="BN54" s="3">
        <v>84.7</v>
      </c>
      <c r="BO54" s="3">
        <v>84.7</v>
      </c>
      <c r="BQ54" t="s">
        <v>386</v>
      </c>
      <c r="BR54" t="s">
        <v>263</v>
      </c>
      <c r="BS54" s="1">
        <v>45013</v>
      </c>
      <c r="BT54" s="2">
        <v>0.46458333333333335</v>
      </c>
      <c r="BU54" t="s">
        <v>387</v>
      </c>
      <c r="BV54" t="s">
        <v>69</v>
      </c>
      <c r="BY54">
        <v>44375.88</v>
      </c>
      <c r="BZ54" t="s">
        <v>174</v>
      </c>
      <c r="CA54" t="s">
        <v>93</v>
      </c>
      <c r="CC54" t="s">
        <v>91</v>
      </c>
      <c r="CD54">
        <v>1685</v>
      </c>
      <c r="CE54" t="s">
        <v>83</v>
      </c>
      <c r="CF54" s="1">
        <v>45014</v>
      </c>
      <c r="CI54">
        <v>1</v>
      </c>
      <c r="CJ54">
        <v>1</v>
      </c>
      <c r="CK54">
        <v>32</v>
      </c>
      <c r="CL54" t="s">
        <v>72</v>
      </c>
    </row>
    <row r="55" spans="1:90" x14ac:dyDescent="0.3">
      <c r="A55" t="s">
        <v>258</v>
      </c>
      <c r="B55" t="s">
        <v>259</v>
      </c>
      <c r="C55" t="s">
        <v>61</v>
      </c>
      <c r="E55" t="str">
        <f>"009943116662"</f>
        <v>009943116662</v>
      </c>
      <c r="F55" s="4">
        <v>45012</v>
      </c>
      <c r="G55">
        <v>202312</v>
      </c>
      <c r="H55" t="s">
        <v>119</v>
      </c>
      <c r="I55" t="s">
        <v>120</v>
      </c>
      <c r="J55" t="s">
        <v>260</v>
      </c>
      <c r="K55" t="s">
        <v>64</v>
      </c>
      <c r="L55" t="s">
        <v>158</v>
      </c>
      <c r="M55" t="s">
        <v>159</v>
      </c>
      <c r="N55" t="s">
        <v>257</v>
      </c>
      <c r="O55" t="s">
        <v>203</v>
      </c>
      <c r="P55" t="str">
        <f t="shared" si="2"/>
        <v xml:space="preserve">N A   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20.81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1.9</v>
      </c>
      <c r="BJ55" s="3">
        <v>8.8000000000000007</v>
      </c>
      <c r="BK55" s="3">
        <v>9</v>
      </c>
      <c r="BL55" s="3">
        <v>58.65</v>
      </c>
      <c r="BM55" s="3">
        <v>8.8000000000000007</v>
      </c>
      <c r="BN55" s="3">
        <v>67.45</v>
      </c>
      <c r="BO55" s="3">
        <v>67.45</v>
      </c>
      <c r="BQ55" t="s">
        <v>388</v>
      </c>
      <c r="BR55" t="s">
        <v>263</v>
      </c>
      <c r="BS55" s="1">
        <v>45013</v>
      </c>
      <c r="BT55" s="2">
        <v>0.4375</v>
      </c>
      <c r="BU55" t="s">
        <v>219</v>
      </c>
      <c r="BV55" t="s">
        <v>69</v>
      </c>
      <c r="BY55">
        <v>43898.720000000001</v>
      </c>
      <c r="BZ55" t="s">
        <v>97</v>
      </c>
      <c r="CC55" t="s">
        <v>159</v>
      </c>
      <c r="CD55">
        <v>1682</v>
      </c>
      <c r="CE55" t="s">
        <v>83</v>
      </c>
      <c r="CF55" s="1">
        <v>45014</v>
      </c>
      <c r="CI55">
        <v>1</v>
      </c>
      <c r="CJ55">
        <v>1</v>
      </c>
      <c r="CK55">
        <v>32</v>
      </c>
      <c r="CL55" t="s">
        <v>72</v>
      </c>
    </row>
    <row r="56" spans="1:90" x14ac:dyDescent="0.3">
      <c r="A56" t="s">
        <v>258</v>
      </c>
      <c r="B56" t="s">
        <v>259</v>
      </c>
      <c r="C56" t="s">
        <v>61</v>
      </c>
      <c r="E56" t="str">
        <f>"009943056422"</f>
        <v>009943056422</v>
      </c>
      <c r="F56" s="4">
        <v>45013</v>
      </c>
      <c r="G56">
        <v>202312</v>
      </c>
      <c r="H56" t="s">
        <v>90</v>
      </c>
      <c r="I56" t="s">
        <v>91</v>
      </c>
      <c r="J56" t="s">
        <v>389</v>
      </c>
      <c r="K56" t="s">
        <v>64</v>
      </c>
      <c r="L56" t="s">
        <v>119</v>
      </c>
      <c r="M56" t="s">
        <v>120</v>
      </c>
      <c r="N56" t="s">
        <v>272</v>
      </c>
      <c r="O56" t="s">
        <v>67</v>
      </c>
      <c r="P56" t="str">
        <f>"..                            "</f>
        <v xml:space="preserve">..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18.71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</v>
      </c>
      <c r="BJ56" s="3">
        <v>0.2</v>
      </c>
      <c r="BK56" s="3">
        <v>1</v>
      </c>
      <c r="BL56" s="3">
        <v>52.72</v>
      </c>
      <c r="BM56" s="3">
        <v>7.91</v>
      </c>
      <c r="BN56" s="3">
        <v>60.63</v>
      </c>
      <c r="BO56" s="3">
        <v>60.63</v>
      </c>
      <c r="BQ56" t="s">
        <v>249</v>
      </c>
      <c r="BR56" t="s">
        <v>274</v>
      </c>
      <c r="BS56" s="1">
        <v>45014</v>
      </c>
      <c r="BT56" s="2">
        <v>0.41666666666666669</v>
      </c>
      <c r="BU56" t="s">
        <v>147</v>
      </c>
      <c r="BV56" t="s">
        <v>69</v>
      </c>
      <c r="BY56">
        <v>1200</v>
      </c>
      <c r="BZ56" t="s">
        <v>70</v>
      </c>
      <c r="CC56" t="s">
        <v>120</v>
      </c>
      <c r="CD56">
        <v>2013</v>
      </c>
      <c r="CE56" t="s">
        <v>83</v>
      </c>
      <c r="CF56" s="1">
        <v>45015</v>
      </c>
      <c r="CI56">
        <v>1</v>
      </c>
      <c r="CJ56">
        <v>1</v>
      </c>
      <c r="CK56">
        <v>22</v>
      </c>
      <c r="CL56" t="s">
        <v>72</v>
      </c>
    </row>
    <row r="57" spans="1:90" x14ac:dyDescent="0.3">
      <c r="A57" t="s">
        <v>258</v>
      </c>
      <c r="B57" t="s">
        <v>259</v>
      </c>
      <c r="C57" t="s">
        <v>61</v>
      </c>
      <c r="E57" t="str">
        <f>"009941300044"</f>
        <v>009941300044</v>
      </c>
      <c r="F57" s="4">
        <v>45013</v>
      </c>
      <c r="G57">
        <v>202312</v>
      </c>
      <c r="H57" t="s">
        <v>119</v>
      </c>
      <c r="I57" t="s">
        <v>120</v>
      </c>
      <c r="J57" t="s">
        <v>390</v>
      </c>
      <c r="K57" t="s">
        <v>64</v>
      </c>
      <c r="L57" t="s">
        <v>119</v>
      </c>
      <c r="M57" t="s">
        <v>120</v>
      </c>
      <c r="N57" t="s">
        <v>272</v>
      </c>
      <c r="O57" t="s">
        <v>96</v>
      </c>
      <c r="P57" t="str">
        <f>"N A                           "</f>
        <v xml:space="preserve">N A  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5.25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35.729999999999997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1</v>
      </c>
      <c r="BJ57" s="3">
        <v>0.2</v>
      </c>
      <c r="BK57" s="3">
        <v>1</v>
      </c>
      <c r="BL57" s="3">
        <v>105.95</v>
      </c>
      <c r="BM57" s="3">
        <v>15.89</v>
      </c>
      <c r="BN57" s="3">
        <v>121.84</v>
      </c>
      <c r="BO57" s="3">
        <v>121.84</v>
      </c>
      <c r="BQ57" t="s">
        <v>214</v>
      </c>
      <c r="BR57" t="s">
        <v>214</v>
      </c>
      <c r="BS57" s="1">
        <v>45014</v>
      </c>
      <c r="BT57" s="2">
        <v>0.4236111111111111</v>
      </c>
      <c r="BU57" t="s">
        <v>147</v>
      </c>
      <c r="BV57" t="s">
        <v>69</v>
      </c>
      <c r="BY57">
        <v>1200</v>
      </c>
      <c r="BZ57" t="s">
        <v>97</v>
      </c>
      <c r="CC57" t="s">
        <v>120</v>
      </c>
      <c r="CD57">
        <v>2013</v>
      </c>
      <c r="CE57" t="s">
        <v>83</v>
      </c>
      <c r="CF57" s="1">
        <v>45015</v>
      </c>
      <c r="CI57">
        <v>1</v>
      </c>
      <c r="CJ57">
        <v>1</v>
      </c>
      <c r="CK57">
        <v>42</v>
      </c>
      <c r="CL57" t="s">
        <v>72</v>
      </c>
    </row>
    <row r="58" spans="1:90" x14ac:dyDescent="0.3">
      <c r="A58" t="s">
        <v>258</v>
      </c>
      <c r="B58" t="s">
        <v>259</v>
      </c>
      <c r="C58" t="s">
        <v>61</v>
      </c>
      <c r="E58" t="str">
        <f>"009942877373"</f>
        <v>009942877373</v>
      </c>
      <c r="F58" s="4">
        <v>45013</v>
      </c>
      <c r="G58">
        <v>202312</v>
      </c>
      <c r="H58" t="s">
        <v>254</v>
      </c>
      <c r="I58" t="s">
        <v>255</v>
      </c>
      <c r="J58" t="s">
        <v>271</v>
      </c>
      <c r="K58" t="s">
        <v>64</v>
      </c>
      <c r="L58" t="s">
        <v>119</v>
      </c>
      <c r="M58" t="s">
        <v>120</v>
      </c>
      <c r="N58" t="s">
        <v>272</v>
      </c>
      <c r="O58" t="s">
        <v>96</v>
      </c>
      <c r="P58" t="str">
        <f>"                              "</f>
        <v xml:space="preserve">      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5.25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46.31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0.2</v>
      </c>
      <c r="BK58" s="3">
        <v>1</v>
      </c>
      <c r="BL58" s="3">
        <v>135.76</v>
      </c>
      <c r="BM58" s="3">
        <v>20.36</v>
      </c>
      <c r="BN58" s="3">
        <v>156.12</v>
      </c>
      <c r="BO58" s="3">
        <v>156.12</v>
      </c>
      <c r="BP58">
        <v>9943279569</v>
      </c>
      <c r="BQ58" t="s">
        <v>313</v>
      </c>
      <c r="BR58" t="s">
        <v>391</v>
      </c>
      <c r="BS58" s="1">
        <v>45014</v>
      </c>
      <c r="BT58" s="2">
        <v>0.41666666666666669</v>
      </c>
      <c r="BU58" t="s">
        <v>392</v>
      </c>
      <c r="BV58" t="s">
        <v>69</v>
      </c>
      <c r="BY58">
        <v>1200</v>
      </c>
      <c r="BZ58" t="s">
        <v>97</v>
      </c>
      <c r="CA58" t="s">
        <v>189</v>
      </c>
      <c r="CC58" t="s">
        <v>120</v>
      </c>
      <c r="CD58">
        <v>2001</v>
      </c>
      <c r="CE58" t="s">
        <v>83</v>
      </c>
      <c r="CF58" s="1">
        <v>45015</v>
      </c>
      <c r="CI58">
        <v>1</v>
      </c>
      <c r="CJ58">
        <v>1</v>
      </c>
      <c r="CK58">
        <v>41</v>
      </c>
      <c r="CL58" t="s">
        <v>72</v>
      </c>
    </row>
    <row r="59" spans="1:90" x14ac:dyDescent="0.3">
      <c r="A59" t="s">
        <v>258</v>
      </c>
      <c r="B59" t="s">
        <v>259</v>
      </c>
      <c r="C59" t="s">
        <v>61</v>
      </c>
      <c r="E59" t="str">
        <f>"009942844511"</f>
        <v>009942844511</v>
      </c>
      <c r="F59" s="4">
        <v>45013</v>
      </c>
      <c r="G59">
        <v>202312</v>
      </c>
      <c r="H59" t="s">
        <v>114</v>
      </c>
      <c r="I59" t="s">
        <v>115</v>
      </c>
      <c r="J59" t="s">
        <v>390</v>
      </c>
      <c r="K59" t="s">
        <v>64</v>
      </c>
      <c r="L59" t="s">
        <v>119</v>
      </c>
      <c r="M59" t="s">
        <v>120</v>
      </c>
      <c r="N59" t="s">
        <v>272</v>
      </c>
      <c r="O59" t="s">
        <v>96</v>
      </c>
      <c r="P59" t="str">
        <f>"NA                            "</f>
        <v xml:space="preserve">NA    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5.25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35.729999999999997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1</v>
      </c>
      <c r="BJ59" s="3">
        <v>0.2</v>
      </c>
      <c r="BK59" s="3">
        <v>1</v>
      </c>
      <c r="BL59" s="3">
        <v>105.95</v>
      </c>
      <c r="BM59" s="3">
        <v>15.89</v>
      </c>
      <c r="BN59" s="3">
        <v>121.84</v>
      </c>
      <c r="BO59" s="3">
        <v>121.84</v>
      </c>
      <c r="BQ59" t="s">
        <v>214</v>
      </c>
      <c r="BR59" t="s">
        <v>214</v>
      </c>
      <c r="BS59" s="1">
        <v>45014</v>
      </c>
      <c r="BT59" s="2">
        <v>0.41666666666666669</v>
      </c>
      <c r="BU59" t="s">
        <v>147</v>
      </c>
      <c r="BV59" t="s">
        <v>69</v>
      </c>
      <c r="BY59">
        <v>1200</v>
      </c>
      <c r="BZ59" t="s">
        <v>97</v>
      </c>
      <c r="CC59" t="s">
        <v>120</v>
      </c>
      <c r="CD59">
        <v>2013</v>
      </c>
      <c r="CE59" t="s">
        <v>83</v>
      </c>
      <c r="CF59" s="1">
        <v>45015</v>
      </c>
      <c r="CI59">
        <v>1</v>
      </c>
      <c r="CJ59">
        <v>1</v>
      </c>
      <c r="CK59">
        <v>42</v>
      </c>
      <c r="CL59" t="s">
        <v>72</v>
      </c>
    </row>
    <row r="60" spans="1:90" x14ac:dyDescent="0.3">
      <c r="A60" t="s">
        <v>258</v>
      </c>
      <c r="B60" t="s">
        <v>259</v>
      </c>
      <c r="C60" t="s">
        <v>61</v>
      </c>
      <c r="E60" t="str">
        <f>"009943116684"</f>
        <v>009943116684</v>
      </c>
      <c r="F60" s="4">
        <v>45013</v>
      </c>
      <c r="G60">
        <v>202312</v>
      </c>
      <c r="H60" t="s">
        <v>119</v>
      </c>
      <c r="I60" t="s">
        <v>120</v>
      </c>
      <c r="J60" t="s">
        <v>260</v>
      </c>
      <c r="K60" t="s">
        <v>64</v>
      </c>
      <c r="L60" t="s">
        <v>105</v>
      </c>
      <c r="M60" t="s">
        <v>106</v>
      </c>
      <c r="N60" t="s">
        <v>393</v>
      </c>
      <c r="O60" t="s">
        <v>203</v>
      </c>
      <c r="P60" t="str">
        <f t="shared" ref="P60:P65" si="3">"N A                           "</f>
        <v xml:space="preserve">N A   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44.9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0.2</v>
      </c>
      <c r="BJ60" s="3">
        <v>2.2999999999999998</v>
      </c>
      <c r="BK60" s="3">
        <v>3</v>
      </c>
      <c r="BL60" s="3">
        <v>126.54</v>
      </c>
      <c r="BM60" s="3">
        <v>18.98</v>
      </c>
      <c r="BN60" s="3">
        <v>145.52000000000001</v>
      </c>
      <c r="BO60" s="3">
        <v>145.52000000000001</v>
      </c>
      <c r="BQ60" t="s">
        <v>394</v>
      </c>
      <c r="BR60" t="s">
        <v>263</v>
      </c>
      <c r="BS60" t="s">
        <v>157</v>
      </c>
      <c r="BW60" t="s">
        <v>86</v>
      </c>
      <c r="BX60" t="s">
        <v>87</v>
      </c>
      <c r="BY60">
        <v>11363.94</v>
      </c>
      <c r="BZ60" t="s">
        <v>97</v>
      </c>
      <c r="CC60" t="s">
        <v>106</v>
      </c>
      <c r="CD60">
        <v>184</v>
      </c>
      <c r="CE60" t="s">
        <v>83</v>
      </c>
      <c r="CI60">
        <v>1</v>
      </c>
      <c r="CJ60" t="s">
        <v>157</v>
      </c>
      <c r="CK60">
        <v>31</v>
      </c>
      <c r="CL60" t="s">
        <v>72</v>
      </c>
    </row>
    <row r="61" spans="1:90" x14ac:dyDescent="0.3">
      <c r="A61" t="s">
        <v>258</v>
      </c>
      <c r="B61" t="s">
        <v>259</v>
      </c>
      <c r="C61" t="s">
        <v>61</v>
      </c>
      <c r="E61" t="str">
        <f>"009943116683"</f>
        <v>009943116683</v>
      </c>
      <c r="F61" s="4">
        <v>45013</v>
      </c>
      <c r="G61">
        <v>202312</v>
      </c>
      <c r="H61" t="s">
        <v>119</v>
      </c>
      <c r="I61" t="s">
        <v>120</v>
      </c>
      <c r="J61" t="s">
        <v>260</v>
      </c>
      <c r="K61" t="s">
        <v>64</v>
      </c>
      <c r="L61" t="s">
        <v>62</v>
      </c>
      <c r="M61" t="s">
        <v>63</v>
      </c>
      <c r="N61" t="s">
        <v>395</v>
      </c>
      <c r="O61" t="s">
        <v>203</v>
      </c>
      <c r="P61" t="str">
        <f t="shared" si="3"/>
        <v xml:space="preserve">N A   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18.71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1</v>
      </c>
      <c r="BJ61" s="3">
        <v>0.2</v>
      </c>
      <c r="BK61" s="3">
        <v>1</v>
      </c>
      <c r="BL61" s="3">
        <v>52.73</v>
      </c>
      <c r="BM61" s="3">
        <v>7.91</v>
      </c>
      <c r="BN61" s="3">
        <v>60.64</v>
      </c>
      <c r="BO61" s="3">
        <v>60.64</v>
      </c>
      <c r="BQ61" t="s">
        <v>214</v>
      </c>
      <c r="BR61" t="s">
        <v>263</v>
      </c>
      <c r="BS61" s="1">
        <v>45014</v>
      </c>
      <c r="BT61" s="2">
        <v>0.57152777777777775</v>
      </c>
      <c r="BU61" t="s">
        <v>396</v>
      </c>
      <c r="BV61" t="s">
        <v>72</v>
      </c>
      <c r="BW61" t="s">
        <v>103</v>
      </c>
      <c r="BX61" t="s">
        <v>109</v>
      </c>
      <c r="BY61">
        <v>1200</v>
      </c>
      <c r="BZ61" t="s">
        <v>97</v>
      </c>
      <c r="CA61" t="s">
        <v>178</v>
      </c>
      <c r="CC61" t="s">
        <v>63</v>
      </c>
      <c r="CD61">
        <v>1619</v>
      </c>
      <c r="CE61" t="s">
        <v>83</v>
      </c>
      <c r="CF61" s="1">
        <v>45015</v>
      </c>
      <c r="CI61">
        <v>1</v>
      </c>
      <c r="CJ61">
        <v>1</v>
      </c>
      <c r="CK61">
        <v>32</v>
      </c>
      <c r="CL61" t="s">
        <v>72</v>
      </c>
    </row>
    <row r="62" spans="1:90" x14ac:dyDescent="0.3">
      <c r="A62" t="s">
        <v>258</v>
      </c>
      <c r="B62" t="s">
        <v>259</v>
      </c>
      <c r="C62" t="s">
        <v>61</v>
      </c>
      <c r="E62" t="str">
        <f>"009943116682"</f>
        <v>009943116682</v>
      </c>
      <c r="F62" s="4">
        <v>45013</v>
      </c>
      <c r="G62">
        <v>202312</v>
      </c>
      <c r="H62" t="s">
        <v>119</v>
      </c>
      <c r="I62" t="s">
        <v>120</v>
      </c>
      <c r="J62" t="s">
        <v>260</v>
      </c>
      <c r="K62" t="s">
        <v>64</v>
      </c>
      <c r="L62" t="s">
        <v>73</v>
      </c>
      <c r="M62" t="s">
        <v>74</v>
      </c>
      <c r="N62" t="s">
        <v>397</v>
      </c>
      <c r="O62" t="s">
        <v>203</v>
      </c>
      <c r="P62" t="str">
        <f t="shared" si="3"/>
        <v xml:space="preserve">N A   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44.9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0.2</v>
      </c>
      <c r="BJ62" s="3">
        <v>2.4</v>
      </c>
      <c r="BK62" s="3">
        <v>3</v>
      </c>
      <c r="BL62" s="3">
        <v>126.54</v>
      </c>
      <c r="BM62" s="3">
        <v>18.98</v>
      </c>
      <c r="BN62" s="3">
        <v>145.52000000000001</v>
      </c>
      <c r="BO62" s="3">
        <v>145.52000000000001</v>
      </c>
      <c r="BQ62" t="s">
        <v>398</v>
      </c>
      <c r="BR62" t="s">
        <v>263</v>
      </c>
      <c r="BS62" s="1">
        <v>45014</v>
      </c>
      <c r="BT62" s="2">
        <v>0.4069444444444445</v>
      </c>
      <c r="BU62" t="s">
        <v>399</v>
      </c>
      <c r="BV62" t="s">
        <v>69</v>
      </c>
      <c r="BY62">
        <v>11809.41</v>
      </c>
      <c r="BZ62" t="s">
        <v>97</v>
      </c>
      <c r="CA62" t="s">
        <v>252</v>
      </c>
      <c r="CC62" t="s">
        <v>74</v>
      </c>
      <c r="CD62">
        <v>6000</v>
      </c>
      <c r="CE62" t="s">
        <v>83</v>
      </c>
      <c r="CF62" s="1">
        <v>45014</v>
      </c>
      <c r="CI62">
        <v>1</v>
      </c>
      <c r="CJ62">
        <v>1</v>
      </c>
      <c r="CK62">
        <v>31</v>
      </c>
      <c r="CL62" t="s">
        <v>72</v>
      </c>
    </row>
    <row r="63" spans="1:90" x14ac:dyDescent="0.3">
      <c r="A63" t="s">
        <v>258</v>
      </c>
      <c r="B63" t="s">
        <v>259</v>
      </c>
      <c r="C63" t="s">
        <v>61</v>
      </c>
      <c r="E63" t="str">
        <f>"009943116640"</f>
        <v>009943116640</v>
      </c>
      <c r="F63" s="4">
        <v>45013</v>
      </c>
      <c r="G63">
        <v>202312</v>
      </c>
      <c r="H63" t="s">
        <v>119</v>
      </c>
      <c r="I63" t="s">
        <v>120</v>
      </c>
      <c r="J63" t="s">
        <v>260</v>
      </c>
      <c r="K63" t="s">
        <v>64</v>
      </c>
      <c r="L63" t="s">
        <v>254</v>
      </c>
      <c r="M63" t="s">
        <v>255</v>
      </c>
      <c r="N63" t="s">
        <v>400</v>
      </c>
      <c r="O63" t="s">
        <v>96</v>
      </c>
      <c r="P63" t="str">
        <f t="shared" si="3"/>
        <v xml:space="preserve">N A   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5.25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46.31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1.2</v>
      </c>
      <c r="BJ63" s="3">
        <v>5.6</v>
      </c>
      <c r="BK63" s="3">
        <v>6</v>
      </c>
      <c r="BL63" s="3">
        <v>135.76</v>
      </c>
      <c r="BM63" s="3">
        <v>20.36</v>
      </c>
      <c r="BN63" s="3">
        <v>156.12</v>
      </c>
      <c r="BO63" s="3">
        <v>156.12</v>
      </c>
      <c r="BQ63" t="s">
        <v>401</v>
      </c>
      <c r="BR63" t="s">
        <v>263</v>
      </c>
      <c r="BS63" s="1">
        <v>45014</v>
      </c>
      <c r="BT63" s="2">
        <v>0.48055555555555557</v>
      </c>
      <c r="BU63" t="s">
        <v>401</v>
      </c>
      <c r="BV63" t="s">
        <v>69</v>
      </c>
      <c r="BY63">
        <v>27880.26</v>
      </c>
      <c r="BZ63" t="s">
        <v>97</v>
      </c>
      <c r="CA63" t="s">
        <v>244</v>
      </c>
      <c r="CC63" t="s">
        <v>255</v>
      </c>
      <c r="CD63">
        <v>699</v>
      </c>
      <c r="CE63" t="s">
        <v>83</v>
      </c>
      <c r="CF63" s="1">
        <v>45014</v>
      </c>
      <c r="CI63">
        <v>1</v>
      </c>
      <c r="CJ63">
        <v>1</v>
      </c>
      <c r="CK63">
        <v>41</v>
      </c>
      <c r="CL63" t="s">
        <v>72</v>
      </c>
    </row>
    <row r="64" spans="1:90" x14ac:dyDescent="0.3">
      <c r="A64" t="s">
        <v>258</v>
      </c>
      <c r="B64" t="s">
        <v>259</v>
      </c>
      <c r="C64" t="s">
        <v>61</v>
      </c>
      <c r="E64" t="str">
        <f>"009943116681"</f>
        <v>009943116681</v>
      </c>
      <c r="F64" s="4">
        <v>45013</v>
      </c>
      <c r="G64">
        <v>202312</v>
      </c>
      <c r="H64" t="s">
        <v>119</v>
      </c>
      <c r="I64" t="s">
        <v>120</v>
      </c>
      <c r="J64" t="s">
        <v>260</v>
      </c>
      <c r="K64" t="s">
        <v>64</v>
      </c>
      <c r="L64" t="s">
        <v>136</v>
      </c>
      <c r="M64" t="s">
        <v>137</v>
      </c>
      <c r="N64" t="s">
        <v>402</v>
      </c>
      <c r="O64" t="s">
        <v>203</v>
      </c>
      <c r="P64" t="str">
        <f t="shared" si="3"/>
        <v xml:space="preserve">N A   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18.71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1.8</v>
      </c>
      <c r="BJ64" s="3">
        <v>7.2</v>
      </c>
      <c r="BK64" s="3">
        <v>8</v>
      </c>
      <c r="BL64" s="3">
        <v>52.73</v>
      </c>
      <c r="BM64" s="3">
        <v>7.91</v>
      </c>
      <c r="BN64" s="3">
        <v>60.64</v>
      </c>
      <c r="BO64" s="3">
        <v>60.64</v>
      </c>
      <c r="BQ64" t="s">
        <v>403</v>
      </c>
      <c r="BR64" t="s">
        <v>263</v>
      </c>
      <c r="BS64" t="s">
        <v>157</v>
      </c>
      <c r="BY64">
        <v>35915.22</v>
      </c>
      <c r="BZ64" t="s">
        <v>97</v>
      </c>
      <c r="CC64" t="s">
        <v>137</v>
      </c>
      <c r="CD64">
        <v>1401</v>
      </c>
      <c r="CE64" t="s">
        <v>83</v>
      </c>
      <c r="CI64">
        <v>1</v>
      </c>
      <c r="CJ64" t="s">
        <v>157</v>
      </c>
      <c r="CK64">
        <v>32</v>
      </c>
      <c r="CL64" t="s">
        <v>72</v>
      </c>
    </row>
    <row r="65" spans="1:90" x14ac:dyDescent="0.3">
      <c r="A65" t="s">
        <v>258</v>
      </c>
      <c r="B65" t="s">
        <v>259</v>
      </c>
      <c r="C65" t="s">
        <v>61</v>
      </c>
      <c r="E65" t="str">
        <f>"009943116680"</f>
        <v>009943116680</v>
      </c>
      <c r="F65" s="4">
        <v>45013</v>
      </c>
      <c r="G65">
        <v>202312</v>
      </c>
      <c r="H65" t="s">
        <v>119</v>
      </c>
      <c r="I65" t="s">
        <v>120</v>
      </c>
      <c r="J65" t="s">
        <v>260</v>
      </c>
      <c r="K65" t="s">
        <v>64</v>
      </c>
      <c r="L65" t="s">
        <v>136</v>
      </c>
      <c r="M65" t="s">
        <v>137</v>
      </c>
      <c r="N65" t="s">
        <v>404</v>
      </c>
      <c r="O65" t="s">
        <v>203</v>
      </c>
      <c r="P65" t="str">
        <f t="shared" si="3"/>
        <v xml:space="preserve">N A   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18.71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1.5</v>
      </c>
      <c r="BJ65" s="3">
        <v>5.6</v>
      </c>
      <c r="BK65" s="3">
        <v>6</v>
      </c>
      <c r="BL65" s="3">
        <v>52.73</v>
      </c>
      <c r="BM65" s="3">
        <v>7.91</v>
      </c>
      <c r="BN65" s="3">
        <v>60.64</v>
      </c>
      <c r="BO65" s="3">
        <v>60.64</v>
      </c>
      <c r="BQ65" t="s">
        <v>214</v>
      </c>
      <c r="BR65" t="s">
        <v>263</v>
      </c>
      <c r="BS65" t="s">
        <v>157</v>
      </c>
      <c r="BY65">
        <v>27875.759999999998</v>
      </c>
      <c r="BZ65" t="s">
        <v>97</v>
      </c>
      <c r="CC65" t="s">
        <v>137</v>
      </c>
      <c r="CD65">
        <v>1428</v>
      </c>
      <c r="CE65" t="s">
        <v>83</v>
      </c>
      <c r="CI65">
        <v>1</v>
      </c>
      <c r="CJ65" t="s">
        <v>157</v>
      </c>
      <c r="CK65">
        <v>32</v>
      </c>
      <c r="CL65" t="s">
        <v>72</v>
      </c>
    </row>
    <row r="66" spans="1:90" x14ac:dyDescent="0.3">
      <c r="A66" t="s">
        <v>258</v>
      </c>
      <c r="B66" t="s">
        <v>259</v>
      </c>
      <c r="C66" t="s">
        <v>61</v>
      </c>
      <c r="E66" t="str">
        <f>"009943424828"</f>
        <v>009943424828</v>
      </c>
      <c r="F66" s="4">
        <v>45013</v>
      </c>
      <c r="G66">
        <v>202312</v>
      </c>
      <c r="H66" t="s">
        <v>119</v>
      </c>
      <c r="I66" t="s">
        <v>120</v>
      </c>
      <c r="J66" t="s">
        <v>405</v>
      </c>
      <c r="K66" t="s">
        <v>64</v>
      </c>
      <c r="L66" t="s">
        <v>119</v>
      </c>
      <c r="M66" t="s">
        <v>120</v>
      </c>
      <c r="N66" t="s">
        <v>406</v>
      </c>
      <c r="O66" t="s">
        <v>67</v>
      </c>
      <c r="P66" t="str">
        <f>"..                            "</f>
        <v xml:space="preserve">..    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18.71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</v>
      </c>
      <c r="BJ66" s="3">
        <v>0.2</v>
      </c>
      <c r="BK66" s="3">
        <v>1</v>
      </c>
      <c r="BL66" s="3">
        <v>52.72</v>
      </c>
      <c r="BM66" s="3">
        <v>7.91</v>
      </c>
      <c r="BN66" s="3">
        <v>60.63</v>
      </c>
      <c r="BO66" s="3">
        <v>60.63</v>
      </c>
      <c r="BQ66" t="s">
        <v>214</v>
      </c>
      <c r="BR66" t="s">
        <v>235</v>
      </c>
      <c r="BS66" s="1">
        <v>45014</v>
      </c>
      <c r="BT66" s="2">
        <v>0.41666666666666669</v>
      </c>
      <c r="BU66" t="s">
        <v>147</v>
      </c>
      <c r="BV66" t="s">
        <v>69</v>
      </c>
      <c r="BY66">
        <v>1200</v>
      </c>
      <c r="BZ66" t="s">
        <v>70</v>
      </c>
      <c r="CC66" t="s">
        <v>120</v>
      </c>
      <c r="CD66">
        <v>2013</v>
      </c>
      <c r="CE66" t="s">
        <v>83</v>
      </c>
      <c r="CF66" s="1">
        <v>45015</v>
      </c>
      <c r="CI66">
        <v>1</v>
      </c>
      <c r="CJ66">
        <v>1</v>
      </c>
      <c r="CK66">
        <v>22</v>
      </c>
      <c r="CL66" t="s">
        <v>72</v>
      </c>
    </row>
    <row r="67" spans="1:90" x14ac:dyDescent="0.3">
      <c r="A67" t="s">
        <v>258</v>
      </c>
      <c r="B67" t="s">
        <v>259</v>
      </c>
      <c r="C67" t="s">
        <v>61</v>
      </c>
      <c r="E67" t="str">
        <f>"009942837498"</f>
        <v>009942837498</v>
      </c>
      <c r="F67" s="4">
        <v>45013</v>
      </c>
      <c r="G67">
        <v>202312</v>
      </c>
      <c r="H67" t="s">
        <v>101</v>
      </c>
      <c r="I67" t="s">
        <v>102</v>
      </c>
      <c r="J67" t="s">
        <v>407</v>
      </c>
      <c r="K67" t="s">
        <v>64</v>
      </c>
      <c r="L67" t="s">
        <v>119</v>
      </c>
      <c r="M67" t="s">
        <v>120</v>
      </c>
      <c r="N67" t="s">
        <v>272</v>
      </c>
      <c r="O67" t="s">
        <v>96</v>
      </c>
      <c r="P67" t="str">
        <f>"SINOH                         "</f>
        <v xml:space="preserve">SINOH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5.25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46.31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1</v>
      </c>
      <c r="BJ67" s="3">
        <v>0.2</v>
      </c>
      <c r="BK67" s="3">
        <v>1</v>
      </c>
      <c r="BL67" s="3">
        <v>135.76</v>
      </c>
      <c r="BM67" s="3">
        <v>20.36</v>
      </c>
      <c r="BN67" s="3">
        <v>156.12</v>
      </c>
      <c r="BO67" s="3">
        <v>156.12</v>
      </c>
      <c r="BR67" t="s">
        <v>408</v>
      </c>
      <c r="BS67" s="1">
        <v>45014</v>
      </c>
      <c r="BT67" s="2">
        <v>0.41666666666666669</v>
      </c>
      <c r="BU67" t="s">
        <v>147</v>
      </c>
      <c r="BV67" t="s">
        <v>69</v>
      </c>
      <c r="BY67">
        <v>1200</v>
      </c>
      <c r="BZ67" t="s">
        <v>97</v>
      </c>
      <c r="CC67" t="s">
        <v>120</v>
      </c>
      <c r="CD67">
        <v>2001</v>
      </c>
      <c r="CE67" t="s">
        <v>83</v>
      </c>
      <c r="CF67" s="1">
        <v>45015</v>
      </c>
      <c r="CI67">
        <v>1</v>
      </c>
      <c r="CJ67">
        <v>1</v>
      </c>
      <c r="CK67">
        <v>41</v>
      </c>
      <c r="CL67" t="s">
        <v>72</v>
      </c>
    </row>
    <row r="68" spans="1:90" x14ac:dyDescent="0.3">
      <c r="A68" t="s">
        <v>258</v>
      </c>
      <c r="B68" t="s">
        <v>259</v>
      </c>
      <c r="C68" t="s">
        <v>61</v>
      </c>
      <c r="E68" t="str">
        <f>"009942116029"</f>
        <v>009942116029</v>
      </c>
      <c r="F68" s="4">
        <v>45014</v>
      </c>
      <c r="G68">
        <v>202312</v>
      </c>
      <c r="H68" t="s">
        <v>65</v>
      </c>
      <c r="I68" t="s">
        <v>66</v>
      </c>
      <c r="J68" t="s">
        <v>288</v>
      </c>
      <c r="K68" t="s">
        <v>64</v>
      </c>
      <c r="L68" t="s">
        <v>119</v>
      </c>
      <c r="M68" t="s">
        <v>120</v>
      </c>
      <c r="N68" t="s">
        <v>272</v>
      </c>
      <c r="O68" t="s">
        <v>203</v>
      </c>
      <c r="P68" t="str">
        <f>"                              "</f>
        <v xml:space="preserve">      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44.9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0.3</v>
      </c>
      <c r="BJ68" s="3">
        <v>1.2</v>
      </c>
      <c r="BK68" s="3">
        <v>2</v>
      </c>
      <c r="BL68" s="3">
        <v>126.54</v>
      </c>
      <c r="BM68" s="3">
        <v>18.98</v>
      </c>
      <c r="BN68" s="3">
        <v>145.52000000000001</v>
      </c>
      <c r="BO68" s="3">
        <v>145.52000000000001</v>
      </c>
      <c r="BR68" t="s">
        <v>409</v>
      </c>
      <c r="BS68" t="s">
        <v>157</v>
      </c>
      <c r="BY68">
        <v>5996.76</v>
      </c>
      <c r="BZ68" t="s">
        <v>97</v>
      </c>
      <c r="CC68" t="s">
        <v>120</v>
      </c>
      <c r="CD68">
        <v>2013</v>
      </c>
      <c r="CE68" t="s">
        <v>83</v>
      </c>
      <c r="CI68">
        <v>1</v>
      </c>
      <c r="CJ68" t="s">
        <v>157</v>
      </c>
      <c r="CK68">
        <v>31</v>
      </c>
      <c r="CL68" t="s">
        <v>72</v>
      </c>
    </row>
    <row r="69" spans="1:90" x14ac:dyDescent="0.3">
      <c r="A69" t="s">
        <v>258</v>
      </c>
      <c r="B69" t="s">
        <v>259</v>
      </c>
      <c r="C69" t="s">
        <v>61</v>
      </c>
      <c r="E69" t="str">
        <f>"009942776648"</f>
        <v>009942776648</v>
      </c>
      <c r="F69" s="4">
        <v>45014</v>
      </c>
      <c r="G69">
        <v>202312</v>
      </c>
      <c r="H69" t="s">
        <v>65</v>
      </c>
      <c r="I69" t="s">
        <v>66</v>
      </c>
      <c r="J69" t="s">
        <v>288</v>
      </c>
      <c r="K69" t="s">
        <v>64</v>
      </c>
      <c r="L69" t="s">
        <v>119</v>
      </c>
      <c r="M69" t="s">
        <v>120</v>
      </c>
      <c r="N69" t="s">
        <v>272</v>
      </c>
      <c r="O69" t="s">
        <v>67</v>
      </c>
      <c r="P69" t="str">
        <f>"                              "</f>
        <v xml:space="preserve">      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23.95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0.3</v>
      </c>
      <c r="BJ69" s="3">
        <v>1.5</v>
      </c>
      <c r="BK69" s="3">
        <v>1.5</v>
      </c>
      <c r="BL69" s="3">
        <v>67.489999999999995</v>
      </c>
      <c r="BM69" s="3">
        <v>10.119999999999999</v>
      </c>
      <c r="BN69" s="3">
        <v>77.61</v>
      </c>
      <c r="BO69" s="3">
        <v>77.61</v>
      </c>
      <c r="BQ69" t="s">
        <v>313</v>
      </c>
      <c r="BR69" t="s">
        <v>322</v>
      </c>
      <c r="BS69" t="s">
        <v>157</v>
      </c>
      <c r="BY69">
        <v>7555.28</v>
      </c>
      <c r="BZ69" t="s">
        <v>70</v>
      </c>
      <c r="CC69" t="s">
        <v>120</v>
      </c>
      <c r="CD69">
        <v>2016</v>
      </c>
      <c r="CE69" t="s">
        <v>83</v>
      </c>
      <c r="CI69">
        <v>1</v>
      </c>
      <c r="CJ69" t="s">
        <v>157</v>
      </c>
      <c r="CK69">
        <v>21</v>
      </c>
      <c r="CL69" t="s">
        <v>72</v>
      </c>
    </row>
    <row r="70" spans="1:90" x14ac:dyDescent="0.3">
      <c r="A70" t="s">
        <v>258</v>
      </c>
      <c r="B70" t="s">
        <v>259</v>
      </c>
      <c r="C70" t="s">
        <v>61</v>
      </c>
      <c r="E70" t="str">
        <f>"009943116676"</f>
        <v>009943116676</v>
      </c>
      <c r="F70" s="4">
        <v>45014</v>
      </c>
      <c r="G70">
        <v>202312</v>
      </c>
      <c r="H70" t="s">
        <v>119</v>
      </c>
      <c r="I70" t="s">
        <v>120</v>
      </c>
      <c r="J70" t="s">
        <v>260</v>
      </c>
      <c r="K70" t="s">
        <v>64</v>
      </c>
      <c r="L70" t="s">
        <v>62</v>
      </c>
      <c r="M70" t="s">
        <v>63</v>
      </c>
      <c r="N70" t="s">
        <v>410</v>
      </c>
      <c r="O70" t="s">
        <v>203</v>
      </c>
      <c r="P70" t="str">
        <f>"N A                           "</f>
        <v xml:space="preserve">N A   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18.71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15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0.5</v>
      </c>
      <c r="BJ70" s="3">
        <v>1.8</v>
      </c>
      <c r="BK70" s="3">
        <v>2</v>
      </c>
      <c r="BL70" s="3">
        <v>67.73</v>
      </c>
      <c r="BM70" s="3">
        <v>10.16</v>
      </c>
      <c r="BN70" s="3">
        <v>77.89</v>
      </c>
      <c r="BO70" s="3">
        <v>77.89</v>
      </c>
      <c r="BQ70" t="s">
        <v>214</v>
      </c>
      <c r="BR70" t="s">
        <v>263</v>
      </c>
      <c r="BS70" t="s">
        <v>157</v>
      </c>
      <c r="BY70">
        <v>9241.7999999999993</v>
      </c>
      <c r="BZ70" t="s">
        <v>174</v>
      </c>
      <c r="CC70" t="s">
        <v>63</v>
      </c>
      <c r="CD70">
        <v>1632</v>
      </c>
      <c r="CE70" t="s">
        <v>83</v>
      </c>
      <c r="CI70">
        <v>1</v>
      </c>
      <c r="CJ70" t="s">
        <v>157</v>
      </c>
      <c r="CK70">
        <v>32</v>
      </c>
      <c r="CL70" t="s">
        <v>72</v>
      </c>
    </row>
    <row r="71" spans="1:90" x14ac:dyDescent="0.3">
      <c r="A71" t="s">
        <v>258</v>
      </c>
      <c r="B71" t="s">
        <v>259</v>
      </c>
      <c r="C71" t="s">
        <v>61</v>
      </c>
      <c r="E71" t="str">
        <f>"009942142057"</f>
        <v>009942142057</v>
      </c>
      <c r="F71" s="4">
        <v>45014</v>
      </c>
      <c r="G71">
        <v>202312</v>
      </c>
      <c r="H71" t="s">
        <v>123</v>
      </c>
      <c r="I71" t="s">
        <v>124</v>
      </c>
      <c r="J71" t="s">
        <v>411</v>
      </c>
      <c r="K71" t="s">
        <v>64</v>
      </c>
      <c r="L71" t="s">
        <v>119</v>
      </c>
      <c r="M71" t="s">
        <v>120</v>
      </c>
      <c r="N71" t="s">
        <v>272</v>
      </c>
      <c r="O71" t="s">
        <v>96</v>
      </c>
      <c r="P71" t="str">
        <f>"NOREF                         "</f>
        <v xml:space="preserve">NOREF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5.25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46.31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</v>
      </c>
      <c r="BJ71" s="3">
        <v>0.2</v>
      </c>
      <c r="BK71" s="3">
        <v>1</v>
      </c>
      <c r="BL71" s="3">
        <v>135.76</v>
      </c>
      <c r="BM71" s="3">
        <v>20.36</v>
      </c>
      <c r="BN71" s="3">
        <v>156.12</v>
      </c>
      <c r="BO71" s="3">
        <v>156.12</v>
      </c>
      <c r="BQ71" t="s">
        <v>313</v>
      </c>
      <c r="BR71" t="s">
        <v>187</v>
      </c>
      <c r="BS71" t="s">
        <v>157</v>
      </c>
      <c r="BY71">
        <v>1200</v>
      </c>
      <c r="BZ71" t="s">
        <v>97</v>
      </c>
      <c r="CC71" t="s">
        <v>120</v>
      </c>
      <c r="CD71">
        <v>2013</v>
      </c>
      <c r="CE71" t="s">
        <v>83</v>
      </c>
      <c r="CI71">
        <v>1</v>
      </c>
      <c r="CJ71" t="s">
        <v>157</v>
      </c>
      <c r="CK71">
        <v>41</v>
      </c>
      <c r="CL71" t="s">
        <v>72</v>
      </c>
    </row>
    <row r="72" spans="1:90" x14ac:dyDescent="0.3">
      <c r="A72" t="s">
        <v>258</v>
      </c>
      <c r="B72" t="s">
        <v>259</v>
      </c>
      <c r="C72" t="s">
        <v>61</v>
      </c>
      <c r="E72" t="str">
        <f>"009943204657"</f>
        <v>009943204657</v>
      </c>
      <c r="F72" s="4">
        <v>45014</v>
      </c>
      <c r="G72">
        <v>202312</v>
      </c>
      <c r="H72" t="s">
        <v>105</v>
      </c>
      <c r="I72" t="s">
        <v>106</v>
      </c>
      <c r="J72" t="s">
        <v>412</v>
      </c>
      <c r="K72" t="s">
        <v>64</v>
      </c>
      <c r="L72" t="s">
        <v>119</v>
      </c>
      <c r="M72" t="s">
        <v>120</v>
      </c>
      <c r="N72" t="s">
        <v>272</v>
      </c>
      <c r="O72" t="s">
        <v>96</v>
      </c>
      <c r="P72" t="str">
        <f>"NOREF                         "</f>
        <v xml:space="preserve">NOREF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5.25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46.31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1</v>
      </c>
      <c r="BJ72" s="3">
        <v>0.2</v>
      </c>
      <c r="BK72" s="3">
        <v>1</v>
      </c>
      <c r="BL72" s="3">
        <v>135.76</v>
      </c>
      <c r="BM72" s="3">
        <v>20.36</v>
      </c>
      <c r="BN72" s="3">
        <v>156.12</v>
      </c>
      <c r="BO72" s="3">
        <v>156.12</v>
      </c>
      <c r="BQ72" t="s">
        <v>305</v>
      </c>
      <c r="BR72" t="s">
        <v>187</v>
      </c>
      <c r="BS72" t="s">
        <v>157</v>
      </c>
      <c r="BY72">
        <v>1200</v>
      </c>
      <c r="BZ72" t="s">
        <v>97</v>
      </c>
      <c r="CC72" t="s">
        <v>120</v>
      </c>
      <c r="CD72">
        <v>2013</v>
      </c>
      <c r="CE72" t="s">
        <v>83</v>
      </c>
      <c r="CI72">
        <v>1</v>
      </c>
      <c r="CJ72" t="s">
        <v>157</v>
      </c>
      <c r="CK72">
        <v>41</v>
      </c>
      <c r="CL72" t="s">
        <v>72</v>
      </c>
    </row>
    <row r="73" spans="1:90" x14ac:dyDescent="0.3">
      <c r="A73" t="s">
        <v>258</v>
      </c>
      <c r="B73" t="s">
        <v>259</v>
      </c>
      <c r="C73" t="s">
        <v>61</v>
      </c>
      <c r="E73" t="str">
        <f>"009943204656"</f>
        <v>009943204656</v>
      </c>
      <c r="F73" s="4">
        <v>45014</v>
      </c>
      <c r="G73">
        <v>202312</v>
      </c>
      <c r="H73" t="s">
        <v>105</v>
      </c>
      <c r="I73" t="s">
        <v>106</v>
      </c>
      <c r="J73" t="s">
        <v>323</v>
      </c>
      <c r="K73" t="s">
        <v>64</v>
      </c>
      <c r="L73" t="s">
        <v>119</v>
      </c>
      <c r="M73" t="s">
        <v>120</v>
      </c>
      <c r="N73" t="s">
        <v>272</v>
      </c>
      <c r="O73" t="s">
        <v>96</v>
      </c>
      <c r="P73" t="str">
        <f>"NOREF                         "</f>
        <v xml:space="preserve">NOREF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5.25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46.31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1</v>
      </c>
      <c r="BJ73" s="3">
        <v>0.2</v>
      </c>
      <c r="BK73" s="3">
        <v>1</v>
      </c>
      <c r="BL73" s="3">
        <v>135.76</v>
      </c>
      <c r="BM73" s="3">
        <v>20.36</v>
      </c>
      <c r="BN73" s="3">
        <v>156.12</v>
      </c>
      <c r="BO73" s="3">
        <v>156.12</v>
      </c>
      <c r="BQ73" t="s">
        <v>305</v>
      </c>
      <c r="BR73" t="s">
        <v>187</v>
      </c>
      <c r="BS73" t="s">
        <v>157</v>
      </c>
      <c r="BY73">
        <v>1200</v>
      </c>
      <c r="BZ73" t="s">
        <v>97</v>
      </c>
      <c r="CC73" t="s">
        <v>120</v>
      </c>
      <c r="CD73">
        <v>2013</v>
      </c>
      <c r="CE73" t="s">
        <v>83</v>
      </c>
      <c r="CI73">
        <v>1</v>
      </c>
      <c r="CJ73" t="s">
        <v>157</v>
      </c>
      <c r="CK73">
        <v>41</v>
      </c>
      <c r="CL73" t="s">
        <v>72</v>
      </c>
    </row>
    <row r="74" spans="1:90" x14ac:dyDescent="0.3">
      <c r="A74" t="s">
        <v>258</v>
      </c>
      <c r="B74" t="s">
        <v>259</v>
      </c>
      <c r="C74" t="s">
        <v>61</v>
      </c>
      <c r="E74" t="str">
        <f>"009943109574"</f>
        <v>009943109574</v>
      </c>
      <c r="F74" s="4">
        <v>45014</v>
      </c>
      <c r="G74">
        <v>202312</v>
      </c>
      <c r="H74" t="s">
        <v>119</v>
      </c>
      <c r="I74" t="s">
        <v>120</v>
      </c>
      <c r="J74" t="s">
        <v>288</v>
      </c>
      <c r="K74" t="s">
        <v>64</v>
      </c>
      <c r="L74" t="s">
        <v>119</v>
      </c>
      <c r="M74" t="s">
        <v>120</v>
      </c>
      <c r="N74" t="s">
        <v>406</v>
      </c>
      <c r="O74" t="s">
        <v>67</v>
      </c>
      <c r="P74" t="str">
        <f>"N A                           "</f>
        <v xml:space="preserve">N A   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18.71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1</v>
      </c>
      <c r="BJ74" s="3">
        <v>0.2</v>
      </c>
      <c r="BK74" s="3">
        <v>1</v>
      </c>
      <c r="BL74" s="3">
        <v>52.72</v>
      </c>
      <c r="BM74" s="3">
        <v>7.91</v>
      </c>
      <c r="BN74" s="3">
        <v>60.63</v>
      </c>
      <c r="BO74" s="3">
        <v>60.63</v>
      </c>
      <c r="BR74" t="s">
        <v>274</v>
      </c>
      <c r="BS74" t="s">
        <v>157</v>
      </c>
      <c r="BY74">
        <v>1200</v>
      </c>
      <c r="BZ74" t="s">
        <v>70</v>
      </c>
      <c r="CC74" t="s">
        <v>120</v>
      </c>
      <c r="CD74">
        <v>2013</v>
      </c>
      <c r="CE74" t="s">
        <v>83</v>
      </c>
      <c r="CI74">
        <v>1</v>
      </c>
      <c r="CJ74" t="s">
        <v>157</v>
      </c>
      <c r="CK74">
        <v>22</v>
      </c>
      <c r="CL74" t="s">
        <v>72</v>
      </c>
    </row>
    <row r="75" spans="1:90" x14ac:dyDescent="0.3">
      <c r="A75" t="s">
        <v>258</v>
      </c>
      <c r="B75" t="s">
        <v>259</v>
      </c>
      <c r="C75" t="s">
        <v>61</v>
      </c>
      <c r="E75" t="str">
        <f>"009940447997"</f>
        <v>009940447997</v>
      </c>
      <c r="F75" s="4">
        <v>45014</v>
      </c>
      <c r="G75">
        <v>202312</v>
      </c>
      <c r="H75" t="s">
        <v>65</v>
      </c>
      <c r="I75" t="s">
        <v>66</v>
      </c>
      <c r="J75" t="s">
        <v>413</v>
      </c>
      <c r="K75" t="s">
        <v>64</v>
      </c>
      <c r="L75" t="s">
        <v>119</v>
      </c>
      <c r="M75" t="s">
        <v>120</v>
      </c>
      <c r="N75" t="s">
        <v>272</v>
      </c>
      <c r="O75" t="s">
        <v>67</v>
      </c>
      <c r="P75" t="str">
        <f>"                              "</f>
        <v xml:space="preserve">     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23.95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0.3</v>
      </c>
      <c r="BJ75" s="3">
        <v>1.5</v>
      </c>
      <c r="BK75" s="3">
        <v>1.5</v>
      </c>
      <c r="BL75" s="3">
        <v>67.489999999999995</v>
      </c>
      <c r="BM75" s="3">
        <v>10.119999999999999</v>
      </c>
      <c r="BN75" s="3">
        <v>77.61</v>
      </c>
      <c r="BO75" s="3">
        <v>77.61</v>
      </c>
      <c r="BQ75" t="s">
        <v>313</v>
      </c>
      <c r="BR75" t="s">
        <v>320</v>
      </c>
      <c r="BS75" t="s">
        <v>157</v>
      </c>
      <c r="BY75">
        <v>7744.1</v>
      </c>
      <c r="BZ75" t="s">
        <v>70</v>
      </c>
      <c r="CC75" t="s">
        <v>120</v>
      </c>
      <c r="CD75">
        <v>2000</v>
      </c>
      <c r="CE75" t="s">
        <v>83</v>
      </c>
      <c r="CI75">
        <v>1</v>
      </c>
      <c r="CJ75" t="s">
        <v>157</v>
      </c>
      <c r="CK75">
        <v>21</v>
      </c>
      <c r="CL75" t="s">
        <v>72</v>
      </c>
    </row>
    <row r="76" spans="1:90" x14ac:dyDescent="0.3">
      <c r="A76" t="s">
        <v>258</v>
      </c>
      <c r="B76" t="s">
        <v>259</v>
      </c>
      <c r="C76" t="s">
        <v>61</v>
      </c>
      <c r="E76" t="str">
        <f>"009942840081"</f>
        <v>009942840081</v>
      </c>
      <c r="F76" s="4">
        <v>45014</v>
      </c>
      <c r="G76">
        <v>202312</v>
      </c>
      <c r="H76" t="s">
        <v>208</v>
      </c>
      <c r="I76" t="s">
        <v>209</v>
      </c>
      <c r="J76" t="s">
        <v>312</v>
      </c>
      <c r="K76" t="s">
        <v>64</v>
      </c>
      <c r="L76" t="s">
        <v>119</v>
      </c>
      <c r="M76" t="s">
        <v>120</v>
      </c>
      <c r="N76" t="s">
        <v>272</v>
      </c>
      <c r="O76" t="s">
        <v>67</v>
      </c>
      <c r="P76" t="str">
        <f>"NA                            "</f>
        <v xml:space="preserve">NA   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18.71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0.2</v>
      </c>
      <c r="BK76" s="3">
        <v>1</v>
      </c>
      <c r="BL76" s="3">
        <v>52.72</v>
      </c>
      <c r="BM76" s="3">
        <v>7.91</v>
      </c>
      <c r="BN76" s="3">
        <v>60.63</v>
      </c>
      <c r="BO76" s="3">
        <v>60.63</v>
      </c>
      <c r="BQ76" t="s">
        <v>313</v>
      </c>
      <c r="BR76" t="s">
        <v>314</v>
      </c>
      <c r="BS76" t="s">
        <v>157</v>
      </c>
      <c r="BY76">
        <v>1200</v>
      </c>
      <c r="BZ76" t="s">
        <v>70</v>
      </c>
      <c r="CC76" t="s">
        <v>120</v>
      </c>
      <c r="CD76">
        <v>2013</v>
      </c>
      <c r="CE76" t="s">
        <v>83</v>
      </c>
      <c r="CI76">
        <v>1</v>
      </c>
      <c r="CJ76" t="s">
        <v>157</v>
      </c>
      <c r="CK76">
        <v>22</v>
      </c>
      <c r="CL76" t="s">
        <v>72</v>
      </c>
    </row>
    <row r="77" spans="1:90" x14ac:dyDescent="0.3">
      <c r="A77" t="s">
        <v>258</v>
      </c>
      <c r="B77" t="s">
        <v>259</v>
      </c>
      <c r="C77" t="s">
        <v>61</v>
      </c>
      <c r="E77" t="str">
        <f>"009943285304"</f>
        <v>009943285304</v>
      </c>
      <c r="F77" s="4">
        <v>45014</v>
      </c>
      <c r="G77">
        <v>202312</v>
      </c>
      <c r="H77" t="s">
        <v>119</v>
      </c>
      <c r="I77" t="s">
        <v>120</v>
      </c>
      <c r="J77" t="s">
        <v>288</v>
      </c>
      <c r="K77" t="s">
        <v>64</v>
      </c>
      <c r="L77" t="s">
        <v>200</v>
      </c>
      <c r="M77" t="s">
        <v>201</v>
      </c>
      <c r="N77" t="s">
        <v>288</v>
      </c>
      <c r="O77" t="s">
        <v>96</v>
      </c>
      <c r="P77" t="str">
        <f t="shared" ref="P77:P87" si="4">"N A                           "</f>
        <v xml:space="preserve">N A  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5.25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82.01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14.2</v>
      </c>
      <c r="BJ77" s="3">
        <v>19.5</v>
      </c>
      <c r="BK77" s="3">
        <v>20</v>
      </c>
      <c r="BL77" s="3">
        <v>236.36</v>
      </c>
      <c r="BM77" s="3">
        <v>35.450000000000003</v>
      </c>
      <c r="BN77" s="3">
        <v>271.81</v>
      </c>
      <c r="BO77" s="3">
        <v>271.81</v>
      </c>
      <c r="BQ77" t="s">
        <v>414</v>
      </c>
      <c r="BR77" t="s">
        <v>415</v>
      </c>
      <c r="BS77" t="s">
        <v>157</v>
      </c>
      <c r="BY77">
        <v>97319.98</v>
      </c>
      <c r="BZ77" t="s">
        <v>97</v>
      </c>
      <c r="CC77" t="s">
        <v>201</v>
      </c>
      <c r="CD77">
        <v>4420</v>
      </c>
      <c r="CE77" t="s">
        <v>83</v>
      </c>
      <c r="CI77">
        <v>1</v>
      </c>
      <c r="CJ77" t="s">
        <v>157</v>
      </c>
      <c r="CK77">
        <v>43</v>
      </c>
      <c r="CL77" t="s">
        <v>72</v>
      </c>
    </row>
    <row r="78" spans="1:90" x14ac:dyDescent="0.3">
      <c r="A78" t="s">
        <v>258</v>
      </c>
      <c r="B78" t="s">
        <v>259</v>
      </c>
      <c r="C78" t="s">
        <v>61</v>
      </c>
      <c r="E78" t="str">
        <f>"009943285305"</f>
        <v>009943285305</v>
      </c>
      <c r="F78" s="4">
        <v>45014</v>
      </c>
      <c r="G78">
        <v>202312</v>
      </c>
      <c r="H78" t="s">
        <v>119</v>
      </c>
      <c r="I78" t="s">
        <v>120</v>
      </c>
      <c r="J78" t="s">
        <v>288</v>
      </c>
      <c r="K78" t="s">
        <v>64</v>
      </c>
      <c r="L78" t="s">
        <v>65</v>
      </c>
      <c r="M78" t="s">
        <v>66</v>
      </c>
      <c r="N78" t="s">
        <v>413</v>
      </c>
      <c r="O78" t="s">
        <v>96</v>
      </c>
      <c r="P78" t="str">
        <f t="shared" si="4"/>
        <v xml:space="preserve">N A   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5.25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46.31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4.5999999999999996</v>
      </c>
      <c r="BJ78" s="3">
        <v>14.7</v>
      </c>
      <c r="BK78" s="3">
        <v>15</v>
      </c>
      <c r="BL78" s="3">
        <v>135.76</v>
      </c>
      <c r="BM78" s="3">
        <v>20.36</v>
      </c>
      <c r="BN78" s="3">
        <v>156.12</v>
      </c>
      <c r="BO78" s="3">
        <v>156.12</v>
      </c>
      <c r="BQ78" t="s">
        <v>414</v>
      </c>
      <c r="BR78" t="s">
        <v>415</v>
      </c>
      <c r="BS78" t="s">
        <v>157</v>
      </c>
      <c r="BY78">
        <v>73426.5</v>
      </c>
      <c r="BZ78" t="s">
        <v>97</v>
      </c>
      <c r="CC78" t="s">
        <v>66</v>
      </c>
      <c r="CD78">
        <v>7441</v>
      </c>
      <c r="CE78" t="s">
        <v>83</v>
      </c>
      <c r="CI78">
        <v>2</v>
      </c>
      <c r="CJ78" t="s">
        <v>157</v>
      </c>
      <c r="CK78">
        <v>41</v>
      </c>
      <c r="CL78" t="s">
        <v>72</v>
      </c>
    </row>
    <row r="79" spans="1:90" x14ac:dyDescent="0.3">
      <c r="A79" t="s">
        <v>258</v>
      </c>
      <c r="B79" t="s">
        <v>259</v>
      </c>
      <c r="C79" t="s">
        <v>61</v>
      </c>
      <c r="E79" t="str">
        <f>"009943116688"</f>
        <v>009943116688</v>
      </c>
      <c r="F79" s="4">
        <v>45014</v>
      </c>
      <c r="G79">
        <v>202312</v>
      </c>
      <c r="H79" t="s">
        <v>119</v>
      </c>
      <c r="I79" t="s">
        <v>120</v>
      </c>
      <c r="J79" t="s">
        <v>260</v>
      </c>
      <c r="K79" t="s">
        <v>64</v>
      </c>
      <c r="L79" t="s">
        <v>65</v>
      </c>
      <c r="M79" t="s">
        <v>66</v>
      </c>
      <c r="N79" t="s">
        <v>416</v>
      </c>
      <c r="O79" t="s">
        <v>203</v>
      </c>
      <c r="P79" t="str">
        <f t="shared" si="4"/>
        <v xml:space="preserve">N A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44.9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0.8</v>
      </c>
      <c r="BJ79" s="3">
        <v>1.8</v>
      </c>
      <c r="BK79" s="3">
        <v>2</v>
      </c>
      <c r="BL79" s="3">
        <v>126.54</v>
      </c>
      <c r="BM79" s="3">
        <v>18.98</v>
      </c>
      <c r="BN79" s="3">
        <v>145.52000000000001</v>
      </c>
      <c r="BO79" s="3">
        <v>145.52000000000001</v>
      </c>
      <c r="BQ79" t="s">
        <v>214</v>
      </c>
      <c r="BR79" t="s">
        <v>263</v>
      </c>
      <c r="BS79" t="s">
        <v>157</v>
      </c>
      <c r="BY79">
        <v>9215.92</v>
      </c>
      <c r="BZ79" t="s">
        <v>97</v>
      </c>
      <c r="CC79" t="s">
        <v>66</v>
      </c>
      <c r="CD79">
        <v>7535</v>
      </c>
      <c r="CE79" t="s">
        <v>83</v>
      </c>
      <c r="CI79">
        <v>1</v>
      </c>
      <c r="CJ79" t="s">
        <v>157</v>
      </c>
      <c r="CK79">
        <v>31</v>
      </c>
      <c r="CL79" t="s">
        <v>72</v>
      </c>
    </row>
    <row r="80" spans="1:90" x14ac:dyDescent="0.3">
      <c r="A80" t="s">
        <v>258</v>
      </c>
      <c r="B80" t="s">
        <v>259</v>
      </c>
      <c r="C80" t="s">
        <v>61</v>
      </c>
      <c r="E80" t="str">
        <f>"009943116687"</f>
        <v>009943116687</v>
      </c>
      <c r="F80" s="4">
        <v>45014</v>
      </c>
      <c r="G80">
        <v>202312</v>
      </c>
      <c r="H80" t="s">
        <v>119</v>
      </c>
      <c r="I80" t="s">
        <v>120</v>
      </c>
      <c r="J80" t="s">
        <v>260</v>
      </c>
      <c r="K80" t="s">
        <v>64</v>
      </c>
      <c r="L80" t="s">
        <v>158</v>
      </c>
      <c r="M80" t="s">
        <v>159</v>
      </c>
      <c r="N80" t="s">
        <v>417</v>
      </c>
      <c r="O80" t="s">
        <v>203</v>
      </c>
      <c r="P80" t="str">
        <f t="shared" si="4"/>
        <v xml:space="preserve">N A   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18.71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2.5</v>
      </c>
      <c r="BJ80" s="3">
        <v>6</v>
      </c>
      <c r="BK80" s="3">
        <v>6</v>
      </c>
      <c r="BL80" s="3">
        <v>52.73</v>
      </c>
      <c r="BM80" s="3">
        <v>7.91</v>
      </c>
      <c r="BN80" s="3">
        <v>60.64</v>
      </c>
      <c r="BO80" s="3">
        <v>60.64</v>
      </c>
      <c r="BQ80" t="s">
        <v>418</v>
      </c>
      <c r="BR80" t="s">
        <v>263</v>
      </c>
      <c r="BS80" t="s">
        <v>157</v>
      </c>
      <c r="BY80">
        <v>29752.799999999999</v>
      </c>
      <c r="BZ80" t="s">
        <v>97</v>
      </c>
      <c r="CC80" t="s">
        <v>159</v>
      </c>
      <c r="CD80">
        <v>1682</v>
      </c>
      <c r="CE80" t="s">
        <v>83</v>
      </c>
      <c r="CI80">
        <v>1</v>
      </c>
      <c r="CJ80" t="s">
        <v>157</v>
      </c>
      <c r="CK80">
        <v>32</v>
      </c>
      <c r="CL80" t="s">
        <v>72</v>
      </c>
    </row>
    <row r="81" spans="1:90" x14ac:dyDescent="0.3">
      <c r="A81" t="s">
        <v>258</v>
      </c>
      <c r="B81" t="s">
        <v>259</v>
      </c>
      <c r="C81" t="s">
        <v>61</v>
      </c>
      <c r="E81" t="str">
        <f>"009943116686"</f>
        <v>009943116686</v>
      </c>
      <c r="F81" s="4">
        <v>45014</v>
      </c>
      <c r="G81">
        <v>202312</v>
      </c>
      <c r="H81" t="s">
        <v>119</v>
      </c>
      <c r="I81" t="s">
        <v>120</v>
      </c>
      <c r="J81" t="s">
        <v>260</v>
      </c>
      <c r="K81" t="s">
        <v>64</v>
      </c>
      <c r="L81" t="s">
        <v>101</v>
      </c>
      <c r="M81" t="s">
        <v>102</v>
      </c>
      <c r="N81" t="s">
        <v>419</v>
      </c>
      <c r="O81" t="s">
        <v>203</v>
      </c>
      <c r="P81" t="str">
        <f t="shared" si="4"/>
        <v xml:space="preserve">N A     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67.349999999999994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1.9</v>
      </c>
      <c r="BJ81" s="3">
        <v>5.4</v>
      </c>
      <c r="BK81" s="3">
        <v>6</v>
      </c>
      <c r="BL81" s="3">
        <v>189.81</v>
      </c>
      <c r="BM81" s="3">
        <v>28.47</v>
      </c>
      <c r="BN81" s="3">
        <v>218.28</v>
      </c>
      <c r="BO81" s="3">
        <v>218.28</v>
      </c>
      <c r="BQ81" t="s">
        <v>214</v>
      </c>
      <c r="BR81" t="s">
        <v>263</v>
      </c>
      <c r="BS81" t="s">
        <v>157</v>
      </c>
      <c r="BY81">
        <v>27036.240000000002</v>
      </c>
      <c r="BZ81" t="s">
        <v>97</v>
      </c>
      <c r="CC81" t="s">
        <v>102</v>
      </c>
      <c r="CD81">
        <v>4052</v>
      </c>
      <c r="CE81" t="s">
        <v>83</v>
      </c>
      <c r="CI81">
        <v>1</v>
      </c>
      <c r="CJ81" t="s">
        <v>157</v>
      </c>
      <c r="CK81">
        <v>31</v>
      </c>
      <c r="CL81" t="s">
        <v>72</v>
      </c>
    </row>
    <row r="82" spans="1:90" x14ac:dyDescent="0.3">
      <c r="A82" t="s">
        <v>258</v>
      </c>
      <c r="B82" t="s">
        <v>259</v>
      </c>
      <c r="C82" t="s">
        <v>61</v>
      </c>
      <c r="E82" t="str">
        <f>"009943116859"</f>
        <v>009943116859</v>
      </c>
      <c r="F82" s="4">
        <v>45014</v>
      </c>
      <c r="G82">
        <v>202312</v>
      </c>
      <c r="H82" t="s">
        <v>119</v>
      </c>
      <c r="I82" t="s">
        <v>120</v>
      </c>
      <c r="J82" t="s">
        <v>260</v>
      </c>
      <c r="K82" t="s">
        <v>64</v>
      </c>
      <c r="L82" t="s">
        <v>65</v>
      </c>
      <c r="M82" t="s">
        <v>66</v>
      </c>
      <c r="N82" t="s">
        <v>420</v>
      </c>
      <c r="O82" t="s">
        <v>203</v>
      </c>
      <c r="P82" t="str">
        <f t="shared" si="4"/>
        <v xml:space="preserve">N A     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67.349999999999994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1.2</v>
      </c>
      <c r="BJ82" s="3">
        <v>5.6</v>
      </c>
      <c r="BK82" s="3">
        <v>6</v>
      </c>
      <c r="BL82" s="3">
        <v>189.81</v>
      </c>
      <c r="BM82" s="3">
        <v>28.47</v>
      </c>
      <c r="BN82" s="3">
        <v>218.28</v>
      </c>
      <c r="BO82" s="3">
        <v>218.28</v>
      </c>
      <c r="BQ82" t="s">
        <v>214</v>
      </c>
      <c r="BR82" t="s">
        <v>263</v>
      </c>
      <c r="BS82" t="s">
        <v>157</v>
      </c>
      <c r="BY82">
        <v>28187.52</v>
      </c>
      <c r="BZ82" t="s">
        <v>97</v>
      </c>
      <c r="CC82" t="s">
        <v>66</v>
      </c>
      <c r="CD82">
        <v>7800</v>
      </c>
      <c r="CE82" t="s">
        <v>83</v>
      </c>
      <c r="CI82">
        <v>1</v>
      </c>
      <c r="CJ82" t="s">
        <v>157</v>
      </c>
      <c r="CK82">
        <v>31</v>
      </c>
      <c r="CL82" t="s">
        <v>72</v>
      </c>
    </row>
    <row r="83" spans="1:90" x14ac:dyDescent="0.3">
      <c r="A83" t="s">
        <v>258</v>
      </c>
      <c r="B83" t="s">
        <v>259</v>
      </c>
      <c r="C83" t="s">
        <v>61</v>
      </c>
      <c r="E83" t="str">
        <f>"009943116674"</f>
        <v>009943116674</v>
      </c>
      <c r="F83" s="4">
        <v>45014</v>
      </c>
      <c r="G83">
        <v>202312</v>
      </c>
      <c r="H83" t="s">
        <v>119</v>
      </c>
      <c r="I83" t="s">
        <v>120</v>
      </c>
      <c r="J83" t="s">
        <v>260</v>
      </c>
      <c r="K83" t="s">
        <v>64</v>
      </c>
      <c r="L83" t="s">
        <v>119</v>
      </c>
      <c r="M83" t="s">
        <v>120</v>
      </c>
      <c r="N83" t="s">
        <v>421</v>
      </c>
      <c r="O83" t="s">
        <v>203</v>
      </c>
      <c r="P83" t="str">
        <f t="shared" si="4"/>
        <v xml:space="preserve">N A     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18.71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15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1</v>
      </c>
      <c r="BJ83" s="3">
        <v>0.2</v>
      </c>
      <c r="BK83" s="3">
        <v>1</v>
      </c>
      <c r="BL83" s="3">
        <v>67.73</v>
      </c>
      <c r="BM83" s="3">
        <v>10.16</v>
      </c>
      <c r="BN83" s="3">
        <v>77.89</v>
      </c>
      <c r="BO83" s="3">
        <v>77.89</v>
      </c>
      <c r="BQ83" t="s">
        <v>214</v>
      </c>
      <c r="BR83" t="s">
        <v>263</v>
      </c>
      <c r="BS83" t="s">
        <v>157</v>
      </c>
      <c r="BY83">
        <v>1200</v>
      </c>
      <c r="BZ83" t="s">
        <v>174</v>
      </c>
      <c r="CC83" t="s">
        <v>120</v>
      </c>
      <c r="CD83">
        <v>1852</v>
      </c>
      <c r="CE83" t="s">
        <v>83</v>
      </c>
      <c r="CI83">
        <v>1</v>
      </c>
      <c r="CJ83" t="s">
        <v>157</v>
      </c>
      <c r="CK83">
        <v>32</v>
      </c>
      <c r="CL83" t="s">
        <v>72</v>
      </c>
    </row>
    <row r="84" spans="1:90" x14ac:dyDescent="0.3">
      <c r="A84" t="s">
        <v>258</v>
      </c>
      <c r="B84" t="s">
        <v>259</v>
      </c>
      <c r="C84" t="s">
        <v>61</v>
      </c>
      <c r="E84" t="str">
        <f>"009943116675"</f>
        <v>009943116675</v>
      </c>
      <c r="F84" s="4">
        <v>45014</v>
      </c>
      <c r="G84">
        <v>202312</v>
      </c>
      <c r="H84" t="s">
        <v>119</v>
      </c>
      <c r="I84" t="s">
        <v>120</v>
      </c>
      <c r="J84" t="s">
        <v>260</v>
      </c>
      <c r="K84" t="s">
        <v>64</v>
      </c>
      <c r="L84" t="s">
        <v>73</v>
      </c>
      <c r="M84" t="s">
        <v>74</v>
      </c>
      <c r="N84" t="s">
        <v>422</v>
      </c>
      <c r="O84" t="s">
        <v>203</v>
      </c>
      <c r="P84" t="str">
        <f t="shared" si="4"/>
        <v xml:space="preserve">N A   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44.9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0.2</v>
      </c>
      <c r="BJ84" s="3">
        <v>2.2999999999999998</v>
      </c>
      <c r="BK84" s="3">
        <v>3</v>
      </c>
      <c r="BL84" s="3">
        <v>126.54</v>
      </c>
      <c r="BM84" s="3">
        <v>18.98</v>
      </c>
      <c r="BN84" s="3">
        <v>145.52000000000001</v>
      </c>
      <c r="BO84" s="3">
        <v>145.52000000000001</v>
      </c>
      <c r="BQ84" t="s">
        <v>423</v>
      </c>
      <c r="BR84" t="s">
        <v>263</v>
      </c>
      <c r="BS84" t="s">
        <v>157</v>
      </c>
      <c r="BY84">
        <v>11446.26</v>
      </c>
      <c r="BZ84" t="s">
        <v>97</v>
      </c>
      <c r="CC84" t="s">
        <v>74</v>
      </c>
      <c r="CD84">
        <v>6001</v>
      </c>
      <c r="CE84" t="s">
        <v>83</v>
      </c>
      <c r="CI84">
        <v>1</v>
      </c>
      <c r="CJ84" t="s">
        <v>157</v>
      </c>
      <c r="CK84">
        <v>31</v>
      </c>
      <c r="CL84" t="s">
        <v>72</v>
      </c>
    </row>
    <row r="85" spans="1:90" x14ac:dyDescent="0.3">
      <c r="A85" t="s">
        <v>258</v>
      </c>
      <c r="B85" t="s">
        <v>259</v>
      </c>
      <c r="C85" t="s">
        <v>61</v>
      </c>
      <c r="E85" t="str">
        <f>"009943116689"</f>
        <v>009943116689</v>
      </c>
      <c r="F85" s="4">
        <v>45014</v>
      </c>
      <c r="G85">
        <v>202312</v>
      </c>
      <c r="H85" t="s">
        <v>119</v>
      </c>
      <c r="I85" t="s">
        <v>120</v>
      </c>
      <c r="J85" t="s">
        <v>260</v>
      </c>
      <c r="K85" t="s">
        <v>64</v>
      </c>
      <c r="L85" t="s">
        <v>101</v>
      </c>
      <c r="M85" t="s">
        <v>102</v>
      </c>
      <c r="N85" t="s">
        <v>424</v>
      </c>
      <c r="O85" t="s">
        <v>203</v>
      </c>
      <c r="P85" t="str">
        <f t="shared" si="4"/>
        <v xml:space="preserve">N A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44.9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0.8</v>
      </c>
      <c r="BJ85" s="3">
        <v>2.1</v>
      </c>
      <c r="BK85" s="3">
        <v>3</v>
      </c>
      <c r="BL85" s="3">
        <v>126.54</v>
      </c>
      <c r="BM85" s="3">
        <v>18.98</v>
      </c>
      <c r="BN85" s="3">
        <v>145.52000000000001</v>
      </c>
      <c r="BO85" s="3">
        <v>145.52000000000001</v>
      </c>
      <c r="BQ85" t="s">
        <v>214</v>
      </c>
      <c r="BR85" t="s">
        <v>263</v>
      </c>
      <c r="BS85" t="s">
        <v>157</v>
      </c>
      <c r="BY85">
        <v>10686.33</v>
      </c>
      <c r="BZ85" t="s">
        <v>97</v>
      </c>
      <c r="CC85" t="s">
        <v>102</v>
      </c>
      <c r="CD85">
        <v>4068</v>
      </c>
      <c r="CE85" t="s">
        <v>83</v>
      </c>
      <c r="CI85">
        <v>1</v>
      </c>
      <c r="CJ85" t="s">
        <v>157</v>
      </c>
      <c r="CK85">
        <v>31</v>
      </c>
      <c r="CL85" t="s">
        <v>72</v>
      </c>
    </row>
    <row r="86" spans="1:90" x14ac:dyDescent="0.3">
      <c r="A86" t="s">
        <v>258</v>
      </c>
      <c r="B86" t="s">
        <v>259</v>
      </c>
      <c r="C86" t="s">
        <v>61</v>
      </c>
      <c r="E86" t="str">
        <f>"009943116685"</f>
        <v>009943116685</v>
      </c>
      <c r="F86" s="4">
        <v>45014</v>
      </c>
      <c r="G86">
        <v>202312</v>
      </c>
      <c r="H86" t="s">
        <v>119</v>
      </c>
      <c r="I86" t="s">
        <v>120</v>
      </c>
      <c r="J86" t="s">
        <v>260</v>
      </c>
      <c r="K86" t="s">
        <v>64</v>
      </c>
      <c r="L86" t="s">
        <v>101</v>
      </c>
      <c r="M86" t="s">
        <v>102</v>
      </c>
      <c r="N86" t="s">
        <v>425</v>
      </c>
      <c r="O86" t="s">
        <v>203</v>
      </c>
      <c r="P86" t="str">
        <f t="shared" si="4"/>
        <v xml:space="preserve">N A   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44.9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0.2</v>
      </c>
      <c r="BJ86" s="3">
        <v>2.1</v>
      </c>
      <c r="BK86" s="3">
        <v>3</v>
      </c>
      <c r="BL86" s="3">
        <v>126.54</v>
      </c>
      <c r="BM86" s="3">
        <v>18.98</v>
      </c>
      <c r="BN86" s="3">
        <v>145.52000000000001</v>
      </c>
      <c r="BO86" s="3">
        <v>145.52000000000001</v>
      </c>
      <c r="BQ86" t="s">
        <v>214</v>
      </c>
      <c r="BR86" t="s">
        <v>263</v>
      </c>
      <c r="BS86" t="s">
        <v>157</v>
      </c>
      <c r="BY86">
        <v>10552.05</v>
      </c>
      <c r="BZ86" t="s">
        <v>97</v>
      </c>
      <c r="CC86" t="s">
        <v>102</v>
      </c>
      <c r="CD86">
        <v>4000</v>
      </c>
      <c r="CE86" t="s">
        <v>83</v>
      </c>
      <c r="CI86">
        <v>1</v>
      </c>
      <c r="CJ86" t="s">
        <v>157</v>
      </c>
      <c r="CK86">
        <v>31</v>
      </c>
      <c r="CL86" t="s">
        <v>72</v>
      </c>
    </row>
    <row r="87" spans="1:90" x14ac:dyDescent="0.3">
      <c r="A87" t="s">
        <v>258</v>
      </c>
      <c r="B87" t="s">
        <v>259</v>
      </c>
      <c r="C87" t="s">
        <v>61</v>
      </c>
      <c r="E87" t="str">
        <f>"009943116691"</f>
        <v>009943116691</v>
      </c>
      <c r="F87" s="4">
        <v>45014</v>
      </c>
      <c r="G87">
        <v>202312</v>
      </c>
      <c r="H87" t="s">
        <v>119</v>
      </c>
      <c r="I87" t="s">
        <v>120</v>
      </c>
      <c r="J87" t="s">
        <v>260</v>
      </c>
      <c r="K87" t="s">
        <v>64</v>
      </c>
      <c r="L87" t="s">
        <v>179</v>
      </c>
      <c r="M87" t="s">
        <v>180</v>
      </c>
      <c r="N87" t="s">
        <v>426</v>
      </c>
      <c r="O87" t="s">
        <v>203</v>
      </c>
      <c r="P87" t="str">
        <f t="shared" si="4"/>
        <v xml:space="preserve">N A   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18.71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0.2</v>
      </c>
      <c r="BJ87" s="3">
        <v>2.1</v>
      </c>
      <c r="BK87" s="3">
        <v>3</v>
      </c>
      <c r="BL87" s="3">
        <v>52.73</v>
      </c>
      <c r="BM87" s="3">
        <v>7.91</v>
      </c>
      <c r="BN87" s="3">
        <v>60.64</v>
      </c>
      <c r="BO87" s="3">
        <v>60.64</v>
      </c>
      <c r="BQ87" t="s">
        <v>214</v>
      </c>
      <c r="BR87" t="s">
        <v>263</v>
      </c>
      <c r="BS87" t="s">
        <v>157</v>
      </c>
      <c r="BY87">
        <v>10353.41</v>
      </c>
      <c r="BZ87" t="s">
        <v>97</v>
      </c>
      <c r="CC87" t="s">
        <v>180</v>
      </c>
      <c r="CD87">
        <v>1737</v>
      </c>
      <c r="CE87" t="s">
        <v>83</v>
      </c>
      <c r="CI87">
        <v>1</v>
      </c>
      <c r="CJ87" t="s">
        <v>157</v>
      </c>
      <c r="CK87">
        <v>32</v>
      </c>
      <c r="CL87" t="s">
        <v>72</v>
      </c>
    </row>
    <row r="88" spans="1:90" x14ac:dyDescent="0.3">
      <c r="A88" t="s">
        <v>258</v>
      </c>
      <c r="B88" t="s">
        <v>259</v>
      </c>
      <c r="C88" t="s">
        <v>61</v>
      </c>
      <c r="E88" t="str">
        <f>"009943321727"</f>
        <v>009943321727</v>
      </c>
      <c r="F88" s="4">
        <v>45014</v>
      </c>
      <c r="G88">
        <v>202312</v>
      </c>
      <c r="H88" t="s">
        <v>119</v>
      </c>
      <c r="I88" t="s">
        <v>120</v>
      </c>
      <c r="J88" t="s">
        <v>288</v>
      </c>
      <c r="K88" t="s">
        <v>64</v>
      </c>
      <c r="L88" t="s">
        <v>119</v>
      </c>
      <c r="M88" t="s">
        <v>120</v>
      </c>
      <c r="N88" t="s">
        <v>272</v>
      </c>
      <c r="O88" t="s">
        <v>67</v>
      </c>
      <c r="P88" t="str">
        <f>"..                            "</f>
        <v xml:space="preserve">..    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18.71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1</v>
      </c>
      <c r="BJ88" s="3">
        <v>0.2</v>
      </c>
      <c r="BK88" s="3">
        <v>1</v>
      </c>
      <c r="BL88" s="3">
        <v>52.72</v>
      </c>
      <c r="BM88" s="3">
        <v>7.91</v>
      </c>
      <c r="BN88" s="3">
        <v>60.63</v>
      </c>
      <c r="BO88" s="3">
        <v>60.63</v>
      </c>
      <c r="BR88" t="s">
        <v>235</v>
      </c>
      <c r="BS88" t="s">
        <v>157</v>
      </c>
      <c r="BY88">
        <v>1200</v>
      </c>
      <c r="BZ88" t="s">
        <v>70</v>
      </c>
      <c r="CC88" t="s">
        <v>120</v>
      </c>
      <c r="CD88">
        <v>2013</v>
      </c>
      <c r="CE88" t="s">
        <v>83</v>
      </c>
      <c r="CI88">
        <v>1</v>
      </c>
      <c r="CJ88" t="s">
        <v>157</v>
      </c>
      <c r="CK88">
        <v>22</v>
      </c>
      <c r="CL88" t="s">
        <v>72</v>
      </c>
    </row>
    <row r="89" spans="1:90" x14ac:dyDescent="0.3">
      <c r="A89" t="s">
        <v>258</v>
      </c>
      <c r="B89" t="s">
        <v>259</v>
      </c>
      <c r="C89" t="s">
        <v>61</v>
      </c>
      <c r="E89" t="str">
        <f>"009941950133"</f>
        <v>009941950133</v>
      </c>
      <c r="F89" s="4">
        <v>45014</v>
      </c>
      <c r="G89">
        <v>202312</v>
      </c>
      <c r="H89" t="s">
        <v>427</v>
      </c>
      <c r="I89" t="s">
        <v>428</v>
      </c>
      <c r="J89" t="s">
        <v>429</v>
      </c>
      <c r="K89" t="s">
        <v>64</v>
      </c>
      <c r="L89" t="s">
        <v>119</v>
      </c>
      <c r="M89" t="s">
        <v>120</v>
      </c>
      <c r="N89" t="s">
        <v>430</v>
      </c>
      <c r="O89" t="s">
        <v>96</v>
      </c>
      <c r="P89" t="str">
        <f>"YOGITA GOVENDER               "</f>
        <v xml:space="preserve">YOGITA GOVENDER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5.25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46.31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1</v>
      </c>
      <c r="BJ89" s="3">
        <v>0.2</v>
      </c>
      <c r="BK89" s="3">
        <v>1</v>
      </c>
      <c r="BL89" s="3">
        <v>135.76</v>
      </c>
      <c r="BM89" s="3">
        <v>20.36</v>
      </c>
      <c r="BN89" s="3">
        <v>156.12</v>
      </c>
      <c r="BO89" s="3">
        <v>156.12</v>
      </c>
      <c r="BQ89" t="s">
        <v>313</v>
      </c>
      <c r="BR89" t="s">
        <v>431</v>
      </c>
      <c r="BS89" t="s">
        <v>157</v>
      </c>
      <c r="BY89">
        <v>1200</v>
      </c>
      <c r="BZ89" t="s">
        <v>97</v>
      </c>
      <c r="CC89" t="s">
        <v>120</v>
      </c>
      <c r="CD89">
        <v>2013</v>
      </c>
      <c r="CE89" t="s">
        <v>83</v>
      </c>
      <c r="CI89">
        <v>1</v>
      </c>
      <c r="CJ89" t="s">
        <v>157</v>
      </c>
      <c r="CK89">
        <v>41</v>
      </c>
      <c r="CL89" t="s">
        <v>72</v>
      </c>
    </row>
    <row r="90" spans="1:90" x14ac:dyDescent="0.3">
      <c r="A90" t="s">
        <v>258</v>
      </c>
      <c r="B90" t="s">
        <v>259</v>
      </c>
      <c r="C90" t="s">
        <v>61</v>
      </c>
      <c r="E90" t="str">
        <f>"009942941407"</f>
        <v>009942941407</v>
      </c>
      <c r="F90" s="4">
        <v>45014</v>
      </c>
      <c r="G90">
        <v>202312</v>
      </c>
      <c r="H90" t="s">
        <v>200</v>
      </c>
      <c r="I90" t="s">
        <v>201</v>
      </c>
      <c r="J90" t="s">
        <v>288</v>
      </c>
      <c r="K90" t="s">
        <v>64</v>
      </c>
      <c r="L90" t="s">
        <v>119</v>
      </c>
      <c r="M90" t="s">
        <v>120</v>
      </c>
      <c r="N90" t="s">
        <v>319</v>
      </c>
      <c r="O90" t="s">
        <v>67</v>
      </c>
      <c r="P90" t="str">
        <f>"                              "</f>
        <v xml:space="preserve">      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23.95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1</v>
      </c>
      <c r="BJ90" s="3">
        <v>0.2</v>
      </c>
      <c r="BK90" s="3">
        <v>1</v>
      </c>
      <c r="BL90" s="3">
        <v>67.489999999999995</v>
      </c>
      <c r="BM90" s="3">
        <v>10.119999999999999</v>
      </c>
      <c r="BN90" s="3">
        <v>77.61</v>
      </c>
      <c r="BO90" s="3">
        <v>77.61</v>
      </c>
      <c r="BS90" t="s">
        <v>157</v>
      </c>
      <c r="BY90">
        <v>1200</v>
      </c>
      <c r="BZ90" t="s">
        <v>70</v>
      </c>
      <c r="CC90" t="s">
        <v>120</v>
      </c>
      <c r="CD90">
        <v>2000</v>
      </c>
      <c r="CE90" t="s">
        <v>83</v>
      </c>
      <c r="CI90">
        <v>1</v>
      </c>
      <c r="CJ90" t="s">
        <v>157</v>
      </c>
      <c r="CK90">
        <v>21</v>
      </c>
      <c r="CL90" t="s">
        <v>72</v>
      </c>
    </row>
    <row r="91" spans="1:90" x14ac:dyDescent="0.3">
      <c r="A91" t="s">
        <v>258</v>
      </c>
      <c r="B91" t="s">
        <v>259</v>
      </c>
      <c r="C91" t="s">
        <v>61</v>
      </c>
      <c r="E91" t="str">
        <f>"009941849615"</f>
        <v>009941849615</v>
      </c>
      <c r="F91" s="4">
        <v>45014</v>
      </c>
      <c r="G91">
        <v>202312</v>
      </c>
      <c r="H91" t="s">
        <v>150</v>
      </c>
      <c r="I91" t="s">
        <v>151</v>
      </c>
      <c r="J91" t="s">
        <v>432</v>
      </c>
      <c r="K91" t="s">
        <v>64</v>
      </c>
      <c r="L91" t="s">
        <v>119</v>
      </c>
      <c r="M91" t="s">
        <v>120</v>
      </c>
      <c r="N91" t="s">
        <v>272</v>
      </c>
      <c r="O91" t="s">
        <v>96</v>
      </c>
      <c r="P91" t="str">
        <f>"                              "</f>
        <v xml:space="preserve">     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5.25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51.14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1</v>
      </c>
      <c r="BJ91" s="3">
        <v>0.2</v>
      </c>
      <c r="BK91" s="3">
        <v>1</v>
      </c>
      <c r="BL91" s="3">
        <v>149.38</v>
      </c>
      <c r="BM91" s="3">
        <v>22.41</v>
      </c>
      <c r="BN91" s="3">
        <v>171.79</v>
      </c>
      <c r="BO91" s="3">
        <v>171.79</v>
      </c>
      <c r="BQ91" t="s">
        <v>305</v>
      </c>
      <c r="BR91" t="s">
        <v>235</v>
      </c>
      <c r="BS91" t="s">
        <v>157</v>
      </c>
      <c r="BY91">
        <v>1200</v>
      </c>
      <c r="BZ91" t="s">
        <v>97</v>
      </c>
      <c r="CC91" t="s">
        <v>120</v>
      </c>
      <c r="CD91">
        <v>2013</v>
      </c>
      <c r="CE91" t="s">
        <v>83</v>
      </c>
      <c r="CI91">
        <v>1</v>
      </c>
      <c r="CJ91" t="s">
        <v>157</v>
      </c>
      <c r="CK91">
        <v>44</v>
      </c>
      <c r="CL91" t="s">
        <v>72</v>
      </c>
    </row>
    <row r="92" spans="1:90" x14ac:dyDescent="0.3">
      <c r="A92" t="s">
        <v>258</v>
      </c>
      <c r="B92" t="s">
        <v>259</v>
      </c>
      <c r="C92" t="s">
        <v>61</v>
      </c>
      <c r="E92" t="str">
        <f>"009943116865"</f>
        <v>009943116865</v>
      </c>
      <c r="F92" s="4">
        <v>44998</v>
      </c>
      <c r="G92">
        <v>202312</v>
      </c>
      <c r="H92" t="s">
        <v>119</v>
      </c>
      <c r="I92" t="s">
        <v>120</v>
      </c>
      <c r="J92" t="s">
        <v>260</v>
      </c>
      <c r="K92" t="s">
        <v>64</v>
      </c>
      <c r="L92" t="s">
        <v>105</v>
      </c>
      <c r="M92" t="s">
        <v>106</v>
      </c>
      <c r="N92" t="s">
        <v>433</v>
      </c>
      <c r="O92" t="s">
        <v>203</v>
      </c>
      <c r="P92" t="str">
        <f t="shared" ref="P92:P103" si="5">"N A                           "</f>
        <v xml:space="preserve">N A   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44.9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0.6</v>
      </c>
      <c r="BJ92" s="3">
        <v>2.4</v>
      </c>
      <c r="BK92" s="3">
        <v>3</v>
      </c>
      <c r="BL92" s="3">
        <v>126.54</v>
      </c>
      <c r="BM92" s="3">
        <v>18.98</v>
      </c>
      <c r="BN92" s="3">
        <v>145.52000000000001</v>
      </c>
      <c r="BO92" s="3">
        <v>145.52000000000001</v>
      </c>
      <c r="BQ92" t="s">
        <v>214</v>
      </c>
      <c r="BR92" t="s">
        <v>263</v>
      </c>
      <c r="BS92" s="1">
        <v>44999</v>
      </c>
      <c r="BT92" s="2">
        <v>0.51597222222222217</v>
      </c>
      <c r="BU92" t="s">
        <v>434</v>
      </c>
      <c r="BV92" t="s">
        <v>69</v>
      </c>
      <c r="BY92">
        <v>11916.8</v>
      </c>
      <c r="BZ92" t="s">
        <v>97</v>
      </c>
      <c r="CA92" t="s">
        <v>435</v>
      </c>
      <c r="CC92" t="s">
        <v>106</v>
      </c>
      <c r="CD92">
        <v>181</v>
      </c>
      <c r="CE92" t="s">
        <v>83</v>
      </c>
      <c r="CF92" s="1">
        <v>44999</v>
      </c>
      <c r="CI92">
        <v>1</v>
      </c>
      <c r="CJ92">
        <v>1</v>
      </c>
      <c r="CK92">
        <v>31</v>
      </c>
      <c r="CL92" t="s">
        <v>72</v>
      </c>
    </row>
    <row r="93" spans="1:90" x14ac:dyDescent="0.3">
      <c r="A93" t="s">
        <v>258</v>
      </c>
      <c r="B93" t="s">
        <v>259</v>
      </c>
      <c r="C93" t="s">
        <v>61</v>
      </c>
      <c r="E93" t="str">
        <f>"009943116845"</f>
        <v>009943116845</v>
      </c>
      <c r="F93" s="4">
        <v>44998</v>
      </c>
      <c r="G93">
        <v>202312</v>
      </c>
      <c r="H93" t="s">
        <v>119</v>
      </c>
      <c r="I93" t="s">
        <v>120</v>
      </c>
      <c r="J93" t="s">
        <v>260</v>
      </c>
      <c r="K93" t="s">
        <v>64</v>
      </c>
      <c r="L93" t="s">
        <v>208</v>
      </c>
      <c r="M93" t="s">
        <v>209</v>
      </c>
      <c r="N93" t="s">
        <v>436</v>
      </c>
      <c r="O93" t="s">
        <v>203</v>
      </c>
      <c r="P93" t="str">
        <f t="shared" si="5"/>
        <v xml:space="preserve">N A   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22.91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1.6</v>
      </c>
      <c r="BJ93" s="3">
        <v>9.1</v>
      </c>
      <c r="BK93" s="3">
        <v>10</v>
      </c>
      <c r="BL93" s="3">
        <v>64.569999999999993</v>
      </c>
      <c r="BM93" s="3">
        <v>9.69</v>
      </c>
      <c r="BN93" s="3">
        <v>74.260000000000005</v>
      </c>
      <c r="BO93" s="3">
        <v>74.260000000000005</v>
      </c>
      <c r="BQ93" t="s">
        <v>214</v>
      </c>
      <c r="BR93" t="s">
        <v>263</v>
      </c>
      <c r="BS93" s="1">
        <v>44999</v>
      </c>
      <c r="BT93" s="2">
        <v>0.4375</v>
      </c>
      <c r="BU93" t="s">
        <v>437</v>
      </c>
      <c r="BV93" t="s">
        <v>69</v>
      </c>
      <c r="BY93">
        <v>45452.18</v>
      </c>
      <c r="BZ93" t="s">
        <v>97</v>
      </c>
      <c r="CC93" t="s">
        <v>209</v>
      </c>
      <c r="CD93">
        <v>2146</v>
      </c>
      <c r="CE93" t="s">
        <v>83</v>
      </c>
      <c r="CF93" s="1">
        <v>45000</v>
      </c>
      <c r="CI93">
        <v>1</v>
      </c>
      <c r="CJ93">
        <v>1</v>
      </c>
      <c r="CK93">
        <v>32</v>
      </c>
      <c r="CL93" t="s">
        <v>72</v>
      </c>
    </row>
    <row r="94" spans="1:90" x14ac:dyDescent="0.3">
      <c r="A94" t="s">
        <v>258</v>
      </c>
      <c r="B94" t="s">
        <v>259</v>
      </c>
      <c r="C94" t="s">
        <v>61</v>
      </c>
      <c r="E94" t="str">
        <f>"009943116844"</f>
        <v>009943116844</v>
      </c>
      <c r="F94" s="4">
        <v>44998</v>
      </c>
      <c r="G94">
        <v>202312</v>
      </c>
      <c r="H94" t="s">
        <v>119</v>
      </c>
      <c r="I94" t="s">
        <v>120</v>
      </c>
      <c r="J94" t="s">
        <v>260</v>
      </c>
      <c r="K94" t="s">
        <v>64</v>
      </c>
      <c r="L94" t="s">
        <v>62</v>
      </c>
      <c r="M94" t="s">
        <v>63</v>
      </c>
      <c r="N94" t="s">
        <v>438</v>
      </c>
      <c r="O94" t="s">
        <v>203</v>
      </c>
      <c r="P94" t="str">
        <f t="shared" si="5"/>
        <v xml:space="preserve">N A   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39.72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4.2</v>
      </c>
      <c r="BJ94" s="3">
        <v>18</v>
      </c>
      <c r="BK94" s="3">
        <v>18</v>
      </c>
      <c r="BL94" s="3">
        <v>111.94</v>
      </c>
      <c r="BM94" s="3">
        <v>16.79</v>
      </c>
      <c r="BN94" s="3">
        <v>128.72999999999999</v>
      </c>
      <c r="BO94" s="3">
        <v>128.72999999999999</v>
      </c>
      <c r="BQ94" t="s">
        <v>214</v>
      </c>
      <c r="BR94" t="s">
        <v>263</v>
      </c>
      <c r="BS94" s="1">
        <v>44999</v>
      </c>
      <c r="BT94" s="2">
        <v>0.41666666666666669</v>
      </c>
      <c r="BU94" t="s">
        <v>186</v>
      </c>
      <c r="BV94" t="s">
        <v>69</v>
      </c>
      <c r="BY94">
        <v>89785.08</v>
      </c>
      <c r="BZ94" t="s">
        <v>97</v>
      </c>
      <c r="CA94" t="s">
        <v>439</v>
      </c>
      <c r="CC94" t="s">
        <v>63</v>
      </c>
      <c r="CD94">
        <v>1609</v>
      </c>
      <c r="CE94" t="s">
        <v>83</v>
      </c>
      <c r="CF94" s="1">
        <v>44999</v>
      </c>
      <c r="CI94">
        <v>1</v>
      </c>
      <c r="CJ94">
        <v>1</v>
      </c>
      <c r="CK94">
        <v>32</v>
      </c>
      <c r="CL94" t="s">
        <v>72</v>
      </c>
    </row>
    <row r="95" spans="1:90" x14ac:dyDescent="0.3">
      <c r="A95" t="s">
        <v>258</v>
      </c>
      <c r="B95" t="s">
        <v>259</v>
      </c>
      <c r="C95" t="s">
        <v>61</v>
      </c>
      <c r="E95" t="str">
        <f>"009943116842"</f>
        <v>009943116842</v>
      </c>
      <c r="F95" s="4">
        <v>44998</v>
      </c>
      <c r="G95">
        <v>202312</v>
      </c>
      <c r="H95" t="s">
        <v>119</v>
      </c>
      <c r="I95" t="s">
        <v>120</v>
      </c>
      <c r="J95" t="s">
        <v>260</v>
      </c>
      <c r="K95" t="s">
        <v>64</v>
      </c>
      <c r="L95" t="s">
        <v>114</v>
      </c>
      <c r="M95" t="s">
        <v>115</v>
      </c>
      <c r="N95" t="s">
        <v>440</v>
      </c>
      <c r="O95" t="s">
        <v>203</v>
      </c>
      <c r="P95" t="str">
        <f t="shared" si="5"/>
        <v xml:space="preserve">N A   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20.81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2.1</v>
      </c>
      <c r="BJ95" s="3">
        <v>8.9</v>
      </c>
      <c r="BK95" s="3">
        <v>9</v>
      </c>
      <c r="BL95" s="3">
        <v>58.65</v>
      </c>
      <c r="BM95" s="3">
        <v>8.8000000000000007</v>
      </c>
      <c r="BN95" s="3">
        <v>67.45</v>
      </c>
      <c r="BO95" s="3">
        <v>67.45</v>
      </c>
      <c r="BQ95" t="s">
        <v>214</v>
      </c>
      <c r="BR95" t="s">
        <v>263</v>
      </c>
      <c r="BS95" s="1">
        <v>44999</v>
      </c>
      <c r="BT95" s="2">
        <v>0.48749999999999999</v>
      </c>
      <c r="BU95" t="s">
        <v>441</v>
      </c>
      <c r="BV95" t="s">
        <v>69</v>
      </c>
      <c r="BY95">
        <v>44524.63</v>
      </c>
      <c r="BZ95" t="s">
        <v>97</v>
      </c>
      <c r="CA95" t="s">
        <v>116</v>
      </c>
      <c r="CC95" t="s">
        <v>115</v>
      </c>
      <c r="CD95">
        <v>2162</v>
      </c>
      <c r="CE95" t="s">
        <v>83</v>
      </c>
      <c r="CF95" s="1">
        <v>45000</v>
      </c>
      <c r="CI95">
        <v>1</v>
      </c>
      <c r="CJ95">
        <v>1</v>
      </c>
      <c r="CK95">
        <v>32</v>
      </c>
      <c r="CL95" t="s">
        <v>72</v>
      </c>
    </row>
    <row r="96" spans="1:90" x14ac:dyDescent="0.3">
      <c r="A96" t="s">
        <v>258</v>
      </c>
      <c r="B96" t="s">
        <v>259</v>
      </c>
      <c r="C96" t="s">
        <v>61</v>
      </c>
      <c r="E96" t="str">
        <f>"009943116840"</f>
        <v>009943116840</v>
      </c>
      <c r="F96" s="4">
        <v>44998</v>
      </c>
      <c r="G96">
        <v>202312</v>
      </c>
      <c r="H96" t="s">
        <v>119</v>
      </c>
      <c r="I96" t="s">
        <v>120</v>
      </c>
      <c r="J96" t="s">
        <v>260</v>
      </c>
      <c r="K96" t="s">
        <v>64</v>
      </c>
      <c r="L96" t="s">
        <v>119</v>
      </c>
      <c r="M96" t="s">
        <v>120</v>
      </c>
      <c r="N96" t="s">
        <v>442</v>
      </c>
      <c r="O96" t="s">
        <v>203</v>
      </c>
      <c r="P96" t="str">
        <f t="shared" si="5"/>
        <v xml:space="preserve">N A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22.91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4.0999999999999996</v>
      </c>
      <c r="BJ96" s="3">
        <v>9.1999999999999993</v>
      </c>
      <c r="BK96" s="3">
        <v>10</v>
      </c>
      <c r="BL96" s="3">
        <v>64.569999999999993</v>
      </c>
      <c r="BM96" s="3">
        <v>9.69</v>
      </c>
      <c r="BN96" s="3">
        <v>74.260000000000005</v>
      </c>
      <c r="BO96" s="3">
        <v>74.260000000000005</v>
      </c>
      <c r="BQ96" t="s">
        <v>214</v>
      </c>
      <c r="BR96" t="s">
        <v>263</v>
      </c>
      <c r="BS96" s="1">
        <v>44999</v>
      </c>
      <c r="BT96" s="2">
        <v>0.37638888888888888</v>
      </c>
      <c r="BU96" t="s">
        <v>443</v>
      </c>
      <c r="BV96" t="s">
        <v>69</v>
      </c>
      <c r="BY96">
        <v>46215</v>
      </c>
      <c r="BZ96" t="s">
        <v>97</v>
      </c>
      <c r="CA96" t="s">
        <v>129</v>
      </c>
      <c r="CC96" t="s">
        <v>120</v>
      </c>
      <c r="CD96">
        <v>2198</v>
      </c>
      <c r="CE96" t="s">
        <v>83</v>
      </c>
      <c r="CF96" s="1">
        <v>45000</v>
      </c>
      <c r="CI96">
        <v>1</v>
      </c>
      <c r="CJ96">
        <v>1</v>
      </c>
      <c r="CK96">
        <v>32</v>
      </c>
      <c r="CL96" t="s">
        <v>72</v>
      </c>
    </row>
    <row r="97" spans="1:90" x14ac:dyDescent="0.3">
      <c r="A97" t="s">
        <v>258</v>
      </c>
      <c r="B97" t="s">
        <v>259</v>
      </c>
      <c r="C97" t="s">
        <v>61</v>
      </c>
      <c r="E97" t="str">
        <f>"009943116866"</f>
        <v>009943116866</v>
      </c>
      <c r="F97" s="4">
        <v>44998</v>
      </c>
      <c r="G97">
        <v>202312</v>
      </c>
      <c r="H97" t="s">
        <v>119</v>
      </c>
      <c r="I97" t="s">
        <v>120</v>
      </c>
      <c r="J97" t="s">
        <v>260</v>
      </c>
      <c r="K97" t="s">
        <v>64</v>
      </c>
      <c r="L97" t="s">
        <v>110</v>
      </c>
      <c r="M97" t="s">
        <v>111</v>
      </c>
      <c r="N97" t="s">
        <v>444</v>
      </c>
      <c r="O97" t="s">
        <v>203</v>
      </c>
      <c r="P97" t="str">
        <f t="shared" si="5"/>
        <v xml:space="preserve">N A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44.9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0.5</v>
      </c>
      <c r="BJ97" s="3">
        <v>2.1</v>
      </c>
      <c r="BK97" s="3">
        <v>3</v>
      </c>
      <c r="BL97" s="3">
        <v>126.54</v>
      </c>
      <c r="BM97" s="3">
        <v>18.98</v>
      </c>
      <c r="BN97" s="3">
        <v>145.52000000000001</v>
      </c>
      <c r="BO97" s="3">
        <v>145.52000000000001</v>
      </c>
      <c r="BQ97" t="s">
        <v>214</v>
      </c>
      <c r="BR97" t="s">
        <v>263</v>
      </c>
      <c r="BS97" s="1">
        <v>44999</v>
      </c>
      <c r="BT97" s="2">
        <v>0.38958333333333334</v>
      </c>
      <c r="BU97" t="s">
        <v>242</v>
      </c>
      <c r="BV97" t="s">
        <v>69</v>
      </c>
      <c r="BY97">
        <v>10401.129999999999</v>
      </c>
      <c r="BZ97" t="s">
        <v>97</v>
      </c>
      <c r="CA97" t="s">
        <v>130</v>
      </c>
      <c r="CC97" t="s">
        <v>111</v>
      </c>
      <c r="CD97">
        <v>3610</v>
      </c>
      <c r="CE97" t="s">
        <v>83</v>
      </c>
      <c r="CF97" s="1">
        <v>45000</v>
      </c>
      <c r="CI97">
        <v>1</v>
      </c>
      <c r="CJ97">
        <v>1</v>
      </c>
      <c r="CK97">
        <v>31</v>
      </c>
      <c r="CL97" t="s">
        <v>72</v>
      </c>
    </row>
    <row r="98" spans="1:90" x14ac:dyDescent="0.3">
      <c r="A98" t="s">
        <v>258</v>
      </c>
      <c r="B98" t="s">
        <v>259</v>
      </c>
      <c r="C98" t="s">
        <v>61</v>
      </c>
      <c r="E98" t="str">
        <f>"009941301636"</f>
        <v>009941301636</v>
      </c>
      <c r="F98" s="4">
        <v>44998</v>
      </c>
      <c r="G98">
        <v>202312</v>
      </c>
      <c r="H98" t="s">
        <v>119</v>
      </c>
      <c r="I98" t="s">
        <v>120</v>
      </c>
      <c r="J98" t="s">
        <v>390</v>
      </c>
      <c r="K98" t="s">
        <v>64</v>
      </c>
      <c r="L98" t="s">
        <v>119</v>
      </c>
      <c r="M98" t="s">
        <v>120</v>
      </c>
      <c r="N98" t="s">
        <v>272</v>
      </c>
      <c r="O98" t="s">
        <v>96</v>
      </c>
      <c r="P98" t="str">
        <f t="shared" si="5"/>
        <v xml:space="preserve">N A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5.25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35.729999999999997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1</v>
      </c>
      <c r="BJ98" s="3">
        <v>0.2</v>
      </c>
      <c r="BK98" s="3">
        <v>1</v>
      </c>
      <c r="BL98" s="3">
        <v>105.95</v>
      </c>
      <c r="BM98" s="3">
        <v>15.89</v>
      </c>
      <c r="BN98" s="3">
        <v>121.84</v>
      </c>
      <c r="BO98" s="3">
        <v>121.84</v>
      </c>
      <c r="BQ98" t="s">
        <v>313</v>
      </c>
      <c r="BR98" t="s">
        <v>235</v>
      </c>
      <c r="BS98" s="1">
        <v>44999</v>
      </c>
      <c r="BT98" s="2">
        <v>0.34722222222222227</v>
      </c>
      <c r="BU98" t="s">
        <v>281</v>
      </c>
      <c r="BV98" t="s">
        <v>69</v>
      </c>
      <c r="BY98">
        <v>1200</v>
      </c>
      <c r="BZ98" t="s">
        <v>97</v>
      </c>
      <c r="CA98" t="s">
        <v>149</v>
      </c>
      <c r="CC98" t="s">
        <v>120</v>
      </c>
      <c r="CD98">
        <v>2013</v>
      </c>
      <c r="CE98" t="s">
        <v>83</v>
      </c>
      <c r="CF98" s="1">
        <v>44999</v>
      </c>
      <c r="CI98">
        <v>1</v>
      </c>
      <c r="CJ98">
        <v>1</v>
      </c>
      <c r="CK98">
        <v>42</v>
      </c>
      <c r="CL98" t="s">
        <v>72</v>
      </c>
    </row>
    <row r="99" spans="1:90" x14ac:dyDescent="0.3">
      <c r="A99" t="s">
        <v>258</v>
      </c>
      <c r="B99" t="s">
        <v>259</v>
      </c>
      <c r="C99" t="s">
        <v>61</v>
      </c>
      <c r="E99" t="str">
        <f>"009943116836"</f>
        <v>009943116836</v>
      </c>
      <c r="F99" s="4">
        <v>44998</v>
      </c>
      <c r="G99">
        <v>202312</v>
      </c>
      <c r="H99" t="s">
        <v>119</v>
      </c>
      <c r="I99" t="s">
        <v>120</v>
      </c>
      <c r="J99" t="s">
        <v>260</v>
      </c>
      <c r="K99" t="s">
        <v>64</v>
      </c>
      <c r="L99" t="s">
        <v>62</v>
      </c>
      <c r="M99" t="s">
        <v>63</v>
      </c>
      <c r="N99" t="s">
        <v>445</v>
      </c>
      <c r="O99" t="s">
        <v>203</v>
      </c>
      <c r="P99" t="str">
        <f t="shared" si="5"/>
        <v xml:space="preserve">N A  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20.81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3.1</v>
      </c>
      <c r="BJ99" s="3">
        <v>8.8000000000000007</v>
      </c>
      <c r="BK99" s="3">
        <v>9</v>
      </c>
      <c r="BL99" s="3">
        <v>58.65</v>
      </c>
      <c r="BM99" s="3">
        <v>8.8000000000000007</v>
      </c>
      <c r="BN99" s="3">
        <v>67.45</v>
      </c>
      <c r="BO99" s="3">
        <v>67.45</v>
      </c>
      <c r="BQ99" t="s">
        <v>214</v>
      </c>
      <c r="BR99" t="s">
        <v>263</v>
      </c>
      <c r="BS99" s="1">
        <v>44999</v>
      </c>
      <c r="BT99" s="2">
        <v>0.45208333333333334</v>
      </c>
      <c r="BU99" t="s">
        <v>68</v>
      </c>
      <c r="BV99" t="s">
        <v>69</v>
      </c>
      <c r="BY99">
        <v>44096.22</v>
      </c>
      <c r="BZ99" t="s">
        <v>97</v>
      </c>
      <c r="CA99" t="s">
        <v>233</v>
      </c>
      <c r="CC99" t="s">
        <v>63</v>
      </c>
      <c r="CD99">
        <v>1609</v>
      </c>
      <c r="CE99" t="s">
        <v>83</v>
      </c>
      <c r="CF99" s="1">
        <v>44999</v>
      </c>
      <c r="CI99">
        <v>1</v>
      </c>
      <c r="CJ99">
        <v>1</v>
      </c>
      <c r="CK99">
        <v>32</v>
      </c>
      <c r="CL99" t="s">
        <v>72</v>
      </c>
    </row>
    <row r="100" spans="1:90" x14ac:dyDescent="0.3">
      <c r="A100" t="s">
        <v>258</v>
      </c>
      <c r="B100" t="s">
        <v>259</v>
      </c>
      <c r="C100" t="s">
        <v>61</v>
      </c>
      <c r="E100" t="str">
        <f>"009943116841"</f>
        <v>009943116841</v>
      </c>
      <c r="F100" s="4">
        <v>44998</v>
      </c>
      <c r="G100">
        <v>202312</v>
      </c>
      <c r="H100" t="s">
        <v>119</v>
      </c>
      <c r="I100" t="s">
        <v>120</v>
      </c>
      <c r="J100" t="s">
        <v>260</v>
      </c>
      <c r="K100" t="s">
        <v>64</v>
      </c>
      <c r="L100" t="s">
        <v>200</v>
      </c>
      <c r="M100" t="s">
        <v>201</v>
      </c>
      <c r="N100" t="s">
        <v>446</v>
      </c>
      <c r="O100" t="s">
        <v>203</v>
      </c>
      <c r="P100" t="str">
        <f t="shared" si="5"/>
        <v xml:space="preserve">N A  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107.2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2.2000000000000002</v>
      </c>
      <c r="BJ100" s="3">
        <v>8.6999999999999993</v>
      </c>
      <c r="BK100" s="3">
        <v>9</v>
      </c>
      <c r="BL100" s="3">
        <v>302.11</v>
      </c>
      <c r="BM100" s="3">
        <v>45.32</v>
      </c>
      <c r="BN100" s="3">
        <v>347.43</v>
      </c>
      <c r="BO100" s="3">
        <v>347.43</v>
      </c>
      <c r="BQ100" t="s">
        <v>214</v>
      </c>
      <c r="BR100" t="s">
        <v>263</v>
      </c>
      <c r="BS100" s="1">
        <v>44999</v>
      </c>
      <c r="BT100" s="2">
        <v>0.4861111111111111</v>
      </c>
      <c r="BU100" t="s">
        <v>447</v>
      </c>
      <c r="BV100" t="s">
        <v>69</v>
      </c>
      <c r="BY100">
        <v>43453.48</v>
      </c>
      <c r="BZ100" t="s">
        <v>97</v>
      </c>
      <c r="CA100" t="s">
        <v>212</v>
      </c>
      <c r="CC100" t="s">
        <v>201</v>
      </c>
      <c r="CD100">
        <v>4405</v>
      </c>
      <c r="CE100" t="s">
        <v>83</v>
      </c>
      <c r="CF100" s="1">
        <v>45000</v>
      </c>
      <c r="CI100">
        <v>1</v>
      </c>
      <c r="CJ100">
        <v>1</v>
      </c>
      <c r="CK100">
        <v>33</v>
      </c>
      <c r="CL100" t="s">
        <v>72</v>
      </c>
    </row>
    <row r="101" spans="1:90" x14ac:dyDescent="0.3">
      <c r="A101" t="s">
        <v>258</v>
      </c>
      <c r="B101" t="s">
        <v>259</v>
      </c>
      <c r="C101" t="s">
        <v>61</v>
      </c>
      <c r="E101" t="str">
        <f>"009943116830"</f>
        <v>009943116830</v>
      </c>
      <c r="F101" s="4">
        <v>44999</v>
      </c>
      <c r="G101">
        <v>202312</v>
      </c>
      <c r="H101" t="s">
        <v>119</v>
      </c>
      <c r="I101" t="s">
        <v>120</v>
      </c>
      <c r="J101" t="s">
        <v>260</v>
      </c>
      <c r="K101" t="s">
        <v>64</v>
      </c>
      <c r="L101" t="s">
        <v>145</v>
      </c>
      <c r="M101" t="s">
        <v>146</v>
      </c>
      <c r="N101" t="s">
        <v>257</v>
      </c>
      <c r="O101" t="s">
        <v>203</v>
      </c>
      <c r="P101" t="str">
        <f t="shared" si="5"/>
        <v xml:space="preserve">N A   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258.19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7.8</v>
      </c>
      <c r="BJ101" s="3">
        <v>22.3</v>
      </c>
      <c r="BK101" s="3">
        <v>23</v>
      </c>
      <c r="BL101" s="3">
        <v>727.62</v>
      </c>
      <c r="BM101" s="3">
        <v>109.14</v>
      </c>
      <c r="BN101" s="3">
        <v>836.76</v>
      </c>
      <c r="BO101" s="3">
        <v>836.76</v>
      </c>
      <c r="BQ101" t="s">
        <v>448</v>
      </c>
      <c r="BR101" t="s">
        <v>263</v>
      </c>
      <c r="BS101" s="1">
        <v>45000</v>
      </c>
      <c r="BT101" s="2">
        <v>0.53888888888888886</v>
      </c>
      <c r="BU101" t="s">
        <v>449</v>
      </c>
      <c r="BV101" t="s">
        <v>69</v>
      </c>
      <c r="BY101">
        <v>111666.79</v>
      </c>
      <c r="BZ101" t="s">
        <v>97</v>
      </c>
      <c r="CA101" t="s">
        <v>450</v>
      </c>
      <c r="CC101" t="s">
        <v>146</v>
      </c>
      <c r="CD101">
        <v>4319</v>
      </c>
      <c r="CE101" t="s">
        <v>83</v>
      </c>
      <c r="CF101" s="1">
        <v>45001</v>
      </c>
      <c r="CI101">
        <v>1</v>
      </c>
      <c r="CJ101">
        <v>1</v>
      </c>
      <c r="CK101">
        <v>31</v>
      </c>
      <c r="CL101" t="s">
        <v>72</v>
      </c>
    </row>
    <row r="102" spans="1:90" x14ac:dyDescent="0.3">
      <c r="A102" t="s">
        <v>258</v>
      </c>
      <c r="B102" t="s">
        <v>259</v>
      </c>
      <c r="C102" t="s">
        <v>61</v>
      </c>
      <c r="E102" t="str">
        <f>"009943116834"</f>
        <v>009943116834</v>
      </c>
      <c r="F102" s="4">
        <v>44999</v>
      </c>
      <c r="G102">
        <v>202312</v>
      </c>
      <c r="H102" t="s">
        <v>119</v>
      </c>
      <c r="I102" t="s">
        <v>120</v>
      </c>
      <c r="J102" t="s">
        <v>260</v>
      </c>
      <c r="K102" t="s">
        <v>64</v>
      </c>
      <c r="L102" t="s">
        <v>101</v>
      </c>
      <c r="M102" t="s">
        <v>102</v>
      </c>
      <c r="N102" t="s">
        <v>257</v>
      </c>
      <c r="O102" t="s">
        <v>203</v>
      </c>
      <c r="P102" t="str">
        <f t="shared" si="5"/>
        <v xml:space="preserve">N A   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101.03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2.2999999999999998</v>
      </c>
      <c r="BJ102" s="3">
        <v>8.8000000000000007</v>
      </c>
      <c r="BK102" s="3">
        <v>9</v>
      </c>
      <c r="BL102" s="3">
        <v>284.72000000000003</v>
      </c>
      <c r="BM102" s="3">
        <v>42.71</v>
      </c>
      <c r="BN102" s="3">
        <v>327.43</v>
      </c>
      <c r="BO102" s="3">
        <v>327.43</v>
      </c>
      <c r="BQ102" t="s">
        <v>451</v>
      </c>
      <c r="BR102" t="s">
        <v>263</v>
      </c>
      <c r="BS102" s="1">
        <v>45000</v>
      </c>
      <c r="BT102" s="2">
        <v>0.39583333333333331</v>
      </c>
      <c r="BU102" t="s">
        <v>452</v>
      </c>
      <c r="BV102" t="s">
        <v>69</v>
      </c>
      <c r="BY102">
        <v>44018.17</v>
      </c>
      <c r="BZ102" t="s">
        <v>97</v>
      </c>
      <c r="CA102" t="s">
        <v>134</v>
      </c>
      <c r="CC102" t="s">
        <v>102</v>
      </c>
      <c r="CD102">
        <v>4092</v>
      </c>
      <c r="CE102" t="s">
        <v>83</v>
      </c>
      <c r="CF102" s="1">
        <v>45001</v>
      </c>
      <c r="CI102">
        <v>1</v>
      </c>
      <c r="CJ102">
        <v>1</v>
      </c>
      <c r="CK102">
        <v>31</v>
      </c>
      <c r="CL102" t="s">
        <v>72</v>
      </c>
    </row>
    <row r="103" spans="1:90" x14ac:dyDescent="0.3">
      <c r="A103" t="s">
        <v>258</v>
      </c>
      <c r="B103" t="s">
        <v>259</v>
      </c>
      <c r="C103" t="s">
        <v>61</v>
      </c>
      <c r="E103" t="str">
        <f>"009943116828"</f>
        <v>009943116828</v>
      </c>
      <c r="F103" s="4">
        <v>44999</v>
      </c>
      <c r="G103">
        <v>202312</v>
      </c>
      <c r="H103" t="s">
        <v>119</v>
      </c>
      <c r="I103" t="s">
        <v>120</v>
      </c>
      <c r="J103" t="s">
        <v>260</v>
      </c>
      <c r="K103" t="s">
        <v>64</v>
      </c>
      <c r="L103" t="s">
        <v>90</v>
      </c>
      <c r="M103" t="s">
        <v>91</v>
      </c>
      <c r="N103" t="s">
        <v>257</v>
      </c>
      <c r="O103" t="s">
        <v>203</v>
      </c>
      <c r="P103" t="str">
        <f t="shared" si="5"/>
        <v xml:space="preserve">N A   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20.81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1.8</v>
      </c>
      <c r="BJ103" s="3">
        <v>9</v>
      </c>
      <c r="BK103" s="3">
        <v>9</v>
      </c>
      <c r="BL103" s="3">
        <v>58.65</v>
      </c>
      <c r="BM103" s="3">
        <v>8.8000000000000007</v>
      </c>
      <c r="BN103" s="3">
        <v>67.45</v>
      </c>
      <c r="BO103" s="3">
        <v>67.45</v>
      </c>
      <c r="BQ103" t="s">
        <v>453</v>
      </c>
      <c r="BR103" t="s">
        <v>263</v>
      </c>
      <c r="BS103" s="1">
        <v>45000</v>
      </c>
      <c r="BT103" s="2">
        <v>0.39999999999999997</v>
      </c>
      <c r="BU103" t="s">
        <v>454</v>
      </c>
      <c r="BV103" t="s">
        <v>69</v>
      </c>
      <c r="BY103">
        <v>45046.12</v>
      </c>
      <c r="BZ103" t="s">
        <v>97</v>
      </c>
      <c r="CA103" t="s">
        <v>243</v>
      </c>
      <c r="CC103" t="s">
        <v>91</v>
      </c>
      <c r="CD103">
        <v>1685</v>
      </c>
      <c r="CE103" t="s">
        <v>83</v>
      </c>
      <c r="CF103" s="1">
        <v>45000</v>
      </c>
      <c r="CI103">
        <v>1</v>
      </c>
      <c r="CJ103">
        <v>1</v>
      </c>
      <c r="CK103">
        <v>32</v>
      </c>
      <c r="CL103" t="s">
        <v>72</v>
      </c>
    </row>
    <row r="104" spans="1:90" x14ac:dyDescent="0.3">
      <c r="A104" t="s">
        <v>258</v>
      </c>
      <c r="B104" t="s">
        <v>259</v>
      </c>
      <c r="C104" t="s">
        <v>61</v>
      </c>
      <c r="E104" t="str">
        <f>"009943048015"</f>
        <v>009943048015</v>
      </c>
      <c r="F104" s="4">
        <v>44999</v>
      </c>
      <c r="G104">
        <v>202312</v>
      </c>
      <c r="H104" t="s">
        <v>101</v>
      </c>
      <c r="I104" t="s">
        <v>102</v>
      </c>
      <c r="J104" t="s">
        <v>288</v>
      </c>
      <c r="K104" t="s">
        <v>64</v>
      </c>
      <c r="L104" t="s">
        <v>119</v>
      </c>
      <c r="M104" t="s">
        <v>120</v>
      </c>
      <c r="N104" t="s">
        <v>272</v>
      </c>
      <c r="O104" t="s">
        <v>96</v>
      </c>
      <c r="P104" t="str">
        <f>"                              "</f>
        <v xml:space="preserve">       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5.25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46.31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0.2</v>
      </c>
      <c r="BK104" s="3">
        <v>1</v>
      </c>
      <c r="BL104" s="3">
        <v>135.76</v>
      </c>
      <c r="BM104" s="3">
        <v>20.36</v>
      </c>
      <c r="BN104" s="3">
        <v>156.12</v>
      </c>
      <c r="BO104" s="3">
        <v>156.12</v>
      </c>
      <c r="BR104" t="s">
        <v>274</v>
      </c>
      <c r="BS104" s="1">
        <v>45000</v>
      </c>
      <c r="BT104" s="2">
        <v>0.37291666666666662</v>
      </c>
      <c r="BU104" t="s">
        <v>281</v>
      </c>
      <c r="BV104" t="s">
        <v>69</v>
      </c>
      <c r="BY104">
        <v>1200</v>
      </c>
      <c r="BZ104" t="s">
        <v>97</v>
      </c>
      <c r="CA104" t="s">
        <v>149</v>
      </c>
      <c r="CC104" t="s">
        <v>120</v>
      </c>
      <c r="CD104">
        <v>2190</v>
      </c>
      <c r="CE104" t="s">
        <v>83</v>
      </c>
      <c r="CF104" s="1">
        <v>45000</v>
      </c>
      <c r="CI104">
        <v>1</v>
      </c>
      <c r="CJ104">
        <v>1</v>
      </c>
      <c r="CK104">
        <v>41</v>
      </c>
      <c r="CL104" t="s">
        <v>72</v>
      </c>
    </row>
    <row r="105" spans="1:90" x14ac:dyDescent="0.3">
      <c r="A105" t="s">
        <v>258</v>
      </c>
      <c r="B105" t="s">
        <v>259</v>
      </c>
      <c r="C105" t="s">
        <v>61</v>
      </c>
      <c r="E105" t="str">
        <f>"009943116860"</f>
        <v>009943116860</v>
      </c>
      <c r="F105" s="4">
        <v>44999</v>
      </c>
      <c r="G105">
        <v>202312</v>
      </c>
      <c r="H105" t="s">
        <v>119</v>
      </c>
      <c r="I105" t="s">
        <v>120</v>
      </c>
      <c r="J105" t="s">
        <v>260</v>
      </c>
      <c r="K105" t="s">
        <v>64</v>
      </c>
      <c r="L105" t="s">
        <v>65</v>
      </c>
      <c r="M105" t="s">
        <v>66</v>
      </c>
      <c r="N105" t="s">
        <v>455</v>
      </c>
      <c r="O105" t="s">
        <v>203</v>
      </c>
      <c r="P105" t="str">
        <f t="shared" ref="P105:P112" si="6">"N A                           "</f>
        <v xml:space="preserve">N A   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44.9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0.2</v>
      </c>
      <c r="BJ105" s="3">
        <v>2</v>
      </c>
      <c r="BK105" s="3">
        <v>2</v>
      </c>
      <c r="BL105" s="3">
        <v>126.54</v>
      </c>
      <c r="BM105" s="3">
        <v>18.98</v>
      </c>
      <c r="BN105" s="3">
        <v>145.52000000000001</v>
      </c>
      <c r="BO105" s="3">
        <v>145.52000000000001</v>
      </c>
      <c r="BQ105" t="s">
        <v>456</v>
      </c>
      <c r="BR105" t="s">
        <v>263</v>
      </c>
      <c r="BS105" s="1">
        <v>45000</v>
      </c>
      <c r="BT105" s="2">
        <v>0.38472222222222219</v>
      </c>
      <c r="BU105" t="s">
        <v>457</v>
      </c>
      <c r="BV105" t="s">
        <v>69</v>
      </c>
      <c r="BY105">
        <v>10054.51</v>
      </c>
      <c r="BZ105" t="s">
        <v>97</v>
      </c>
      <c r="CA105" t="s">
        <v>129</v>
      </c>
      <c r="CC105" t="s">
        <v>66</v>
      </c>
      <c r="CD105">
        <v>7935</v>
      </c>
      <c r="CE105" t="s">
        <v>83</v>
      </c>
      <c r="CF105" s="1">
        <v>45001</v>
      </c>
      <c r="CI105">
        <v>1</v>
      </c>
      <c r="CJ105">
        <v>1</v>
      </c>
      <c r="CK105">
        <v>31</v>
      </c>
      <c r="CL105" t="s">
        <v>72</v>
      </c>
    </row>
    <row r="106" spans="1:90" x14ac:dyDescent="0.3">
      <c r="A106" t="s">
        <v>258</v>
      </c>
      <c r="B106" t="s">
        <v>259</v>
      </c>
      <c r="C106" t="s">
        <v>61</v>
      </c>
      <c r="E106" t="str">
        <f>"009941870528"</f>
        <v>009941870528</v>
      </c>
      <c r="F106" s="4">
        <v>44999</v>
      </c>
      <c r="G106">
        <v>202312</v>
      </c>
      <c r="H106" t="s">
        <v>119</v>
      </c>
      <c r="I106" t="s">
        <v>120</v>
      </c>
      <c r="J106" t="s">
        <v>260</v>
      </c>
      <c r="K106" t="s">
        <v>64</v>
      </c>
      <c r="L106" t="s">
        <v>101</v>
      </c>
      <c r="M106" t="s">
        <v>102</v>
      </c>
      <c r="N106" t="s">
        <v>458</v>
      </c>
      <c r="O106" t="s">
        <v>67</v>
      </c>
      <c r="P106" t="str">
        <f t="shared" si="6"/>
        <v xml:space="preserve">N A   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23.95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67.489999999999995</v>
      </c>
      <c r="BM106" s="3">
        <v>10.119999999999999</v>
      </c>
      <c r="BN106" s="3">
        <v>77.61</v>
      </c>
      <c r="BO106" s="3">
        <v>77.61</v>
      </c>
      <c r="BQ106" t="s">
        <v>459</v>
      </c>
      <c r="BR106" t="s">
        <v>460</v>
      </c>
      <c r="BS106" s="1">
        <v>45000</v>
      </c>
      <c r="BT106" s="2">
        <v>0.46319444444444446</v>
      </c>
      <c r="BU106" t="s">
        <v>461</v>
      </c>
      <c r="BV106" t="s">
        <v>72</v>
      </c>
      <c r="BW106" t="s">
        <v>98</v>
      </c>
      <c r="BX106" t="s">
        <v>104</v>
      </c>
      <c r="BY106">
        <v>1200</v>
      </c>
      <c r="BZ106" t="s">
        <v>70</v>
      </c>
      <c r="CA106" t="s">
        <v>134</v>
      </c>
      <c r="CC106" t="s">
        <v>102</v>
      </c>
      <c r="CD106">
        <v>4000</v>
      </c>
      <c r="CE106" t="s">
        <v>83</v>
      </c>
      <c r="CF106" s="1">
        <v>45001</v>
      </c>
      <c r="CI106">
        <v>1</v>
      </c>
      <c r="CJ106">
        <v>1</v>
      </c>
      <c r="CK106">
        <v>21</v>
      </c>
      <c r="CL106" t="s">
        <v>72</v>
      </c>
    </row>
    <row r="107" spans="1:90" x14ac:dyDescent="0.3">
      <c r="A107" t="s">
        <v>258</v>
      </c>
      <c r="B107" t="s">
        <v>259</v>
      </c>
      <c r="C107" t="s">
        <v>61</v>
      </c>
      <c r="E107" t="str">
        <f>"009943116862"</f>
        <v>009943116862</v>
      </c>
      <c r="F107" s="4">
        <v>44999</v>
      </c>
      <c r="G107">
        <v>202312</v>
      </c>
      <c r="H107" t="s">
        <v>119</v>
      </c>
      <c r="I107" t="s">
        <v>120</v>
      </c>
      <c r="J107" t="s">
        <v>260</v>
      </c>
      <c r="K107" t="s">
        <v>64</v>
      </c>
      <c r="L107" t="s">
        <v>119</v>
      </c>
      <c r="M107" t="s">
        <v>120</v>
      </c>
      <c r="N107" t="s">
        <v>257</v>
      </c>
      <c r="O107" t="s">
        <v>203</v>
      </c>
      <c r="P107" t="str">
        <f t="shared" si="6"/>
        <v xml:space="preserve">N A     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20.81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1.3</v>
      </c>
      <c r="BJ107" s="3">
        <v>8.9</v>
      </c>
      <c r="BK107" s="3">
        <v>9</v>
      </c>
      <c r="BL107" s="3">
        <v>58.65</v>
      </c>
      <c r="BM107" s="3">
        <v>8.8000000000000007</v>
      </c>
      <c r="BN107" s="3">
        <v>67.45</v>
      </c>
      <c r="BO107" s="3">
        <v>67.45</v>
      </c>
      <c r="BQ107" t="s">
        <v>462</v>
      </c>
      <c r="BR107" t="s">
        <v>263</v>
      </c>
      <c r="BS107" s="1">
        <v>45000</v>
      </c>
      <c r="BT107" s="2">
        <v>0.35833333333333334</v>
      </c>
      <c r="BU107" t="s">
        <v>463</v>
      </c>
      <c r="BV107" t="s">
        <v>69</v>
      </c>
      <c r="BY107">
        <v>44375.88</v>
      </c>
      <c r="BZ107" t="s">
        <v>97</v>
      </c>
      <c r="CA107" t="s">
        <v>210</v>
      </c>
      <c r="CC107" t="s">
        <v>120</v>
      </c>
      <c r="CD107">
        <v>2090</v>
      </c>
      <c r="CE107" t="s">
        <v>83</v>
      </c>
      <c r="CF107" s="1">
        <v>45001</v>
      </c>
      <c r="CI107">
        <v>1</v>
      </c>
      <c r="CJ107">
        <v>1</v>
      </c>
      <c r="CK107">
        <v>32</v>
      </c>
      <c r="CL107" t="s">
        <v>72</v>
      </c>
    </row>
    <row r="108" spans="1:90" x14ac:dyDescent="0.3">
      <c r="A108" t="s">
        <v>258</v>
      </c>
      <c r="B108" t="s">
        <v>259</v>
      </c>
      <c r="C108" t="s">
        <v>61</v>
      </c>
      <c r="E108" t="str">
        <f>"009943116618"</f>
        <v>009943116618</v>
      </c>
      <c r="F108" s="4">
        <v>44999</v>
      </c>
      <c r="G108">
        <v>202312</v>
      </c>
      <c r="H108" t="s">
        <v>119</v>
      </c>
      <c r="I108" t="s">
        <v>120</v>
      </c>
      <c r="J108" t="s">
        <v>260</v>
      </c>
      <c r="K108" t="s">
        <v>64</v>
      </c>
      <c r="L108" t="s">
        <v>101</v>
      </c>
      <c r="M108" t="s">
        <v>102</v>
      </c>
      <c r="N108" t="s">
        <v>257</v>
      </c>
      <c r="O108" t="s">
        <v>203</v>
      </c>
      <c r="P108" t="str">
        <f t="shared" si="6"/>
        <v xml:space="preserve">N A   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112.26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3.2</v>
      </c>
      <c r="BJ108" s="3">
        <v>9.8000000000000007</v>
      </c>
      <c r="BK108" s="3">
        <v>10</v>
      </c>
      <c r="BL108" s="3">
        <v>316.36</v>
      </c>
      <c r="BM108" s="3">
        <v>47.45</v>
      </c>
      <c r="BN108" s="3">
        <v>363.81</v>
      </c>
      <c r="BO108" s="3">
        <v>363.81</v>
      </c>
      <c r="BQ108" t="s">
        <v>464</v>
      </c>
      <c r="BR108" t="s">
        <v>263</v>
      </c>
      <c r="BS108" s="1">
        <v>45000</v>
      </c>
      <c r="BT108" s="2">
        <v>0.59027777777777779</v>
      </c>
      <c r="BU108" t="s">
        <v>190</v>
      </c>
      <c r="BV108" t="s">
        <v>72</v>
      </c>
      <c r="BW108" t="s">
        <v>94</v>
      </c>
      <c r="BX108" t="s">
        <v>104</v>
      </c>
      <c r="BY108">
        <v>48907.32</v>
      </c>
      <c r="BZ108" t="s">
        <v>97</v>
      </c>
      <c r="CA108" t="s">
        <v>465</v>
      </c>
      <c r="CC108" t="s">
        <v>102</v>
      </c>
      <c r="CD108">
        <v>4000</v>
      </c>
      <c r="CE108" t="s">
        <v>83</v>
      </c>
      <c r="CF108" s="1">
        <v>45001</v>
      </c>
      <c r="CI108">
        <v>1</v>
      </c>
      <c r="CJ108">
        <v>1</v>
      </c>
      <c r="CK108">
        <v>31</v>
      </c>
      <c r="CL108" t="s">
        <v>72</v>
      </c>
    </row>
    <row r="109" spans="1:90" x14ac:dyDescent="0.3">
      <c r="A109" t="s">
        <v>258</v>
      </c>
      <c r="B109" t="s">
        <v>259</v>
      </c>
      <c r="C109" t="s">
        <v>61</v>
      </c>
      <c r="E109" t="str">
        <f>"009943116863"</f>
        <v>009943116863</v>
      </c>
      <c r="F109" s="4">
        <v>44999</v>
      </c>
      <c r="G109">
        <v>202312</v>
      </c>
      <c r="H109" t="s">
        <v>119</v>
      </c>
      <c r="I109" t="s">
        <v>120</v>
      </c>
      <c r="J109" t="s">
        <v>260</v>
      </c>
      <c r="K109" t="s">
        <v>64</v>
      </c>
      <c r="L109" t="s">
        <v>119</v>
      </c>
      <c r="M109" t="s">
        <v>120</v>
      </c>
      <c r="N109" t="s">
        <v>257</v>
      </c>
      <c r="O109" t="s">
        <v>203</v>
      </c>
      <c r="P109" t="str">
        <f t="shared" si="6"/>
        <v xml:space="preserve">N A   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18.71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0.2</v>
      </c>
      <c r="BJ109" s="3">
        <v>2.1</v>
      </c>
      <c r="BK109" s="3">
        <v>3</v>
      </c>
      <c r="BL109" s="3">
        <v>52.73</v>
      </c>
      <c r="BM109" s="3">
        <v>7.91</v>
      </c>
      <c r="BN109" s="3">
        <v>60.64</v>
      </c>
      <c r="BO109" s="3">
        <v>60.64</v>
      </c>
      <c r="BQ109" t="s">
        <v>466</v>
      </c>
      <c r="BR109" t="s">
        <v>263</v>
      </c>
      <c r="BS109" s="1">
        <v>45013</v>
      </c>
      <c r="BT109" s="2">
        <v>0.56388888888888888</v>
      </c>
      <c r="BU109" t="s">
        <v>467</v>
      </c>
      <c r="BV109" t="s">
        <v>72</v>
      </c>
      <c r="BW109" t="s">
        <v>103</v>
      </c>
      <c r="BX109" t="s">
        <v>155</v>
      </c>
      <c r="BY109">
        <v>10431.19</v>
      </c>
      <c r="BZ109" t="s">
        <v>97</v>
      </c>
      <c r="CA109" t="s">
        <v>168</v>
      </c>
      <c r="CC109" t="s">
        <v>120</v>
      </c>
      <c r="CD109">
        <v>2091</v>
      </c>
      <c r="CE109" t="s">
        <v>83</v>
      </c>
      <c r="CF109" s="1">
        <v>45014</v>
      </c>
      <c r="CI109">
        <v>1</v>
      </c>
      <c r="CJ109">
        <v>10</v>
      </c>
      <c r="CK109">
        <v>32</v>
      </c>
      <c r="CL109" t="s">
        <v>72</v>
      </c>
    </row>
    <row r="110" spans="1:90" x14ac:dyDescent="0.3">
      <c r="A110" t="s">
        <v>258</v>
      </c>
      <c r="B110" t="s">
        <v>259</v>
      </c>
      <c r="C110" t="s">
        <v>61</v>
      </c>
      <c r="E110" t="str">
        <f>"009943116829"</f>
        <v>009943116829</v>
      </c>
      <c r="F110" s="4">
        <v>44999</v>
      </c>
      <c r="G110">
        <v>202312</v>
      </c>
      <c r="H110" t="s">
        <v>119</v>
      </c>
      <c r="I110" t="s">
        <v>120</v>
      </c>
      <c r="J110" t="s">
        <v>260</v>
      </c>
      <c r="K110" t="s">
        <v>64</v>
      </c>
      <c r="L110" t="s">
        <v>62</v>
      </c>
      <c r="M110" t="s">
        <v>63</v>
      </c>
      <c r="N110" t="s">
        <v>257</v>
      </c>
      <c r="O110" t="s">
        <v>203</v>
      </c>
      <c r="P110" t="str">
        <f t="shared" si="6"/>
        <v xml:space="preserve">N A  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20.81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3.4</v>
      </c>
      <c r="BJ110" s="3">
        <v>8.9</v>
      </c>
      <c r="BK110" s="3">
        <v>9</v>
      </c>
      <c r="BL110" s="3">
        <v>58.65</v>
      </c>
      <c r="BM110" s="3">
        <v>8.8000000000000007</v>
      </c>
      <c r="BN110" s="3">
        <v>67.45</v>
      </c>
      <c r="BO110" s="3">
        <v>67.45</v>
      </c>
      <c r="BQ110" t="s">
        <v>468</v>
      </c>
      <c r="BR110" t="s">
        <v>263</v>
      </c>
      <c r="BS110" s="1">
        <v>45000</v>
      </c>
      <c r="BT110" s="2">
        <v>0.36874999999999997</v>
      </c>
      <c r="BU110" t="s">
        <v>68</v>
      </c>
      <c r="BV110" t="s">
        <v>69</v>
      </c>
      <c r="BY110">
        <v>44745.599999999999</v>
      </c>
      <c r="BZ110" t="s">
        <v>97</v>
      </c>
      <c r="CA110" t="s">
        <v>233</v>
      </c>
      <c r="CC110" t="s">
        <v>63</v>
      </c>
      <c r="CD110">
        <v>1610</v>
      </c>
      <c r="CE110" t="s">
        <v>83</v>
      </c>
      <c r="CF110" s="1">
        <v>45001</v>
      </c>
      <c r="CI110">
        <v>1</v>
      </c>
      <c r="CJ110">
        <v>1</v>
      </c>
      <c r="CK110">
        <v>32</v>
      </c>
      <c r="CL110" t="s">
        <v>72</v>
      </c>
    </row>
    <row r="111" spans="1:90" x14ac:dyDescent="0.3">
      <c r="A111" t="s">
        <v>258</v>
      </c>
      <c r="B111" t="s">
        <v>259</v>
      </c>
      <c r="C111" t="s">
        <v>61</v>
      </c>
      <c r="E111" t="str">
        <f>"009943453151"</f>
        <v>009943453151</v>
      </c>
      <c r="F111" s="4">
        <v>44999</v>
      </c>
      <c r="G111">
        <v>202312</v>
      </c>
      <c r="H111" t="s">
        <v>158</v>
      </c>
      <c r="I111" t="s">
        <v>159</v>
      </c>
      <c r="J111" t="s">
        <v>325</v>
      </c>
      <c r="K111" t="s">
        <v>64</v>
      </c>
      <c r="L111" t="s">
        <v>119</v>
      </c>
      <c r="M111" t="s">
        <v>120</v>
      </c>
      <c r="N111" t="s">
        <v>272</v>
      </c>
      <c r="O111" t="s">
        <v>67</v>
      </c>
      <c r="P111" t="str">
        <f t="shared" si="6"/>
        <v xml:space="preserve">N A  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18.71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1</v>
      </c>
      <c r="BJ111" s="3">
        <v>0.2</v>
      </c>
      <c r="BK111" s="3">
        <v>1</v>
      </c>
      <c r="BL111" s="3">
        <v>52.72</v>
      </c>
      <c r="BM111" s="3">
        <v>7.91</v>
      </c>
      <c r="BN111" s="3">
        <v>60.63</v>
      </c>
      <c r="BO111" s="3">
        <v>60.63</v>
      </c>
      <c r="BQ111" t="s">
        <v>313</v>
      </c>
      <c r="BR111" t="s">
        <v>469</v>
      </c>
      <c r="BS111" s="1">
        <v>45000</v>
      </c>
      <c r="BT111" s="2">
        <v>0.37222222222222223</v>
      </c>
      <c r="BU111" t="s">
        <v>281</v>
      </c>
      <c r="BV111" t="s">
        <v>69</v>
      </c>
      <c r="BY111">
        <v>1200</v>
      </c>
      <c r="BZ111" t="s">
        <v>70</v>
      </c>
      <c r="CA111" t="s">
        <v>149</v>
      </c>
      <c r="CC111" t="s">
        <v>120</v>
      </c>
      <c r="CD111">
        <v>2013</v>
      </c>
      <c r="CE111" t="s">
        <v>83</v>
      </c>
      <c r="CF111" s="1">
        <v>45000</v>
      </c>
      <c r="CI111">
        <v>1</v>
      </c>
      <c r="CJ111">
        <v>1</v>
      </c>
      <c r="CK111">
        <v>22</v>
      </c>
      <c r="CL111" t="s">
        <v>72</v>
      </c>
    </row>
    <row r="112" spans="1:90" x14ac:dyDescent="0.3">
      <c r="A112" t="s">
        <v>258</v>
      </c>
      <c r="B112" t="s">
        <v>259</v>
      </c>
      <c r="C112" t="s">
        <v>61</v>
      </c>
      <c r="E112" t="str">
        <f>"009941300046"</f>
        <v>009941300046</v>
      </c>
      <c r="F112" s="4">
        <v>44999</v>
      </c>
      <c r="G112">
        <v>202312</v>
      </c>
      <c r="H112" t="s">
        <v>119</v>
      </c>
      <c r="I112" t="s">
        <v>120</v>
      </c>
      <c r="J112" t="s">
        <v>390</v>
      </c>
      <c r="K112" t="s">
        <v>64</v>
      </c>
      <c r="L112" t="s">
        <v>119</v>
      </c>
      <c r="M112" t="s">
        <v>120</v>
      </c>
      <c r="N112" t="s">
        <v>272</v>
      </c>
      <c r="O112" t="s">
        <v>96</v>
      </c>
      <c r="P112" t="str">
        <f t="shared" si="6"/>
        <v xml:space="preserve">N A  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5.25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35.729999999999997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1</v>
      </c>
      <c r="BJ112" s="3">
        <v>0.2</v>
      </c>
      <c r="BK112" s="3">
        <v>1</v>
      </c>
      <c r="BL112" s="3">
        <v>105.95</v>
      </c>
      <c r="BM112" s="3">
        <v>15.89</v>
      </c>
      <c r="BN112" s="3">
        <v>121.84</v>
      </c>
      <c r="BO112" s="3">
        <v>121.84</v>
      </c>
      <c r="BQ112" t="s">
        <v>214</v>
      </c>
      <c r="BR112" t="s">
        <v>214</v>
      </c>
      <c r="BS112" s="1">
        <v>45000</v>
      </c>
      <c r="BT112" s="2">
        <v>0.37291666666666662</v>
      </c>
      <c r="BU112" t="s">
        <v>281</v>
      </c>
      <c r="BV112" t="s">
        <v>69</v>
      </c>
      <c r="BY112">
        <v>1200</v>
      </c>
      <c r="BZ112" t="s">
        <v>97</v>
      </c>
      <c r="CA112" t="s">
        <v>149</v>
      </c>
      <c r="CC112" t="s">
        <v>120</v>
      </c>
      <c r="CD112">
        <v>2013</v>
      </c>
      <c r="CE112" t="s">
        <v>83</v>
      </c>
      <c r="CF112" s="1">
        <v>45000</v>
      </c>
      <c r="CI112">
        <v>1</v>
      </c>
      <c r="CJ112">
        <v>1</v>
      </c>
      <c r="CK112">
        <v>42</v>
      </c>
      <c r="CL112" t="s">
        <v>72</v>
      </c>
    </row>
    <row r="113" spans="1:90" x14ac:dyDescent="0.3">
      <c r="A113" t="s">
        <v>258</v>
      </c>
      <c r="B113" t="s">
        <v>259</v>
      </c>
      <c r="C113" t="s">
        <v>61</v>
      </c>
      <c r="E113" t="str">
        <f>"009943251558"</f>
        <v>009943251558</v>
      </c>
      <c r="F113" s="4">
        <v>44999</v>
      </c>
      <c r="G113">
        <v>202312</v>
      </c>
      <c r="H113" t="s">
        <v>200</v>
      </c>
      <c r="I113" t="s">
        <v>201</v>
      </c>
      <c r="J113" t="s">
        <v>288</v>
      </c>
      <c r="K113" t="s">
        <v>64</v>
      </c>
      <c r="L113" t="s">
        <v>119</v>
      </c>
      <c r="M113" t="s">
        <v>120</v>
      </c>
      <c r="N113" t="s">
        <v>272</v>
      </c>
      <c r="O113" t="s">
        <v>67</v>
      </c>
      <c r="P113" t="str">
        <f>"                              "</f>
        <v xml:space="preserve">      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23.95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1</v>
      </c>
      <c r="BJ113" s="3">
        <v>0.2</v>
      </c>
      <c r="BK113" s="3">
        <v>1</v>
      </c>
      <c r="BL113" s="3">
        <v>67.489999999999995</v>
      </c>
      <c r="BM113" s="3">
        <v>10.119999999999999</v>
      </c>
      <c r="BN113" s="3">
        <v>77.61</v>
      </c>
      <c r="BO113" s="3">
        <v>77.61</v>
      </c>
      <c r="BS113" s="1">
        <v>45000</v>
      </c>
      <c r="BT113" s="2">
        <v>0.37291666666666662</v>
      </c>
      <c r="BU113" t="s">
        <v>281</v>
      </c>
      <c r="BV113" t="s">
        <v>69</v>
      </c>
      <c r="BY113">
        <v>1200</v>
      </c>
      <c r="BZ113" t="s">
        <v>70</v>
      </c>
      <c r="CA113" t="s">
        <v>149</v>
      </c>
      <c r="CC113" t="s">
        <v>120</v>
      </c>
      <c r="CD113">
        <v>2000</v>
      </c>
      <c r="CE113" t="s">
        <v>83</v>
      </c>
      <c r="CF113" s="1">
        <v>45000</v>
      </c>
      <c r="CI113">
        <v>1</v>
      </c>
      <c r="CJ113">
        <v>1</v>
      </c>
      <c r="CK113">
        <v>21</v>
      </c>
      <c r="CL113" t="s">
        <v>72</v>
      </c>
    </row>
    <row r="114" spans="1:90" x14ac:dyDescent="0.3">
      <c r="A114" t="s">
        <v>258</v>
      </c>
      <c r="B114" t="s">
        <v>259</v>
      </c>
      <c r="C114" t="s">
        <v>61</v>
      </c>
      <c r="E114" t="str">
        <f>"009943116833"</f>
        <v>009943116833</v>
      </c>
      <c r="F114" s="4">
        <v>44999</v>
      </c>
      <c r="G114">
        <v>202312</v>
      </c>
      <c r="H114" t="s">
        <v>119</v>
      </c>
      <c r="I114" t="s">
        <v>120</v>
      </c>
      <c r="J114" t="s">
        <v>260</v>
      </c>
      <c r="K114" t="s">
        <v>64</v>
      </c>
      <c r="L114" t="s">
        <v>65</v>
      </c>
      <c r="M114" t="s">
        <v>66</v>
      </c>
      <c r="N114" t="s">
        <v>257</v>
      </c>
      <c r="O114" t="s">
        <v>203</v>
      </c>
      <c r="P114" t="str">
        <f>"N A                           "</f>
        <v xml:space="preserve">N A   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44.9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1</v>
      </c>
      <c r="BJ114" s="3">
        <v>0.6</v>
      </c>
      <c r="BK114" s="3">
        <v>1</v>
      </c>
      <c r="BL114" s="3">
        <v>126.54</v>
      </c>
      <c r="BM114" s="3">
        <v>18.98</v>
      </c>
      <c r="BN114" s="3">
        <v>145.52000000000001</v>
      </c>
      <c r="BO114" s="3">
        <v>145.52000000000001</v>
      </c>
      <c r="BQ114" t="s">
        <v>470</v>
      </c>
      <c r="BR114" t="s">
        <v>263</v>
      </c>
      <c r="BS114" s="1">
        <v>45000</v>
      </c>
      <c r="BT114" s="2">
        <v>0.36736111111111108</v>
      </c>
      <c r="BU114" t="s">
        <v>471</v>
      </c>
      <c r="BV114" t="s">
        <v>69</v>
      </c>
      <c r="BY114">
        <v>3000</v>
      </c>
      <c r="BZ114" t="s">
        <v>97</v>
      </c>
      <c r="CA114" t="s">
        <v>195</v>
      </c>
      <c r="CC114" t="s">
        <v>66</v>
      </c>
      <c r="CD114">
        <v>7460</v>
      </c>
      <c r="CE114" t="s">
        <v>83</v>
      </c>
      <c r="CF114" s="1">
        <v>45001</v>
      </c>
      <c r="CI114">
        <v>1</v>
      </c>
      <c r="CJ114">
        <v>1</v>
      </c>
      <c r="CK114">
        <v>31</v>
      </c>
      <c r="CL114" t="s">
        <v>72</v>
      </c>
    </row>
    <row r="115" spans="1:90" x14ac:dyDescent="0.3">
      <c r="A115" t="s">
        <v>258</v>
      </c>
      <c r="B115" t="s">
        <v>259</v>
      </c>
      <c r="C115" t="s">
        <v>61</v>
      </c>
      <c r="E115" t="str">
        <f>"009943340091"</f>
        <v>009943340091</v>
      </c>
      <c r="F115" s="4">
        <v>44999</v>
      </c>
      <c r="G115">
        <v>202312</v>
      </c>
      <c r="H115" t="s">
        <v>119</v>
      </c>
      <c r="I115" t="s">
        <v>120</v>
      </c>
      <c r="J115" t="s">
        <v>288</v>
      </c>
      <c r="K115" t="s">
        <v>64</v>
      </c>
      <c r="L115" t="s">
        <v>119</v>
      </c>
      <c r="M115" t="s">
        <v>120</v>
      </c>
      <c r="N115" t="s">
        <v>406</v>
      </c>
      <c r="O115" t="s">
        <v>67</v>
      </c>
      <c r="P115" t="str">
        <f>"..                            "</f>
        <v xml:space="preserve">..   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18.71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</v>
      </c>
      <c r="BJ115" s="3">
        <v>0.2</v>
      </c>
      <c r="BK115" s="3">
        <v>1</v>
      </c>
      <c r="BL115" s="3">
        <v>52.72</v>
      </c>
      <c r="BM115" s="3">
        <v>7.91</v>
      </c>
      <c r="BN115" s="3">
        <v>60.63</v>
      </c>
      <c r="BO115" s="3">
        <v>60.63</v>
      </c>
      <c r="BQ115" t="s">
        <v>214</v>
      </c>
      <c r="BR115" t="s">
        <v>235</v>
      </c>
      <c r="BS115" s="1">
        <v>45000</v>
      </c>
      <c r="BT115" s="2">
        <v>0.37222222222222223</v>
      </c>
      <c r="BU115" t="s">
        <v>281</v>
      </c>
      <c r="BV115" t="s">
        <v>69</v>
      </c>
      <c r="BY115">
        <v>1200</v>
      </c>
      <c r="BZ115" t="s">
        <v>70</v>
      </c>
      <c r="CA115" t="s">
        <v>149</v>
      </c>
      <c r="CC115" t="s">
        <v>120</v>
      </c>
      <c r="CD115">
        <v>2013</v>
      </c>
      <c r="CE115" t="s">
        <v>83</v>
      </c>
      <c r="CF115" s="1">
        <v>45000</v>
      </c>
      <c r="CI115">
        <v>1</v>
      </c>
      <c r="CJ115">
        <v>1</v>
      </c>
      <c r="CK115">
        <v>22</v>
      </c>
      <c r="CL115" t="s">
        <v>72</v>
      </c>
    </row>
    <row r="116" spans="1:90" x14ac:dyDescent="0.3">
      <c r="A116" t="s">
        <v>258</v>
      </c>
      <c r="B116" t="s">
        <v>259</v>
      </c>
      <c r="C116" t="s">
        <v>61</v>
      </c>
      <c r="E116" t="str">
        <f>"009942844536"</f>
        <v>009942844536</v>
      </c>
      <c r="F116" s="4">
        <v>44999</v>
      </c>
      <c r="G116">
        <v>202312</v>
      </c>
      <c r="H116" t="s">
        <v>114</v>
      </c>
      <c r="I116" t="s">
        <v>115</v>
      </c>
      <c r="J116" t="s">
        <v>390</v>
      </c>
      <c r="K116" t="s">
        <v>64</v>
      </c>
      <c r="L116" t="s">
        <v>119</v>
      </c>
      <c r="M116" t="s">
        <v>120</v>
      </c>
      <c r="N116" t="s">
        <v>272</v>
      </c>
      <c r="O116" t="s">
        <v>96</v>
      </c>
      <c r="P116" t="str">
        <f>"N A                           "</f>
        <v xml:space="preserve">N A   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5.25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35.729999999999997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0.2</v>
      </c>
      <c r="BK116" s="3">
        <v>1</v>
      </c>
      <c r="BL116" s="3">
        <v>105.95</v>
      </c>
      <c r="BM116" s="3">
        <v>15.89</v>
      </c>
      <c r="BN116" s="3">
        <v>121.84</v>
      </c>
      <c r="BO116" s="3">
        <v>121.84</v>
      </c>
      <c r="BQ116" t="s">
        <v>214</v>
      </c>
      <c r="BR116" t="s">
        <v>214</v>
      </c>
      <c r="BS116" s="1">
        <v>45000</v>
      </c>
      <c r="BT116" s="2">
        <v>0.37291666666666662</v>
      </c>
      <c r="BU116" t="s">
        <v>281</v>
      </c>
      <c r="BV116" t="s">
        <v>69</v>
      </c>
      <c r="BY116">
        <v>1200</v>
      </c>
      <c r="BZ116" t="s">
        <v>97</v>
      </c>
      <c r="CA116" t="s">
        <v>149</v>
      </c>
      <c r="CC116" t="s">
        <v>120</v>
      </c>
      <c r="CD116">
        <v>2013</v>
      </c>
      <c r="CE116" t="s">
        <v>83</v>
      </c>
      <c r="CF116" s="1">
        <v>45000</v>
      </c>
      <c r="CI116">
        <v>1</v>
      </c>
      <c r="CJ116">
        <v>1</v>
      </c>
      <c r="CK116">
        <v>42</v>
      </c>
      <c r="CL116" t="s">
        <v>72</v>
      </c>
    </row>
    <row r="117" spans="1:90" x14ac:dyDescent="0.3">
      <c r="A117" t="s">
        <v>258</v>
      </c>
      <c r="B117" t="s">
        <v>259</v>
      </c>
      <c r="C117" t="s">
        <v>61</v>
      </c>
      <c r="E117" t="str">
        <f>"009943245448"</f>
        <v>009943245448</v>
      </c>
      <c r="F117" s="4">
        <v>44999</v>
      </c>
      <c r="G117">
        <v>202312</v>
      </c>
      <c r="H117" t="s">
        <v>101</v>
      </c>
      <c r="I117" t="s">
        <v>102</v>
      </c>
      <c r="J117" t="s">
        <v>472</v>
      </c>
      <c r="K117" t="s">
        <v>64</v>
      </c>
      <c r="L117" t="s">
        <v>119</v>
      </c>
      <c r="M117" t="s">
        <v>120</v>
      </c>
      <c r="N117" t="s">
        <v>272</v>
      </c>
      <c r="O117" t="s">
        <v>96</v>
      </c>
      <c r="P117" t="str">
        <f>"CINDY                         "</f>
        <v xml:space="preserve">CINDY 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5.25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46.31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1</v>
      </c>
      <c r="BJ117" s="3">
        <v>0.2</v>
      </c>
      <c r="BK117" s="3">
        <v>1</v>
      </c>
      <c r="BL117" s="3">
        <v>135.76</v>
      </c>
      <c r="BM117" s="3">
        <v>20.36</v>
      </c>
      <c r="BN117" s="3">
        <v>156.12</v>
      </c>
      <c r="BO117" s="3">
        <v>156.12</v>
      </c>
      <c r="BQ117" t="s">
        <v>249</v>
      </c>
      <c r="BR117" t="s">
        <v>191</v>
      </c>
      <c r="BS117" s="1">
        <v>45000</v>
      </c>
      <c r="BT117" s="2">
        <v>0.37222222222222223</v>
      </c>
      <c r="BU117" t="s">
        <v>281</v>
      </c>
      <c r="BV117" t="s">
        <v>69</v>
      </c>
      <c r="BY117">
        <v>1200</v>
      </c>
      <c r="BZ117" t="s">
        <v>97</v>
      </c>
      <c r="CA117" t="s">
        <v>149</v>
      </c>
      <c r="CC117" t="s">
        <v>120</v>
      </c>
      <c r="CD117">
        <v>2190</v>
      </c>
      <c r="CE117" t="s">
        <v>83</v>
      </c>
      <c r="CF117" s="1">
        <v>45000</v>
      </c>
      <c r="CI117">
        <v>1</v>
      </c>
      <c r="CJ117">
        <v>1</v>
      </c>
      <c r="CK117">
        <v>41</v>
      </c>
      <c r="CL117" t="s">
        <v>72</v>
      </c>
    </row>
    <row r="118" spans="1:90" x14ac:dyDescent="0.3">
      <c r="A118" t="s">
        <v>258</v>
      </c>
      <c r="B118" t="s">
        <v>259</v>
      </c>
      <c r="C118" t="s">
        <v>61</v>
      </c>
      <c r="E118" t="str">
        <f>"009943056420"</f>
        <v>009943056420</v>
      </c>
      <c r="F118" s="4">
        <v>44999</v>
      </c>
      <c r="G118">
        <v>202312</v>
      </c>
      <c r="H118" t="s">
        <v>90</v>
      </c>
      <c r="I118" t="s">
        <v>91</v>
      </c>
      <c r="J118" t="s">
        <v>389</v>
      </c>
      <c r="K118" t="s">
        <v>64</v>
      </c>
      <c r="L118" t="s">
        <v>119</v>
      </c>
      <c r="M118" t="s">
        <v>120</v>
      </c>
      <c r="N118" t="s">
        <v>272</v>
      </c>
      <c r="O118" t="s">
        <v>67</v>
      </c>
      <c r="P118" t="str">
        <f>"N A                           "</f>
        <v xml:space="preserve">N A   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18.71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1</v>
      </c>
      <c r="BJ118" s="3">
        <v>0.2</v>
      </c>
      <c r="BK118" s="3">
        <v>1</v>
      </c>
      <c r="BL118" s="3">
        <v>52.72</v>
      </c>
      <c r="BM118" s="3">
        <v>7.91</v>
      </c>
      <c r="BN118" s="3">
        <v>60.63</v>
      </c>
      <c r="BO118" s="3">
        <v>60.63</v>
      </c>
      <c r="BQ118" t="s">
        <v>249</v>
      </c>
      <c r="BR118" t="s">
        <v>274</v>
      </c>
      <c r="BS118" s="1">
        <v>45000</v>
      </c>
      <c r="BT118" s="2">
        <v>0.37291666666666662</v>
      </c>
      <c r="BU118" t="s">
        <v>281</v>
      </c>
      <c r="BV118" t="s">
        <v>69</v>
      </c>
      <c r="BY118">
        <v>1200</v>
      </c>
      <c r="BZ118" t="s">
        <v>70</v>
      </c>
      <c r="CA118" t="s">
        <v>149</v>
      </c>
      <c r="CC118" t="s">
        <v>120</v>
      </c>
      <c r="CD118">
        <v>2013</v>
      </c>
      <c r="CE118" t="s">
        <v>83</v>
      </c>
      <c r="CF118" s="1">
        <v>45000</v>
      </c>
      <c r="CI118">
        <v>1</v>
      </c>
      <c r="CJ118">
        <v>1</v>
      </c>
      <c r="CK118">
        <v>22</v>
      </c>
      <c r="CL118" t="s">
        <v>72</v>
      </c>
    </row>
    <row r="119" spans="1:90" x14ac:dyDescent="0.3">
      <c r="A119" t="s">
        <v>258</v>
      </c>
      <c r="B119" t="s">
        <v>259</v>
      </c>
      <c r="C119" t="s">
        <v>61</v>
      </c>
      <c r="E119" t="str">
        <f>"009941950131"</f>
        <v>009941950131</v>
      </c>
      <c r="F119" s="4">
        <v>44999</v>
      </c>
      <c r="G119">
        <v>202312</v>
      </c>
      <c r="H119" t="s">
        <v>427</v>
      </c>
      <c r="I119" t="s">
        <v>428</v>
      </c>
      <c r="J119" t="s">
        <v>429</v>
      </c>
      <c r="K119" t="s">
        <v>64</v>
      </c>
      <c r="L119" t="s">
        <v>119</v>
      </c>
      <c r="M119" t="s">
        <v>120</v>
      </c>
      <c r="N119" t="s">
        <v>473</v>
      </c>
      <c r="O119" t="s">
        <v>96</v>
      </c>
      <c r="P119" t="str">
        <f>"290 524 9238                  "</f>
        <v xml:space="preserve">290 524 9238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5.25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46.31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</v>
      </c>
      <c r="BJ119" s="3">
        <v>0.2</v>
      </c>
      <c r="BK119" s="3">
        <v>1</v>
      </c>
      <c r="BL119" s="3">
        <v>135.76</v>
      </c>
      <c r="BM119" s="3">
        <v>20.36</v>
      </c>
      <c r="BN119" s="3">
        <v>156.12</v>
      </c>
      <c r="BO119" s="3">
        <v>156.12</v>
      </c>
      <c r="BQ119" t="s">
        <v>474</v>
      </c>
      <c r="BR119" t="s">
        <v>431</v>
      </c>
      <c r="BS119" s="1">
        <v>45000</v>
      </c>
      <c r="BT119" s="2">
        <v>0.37291666666666662</v>
      </c>
      <c r="BU119" t="s">
        <v>281</v>
      </c>
      <c r="BV119" t="s">
        <v>69</v>
      </c>
      <c r="BY119">
        <v>1200</v>
      </c>
      <c r="BZ119" t="s">
        <v>97</v>
      </c>
      <c r="CA119" t="s">
        <v>149</v>
      </c>
      <c r="CC119" t="s">
        <v>120</v>
      </c>
      <c r="CD119">
        <v>2001</v>
      </c>
      <c r="CE119" t="s">
        <v>83</v>
      </c>
      <c r="CF119" s="1">
        <v>45000</v>
      </c>
      <c r="CI119">
        <v>1</v>
      </c>
      <c r="CJ119">
        <v>1</v>
      </c>
      <c r="CK119">
        <v>41</v>
      </c>
      <c r="CL119" t="s">
        <v>72</v>
      </c>
    </row>
    <row r="120" spans="1:90" x14ac:dyDescent="0.3">
      <c r="A120" t="s">
        <v>258</v>
      </c>
      <c r="B120" t="s">
        <v>259</v>
      </c>
      <c r="C120" t="s">
        <v>61</v>
      </c>
      <c r="E120" t="str">
        <f>"009942840083"</f>
        <v>009942840083</v>
      </c>
      <c r="F120" s="4">
        <v>45000</v>
      </c>
      <c r="G120">
        <v>202312</v>
      </c>
      <c r="H120" t="s">
        <v>208</v>
      </c>
      <c r="I120" t="s">
        <v>209</v>
      </c>
      <c r="J120" t="s">
        <v>312</v>
      </c>
      <c r="K120" t="s">
        <v>64</v>
      </c>
      <c r="L120" t="s">
        <v>119</v>
      </c>
      <c r="M120" t="s">
        <v>120</v>
      </c>
      <c r="N120" t="s">
        <v>272</v>
      </c>
      <c r="O120" t="s">
        <v>67</v>
      </c>
      <c r="P120" t="str">
        <f>"NA                            "</f>
        <v xml:space="preserve">NA    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18.71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0.5</v>
      </c>
      <c r="BJ120" s="3">
        <v>2.9</v>
      </c>
      <c r="BK120" s="3">
        <v>3</v>
      </c>
      <c r="BL120" s="3">
        <v>52.72</v>
      </c>
      <c r="BM120" s="3">
        <v>7.91</v>
      </c>
      <c r="BN120" s="3">
        <v>60.63</v>
      </c>
      <c r="BO120" s="3">
        <v>60.63</v>
      </c>
      <c r="BQ120" t="s">
        <v>313</v>
      </c>
      <c r="BR120" t="s">
        <v>314</v>
      </c>
      <c r="BS120" s="1">
        <v>45001</v>
      </c>
      <c r="BT120" s="2">
        <v>0.4055555555555555</v>
      </c>
      <c r="BU120" t="s">
        <v>281</v>
      </c>
      <c r="BV120" t="s">
        <v>69</v>
      </c>
      <c r="BY120">
        <v>14392.22</v>
      </c>
      <c r="BZ120" t="s">
        <v>70</v>
      </c>
      <c r="CA120" t="s">
        <v>149</v>
      </c>
      <c r="CC120" t="s">
        <v>120</v>
      </c>
      <c r="CD120">
        <v>2013</v>
      </c>
      <c r="CE120" t="s">
        <v>83</v>
      </c>
      <c r="CF120" s="1">
        <v>45001</v>
      </c>
      <c r="CI120">
        <v>1</v>
      </c>
      <c r="CJ120">
        <v>1</v>
      </c>
      <c r="CK120">
        <v>22</v>
      </c>
      <c r="CL120" t="s">
        <v>72</v>
      </c>
    </row>
    <row r="121" spans="1:90" x14ac:dyDescent="0.3">
      <c r="A121" t="s">
        <v>258</v>
      </c>
      <c r="B121" t="s">
        <v>259</v>
      </c>
      <c r="C121" t="s">
        <v>61</v>
      </c>
      <c r="E121" t="str">
        <f>"009942776647"</f>
        <v>009942776647</v>
      </c>
      <c r="F121" s="4">
        <v>45000</v>
      </c>
      <c r="G121">
        <v>202312</v>
      </c>
      <c r="H121" t="s">
        <v>65</v>
      </c>
      <c r="I121" t="s">
        <v>66</v>
      </c>
      <c r="J121" t="s">
        <v>288</v>
      </c>
      <c r="K121" t="s">
        <v>64</v>
      </c>
      <c r="L121" t="s">
        <v>119</v>
      </c>
      <c r="M121" t="s">
        <v>120</v>
      </c>
      <c r="N121" t="s">
        <v>272</v>
      </c>
      <c r="O121" t="s">
        <v>67</v>
      </c>
      <c r="P121" t="str">
        <f>"                              "</f>
        <v xml:space="preserve">      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23.95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0.3</v>
      </c>
      <c r="BJ121" s="3">
        <v>1.7</v>
      </c>
      <c r="BK121" s="3">
        <v>2</v>
      </c>
      <c r="BL121" s="3">
        <v>67.489999999999995</v>
      </c>
      <c r="BM121" s="3">
        <v>10.119999999999999</v>
      </c>
      <c r="BN121" s="3">
        <v>77.61</v>
      </c>
      <c r="BO121" s="3">
        <v>77.61</v>
      </c>
      <c r="BQ121" t="s">
        <v>474</v>
      </c>
      <c r="BR121" t="s">
        <v>322</v>
      </c>
      <c r="BS121" s="1">
        <v>45001</v>
      </c>
      <c r="BT121" s="2">
        <v>0.41250000000000003</v>
      </c>
      <c r="BU121" t="s">
        <v>281</v>
      </c>
      <c r="BV121" t="s">
        <v>69</v>
      </c>
      <c r="BY121">
        <v>8617.4699999999993</v>
      </c>
      <c r="BZ121" t="s">
        <v>70</v>
      </c>
      <c r="CA121" t="s">
        <v>149</v>
      </c>
      <c r="CC121" t="s">
        <v>120</v>
      </c>
      <c r="CD121">
        <v>2016</v>
      </c>
      <c r="CE121" t="s">
        <v>83</v>
      </c>
      <c r="CF121" s="1">
        <v>45001</v>
      </c>
      <c r="CI121">
        <v>1</v>
      </c>
      <c r="CJ121">
        <v>1</v>
      </c>
      <c r="CK121">
        <v>21</v>
      </c>
      <c r="CL121" t="s">
        <v>72</v>
      </c>
    </row>
    <row r="122" spans="1:90" x14ac:dyDescent="0.3">
      <c r="A122" t="s">
        <v>278</v>
      </c>
      <c r="B122" t="s">
        <v>259</v>
      </c>
      <c r="C122" t="s">
        <v>61</v>
      </c>
      <c r="E122" t="str">
        <f>"009942142058"</f>
        <v>009942142058</v>
      </c>
      <c r="F122" s="4">
        <v>45000</v>
      </c>
      <c r="G122">
        <v>202312</v>
      </c>
      <c r="H122" t="s">
        <v>123</v>
      </c>
      <c r="I122" t="s">
        <v>124</v>
      </c>
      <c r="J122" t="s">
        <v>475</v>
      </c>
      <c r="K122" t="s">
        <v>64</v>
      </c>
      <c r="L122" t="s">
        <v>119</v>
      </c>
      <c r="M122" t="s">
        <v>120</v>
      </c>
      <c r="N122" t="s">
        <v>272</v>
      </c>
      <c r="O122" t="s">
        <v>96</v>
      </c>
      <c r="P122" t="str">
        <f>"NOREF                         "</f>
        <v xml:space="preserve">NOREF 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5.25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46.31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</v>
      </c>
      <c r="BJ122" s="3">
        <v>0.2</v>
      </c>
      <c r="BK122" s="3">
        <v>1</v>
      </c>
      <c r="BL122" s="3">
        <v>135.76</v>
      </c>
      <c r="BM122" s="3">
        <v>20.36</v>
      </c>
      <c r="BN122" s="3">
        <v>156.12</v>
      </c>
      <c r="BO122" s="3">
        <v>156.12</v>
      </c>
      <c r="BQ122" t="s">
        <v>305</v>
      </c>
      <c r="BR122" t="s">
        <v>187</v>
      </c>
      <c r="BS122" s="1">
        <v>45001</v>
      </c>
      <c r="BT122" s="2">
        <v>0.4152777777777778</v>
      </c>
      <c r="BU122" t="s">
        <v>281</v>
      </c>
      <c r="BV122" t="s">
        <v>69</v>
      </c>
      <c r="BY122">
        <v>1200</v>
      </c>
      <c r="BZ122" t="s">
        <v>97</v>
      </c>
      <c r="CA122" t="s">
        <v>149</v>
      </c>
      <c r="CC122" t="s">
        <v>120</v>
      </c>
      <c r="CD122">
        <v>2013</v>
      </c>
      <c r="CE122" t="s">
        <v>83</v>
      </c>
      <c r="CF122" s="1">
        <v>45001</v>
      </c>
      <c r="CI122">
        <v>1</v>
      </c>
      <c r="CJ122">
        <v>1</v>
      </c>
      <c r="CK122">
        <v>41</v>
      </c>
      <c r="CL122" t="s">
        <v>72</v>
      </c>
    </row>
    <row r="123" spans="1:90" x14ac:dyDescent="0.3">
      <c r="A123" t="s">
        <v>258</v>
      </c>
      <c r="B123" t="s">
        <v>259</v>
      </c>
      <c r="C123" t="s">
        <v>61</v>
      </c>
      <c r="E123" t="str">
        <f>"009940447998"</f>
        <v>009940447998</v>
      </c>
      <c r="F123" s="4">
        <v>45000</v>
      </c>
      <c r="G123">
        <v>202312</v>
      </c>
      <c r="H123" t="s">
        <v>65</v>
      </c>
      <c r="I123" t="s">
        <v>66</v>
      </c>
      <c r="J123" t="s">
        <v>288</v>
      </c>
      <c r="K123" t="s">
        <v>64</v>
      </c>
      <c r="L123" t="s">
        <v>119</v>
      </c>
      <c r="M123" t="s">
        <v>120</v>
      </c>
      <c r="N123" t="s">
        <v>272</v>
      </c>
      <c r="O123" t="s">
        <v>96</v>
      </c>
      <c r="P123" t="str">
        <f>"                              "</f>
        <v xml:space="preserve">      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5.25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46.31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0.3</v>
      </c>
      <c r="BJ123" s="3">
        <v>1.8</v>
      </c>
      <c r="BK123" s="3">
        <v>2</v>
      </c>
      <c r="BL123" s="3">
        <v>135.76</v>
      </c>
      <c r="BM123" s="3">
        <v>20.36</v>
      </c>
      <c r="BN123" s="3">
        <v>156.12</v>
      </c>
      <c r="BO123" s="3">
        <v>156.12</v>
      </c>
      <c r="BQ123" t="s">
        <v>313</v>
      </c>
      <c r="BR123" t="s">
        <v>320</v>
      </c>
      <c r="BS123" s="1">
        <v>45002</v>
      </c>
      <c r="BT123" s="2">
        <v>0.42291666666666666</v>
      </c>
      <c r="BU123" t="s">
        <v>281</v>
      </c>
      <c r="BV123" t="s">
        <v>69</v>
      </c>
      <c r="BY123">
        <v>9010.44</v>
      </c>
      <c r="BZ123" t="s">
        <v>97</v>
      </c>
      <c r="CA123" t="s">
        <v>149</v>
      </c>
      <c r="CC123" t="s">
        <v>120</v>
      </c>
      <c r="CD123">
        <v>2000</v>
      </c>
      <c r="CE123" t="s">
        <v>83</v>
      </c>
      <c r="CF123" s="1">
        <v>45002</v>
      </c>
      <c r="CI123">
        <v>2</v>
      </c>
      <c r="CJ123">
        <v>2</v>
      </c>
      <c r="CK123">
        <v>41</v>
      </c>
      <c r="CL123" t="s">
        <v>72</v>
      </c>
    </row>
    <row r="124" spans="1:90" x14ac:dyDescent="0.3">
      <c r="A124" t="s">
        <v>258</v>
      </c>
      <c r="B124" t="s">
        <v>259</v>
      </c>
      <c r="C124" t="s">
        <v>61</v>
      </c>
      <c r="E124" t="str">
        <f>"009943081952"</f>
        <v>009943081952</v>
      </c>
      <c r="F124" s="4">
        <v>45000</v>
      </c>
      <c r="G124">
        <v>202312</v>
      </c>
      <c r="H124" t="s">
        <v>119</v>
      </c>
      <c r="I124" t="s">
        <v>120</v>
      </c>
      <c r="J124" t="s">
        <v>476</v>
      </c>
      <c r="K124" t="s">
        <v>64</v>
      </c>
      <c r="L124" t="s">
        <v>119</v>
      </c>
      <c r="M124" t="s">
        <v>120</v>
      </c>
      <c r="N124" t="s">
        <v>272</v>
      </c>
      <c r="O124" t="s">
        <v>96</v>
      </c>
      <c r="P124" t="str">
        <f>"..                            "</f>
        <v xml:space="preserve">..    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5.25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35.729999999999997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</v>
      </c>
      <c r="BJ124" s="3">
        <v>0.2</v>
      </c>
      <c r="BK124" s="3">
        <v>1</v>
      </c>
      <c r="BL124" s="3">
        <v>105.95</v>
      </c>
      <c r="BM124" s="3">
        <v>15.89</v>
      </c>
      <c r="BN124" s="3">
        <v>121.84</v>
      </c>
      <c r="BO124" s="3">
        <v>121.84</v>
      </c>
      <c r="BQ124" t="s">
        <v>249</v>
      </c>
      <c r="BS124" s="1">
        <v>45001</v>
      </c>
      <c r="BT124" s="2">
        <v>0.4152777777777778</v>
      </c>
      <c r="BU124" t="s">
        <v>281</v>
      </c>
      <c r="BV124" t="s">
        <v>69</v>
      </c>
      <c r="BY124">
        <v>1200</v>
      </c>
      <c r="BZ124" t="s">
        <v>97</v>
      </c>
      <c r="CA124" t="s">
        <v>149</v>
      </c>
      <c r="CC124" t="s">
        <v>120</v>
      </c>
      <c r="CD124">
        <v>2013</v>
      </c>
      <c r="CE124" t="s">
        <v>83</v>
      </c>
      <c r="CF124" s="1">
        <v>45001</v>
      </c>
      <c r="CI124">
        <v>1</v>
      </c>
      <c r="CJ124">
        <v>1</v>
      </c>
      <c r="CK124">
        <v>42</v>
      </c>
      <c r="CL124" t="s">
        <v>72</v>
      </c>
    </row>
    <row r="125" spans="1:90" x14ac:dyDescent="0.3">
      <c r="A125" t="s">
        <v>258</v>
      </c>
      <c r="B125" t="s">
        <v>259</v>
      </c>
      <c r="C125" t="s">
        <v>61</v>
      </c>
      <c r="E125" t="str">
        <f>"009941520364"</f>
        <v>009941520364</v>
      </c>
      <c r="F125" s="4">
        <v>45000</v>
      </c>
      <c r="G125">
        <v>202312</v>
      </c>
      <c r="H125" t="s">
        <v>101</v>
      </c>
      <c r="I125" t="s">
        <v>102</v>
      </c>
      <c r="J125" t="s">
        <v>272</v>
      </c>
      <c r="K125" t="s">
        <v>64</v>
      </c>
      <c r="L125" t="s">
        <v>119</v>
      </c>
      <c r="M125" t="s">
        <v>120</v>
      </c>
      <c r="N125" t="s">
        <v>272</v>
      </c>
      <c r="O125" t="s">
        <v>67</v>
      </c>
      <c r="P125" t="str">
        <f>"                              "</f>
        <v xml:space="preserve">      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23.95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</v>
      </c>
      <c r="BJ125" s="3">
        <v>0.5</v>
      </c>
      <c r="BK125" s="3">
        <v>1</v>
      </c>
      <c r="BL125" s="3">
        <v>67.489999999999995</v>
      </c>
      <c r="BM125" s="3">
        <v>10.119999999999999</v>
      </c>
      <c r="BN125" s="3">
        <v>77.61</v>
      </c>
      <c r="BO125" s="3">
        <v>77.61</v>
      </c>
      <c r="BQ125" t="s">
        <v>477</v>
      </c>
      <c r="BR125" t="s">
        <v>280</v>
      </c>
      <c r="BS125" s="1">
        <v>45001</v>
      </c>
      <c r="BT125" s="2">
        <v>0.4152777777777778</v>
      </c>
      <c r="BU125" t="s">
        <v>281</v>
      </c>
      <c r="BV125" t="s">
        <v>69</v>
      </c>
      <c r="BY125">
        <v>2400</v>
      </c>
      <c r="BZ125" t="s">
        <v>70</v>
      </c>
      <c r="CA125" t="s">
        <v>149</v>
      </c>
      <c r="CC125" t="s">
        <v>120</v>
      </c>
      <c r="CD125">
        <v>2013</v>
      </c>
      <c r="CE125" t="s">
        <v>83</v>
      </c>
      <c r="CF125" s="1">
        <v>45001</v>
      </c>
      <c r="CI125">
        <v>1</v>
      </c>
      <c r="CJ125">
        <v>1</v>
      </c>
      <c r="CK125">
        <v>21</v>
      </c>
      <c r="CL125" t="s">
        <v>72</v>
      </c>
    </row>
    <row r="126" spans="1:90" x14ac:dyDescent="0.3">
      <c r="A126" t="s">
        <v>258</v>
      </c>
      <c r="B126" t="s">
        <v>259</v>
      </c>
      <c r="C126" t="s">
        <v>61</v>
      </c>
      <c r="E126" t="str">
        <f>"009943336255"</f>
        <v>009943336255</v>
      </c>
      <c r="F126" s="4">
        <v>45000</v>
      </c>
      <c r="G126">
        <v>202312</v>
      </c>
      <c r="H126" t="s">
        <v>119</v>
      </c>
      <c r="I126" t="s">
        <v>120</v>
      </c>
      <c r="J126" t="s">
        <v>288</v>
      </c>
      <c r="K126" t="s">
        <v>64</v>
      </c>
      <c r="L126" t="s">
        <v>119</v>
      </c>
      <c r="M126" t="s">
        <v>120</v>
      </c>
      <c r="N126" t="s">
        <v>272</v>
      </c>
      <c r="O126" t="s">
        <v>67</v>
      </c>
      <c r="P126" t="str">
        <f>"N A                           "</f>
        <v xml:space="preserve">N A   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18.71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1</v>
      </c>
      <c r="BJ126" s="3">
        <v>0.2</v>
      </c>
      <c r="BK126" s="3">
        <v>1</v>
      </c>
      <c r="BL126" s="3">
        <v>52.72</v>
      </c>
      <c r="BM126" s="3">
        <v>7.91</v>
      </c>
      <c r="BN126" s="3">
        <v>60.63</v>
      </c>
      <c r="BO126" s="3">
        <v>60.63</v>
      </c>
      <c r="BR126" t="s">
        <v>274</v>
      </c>
      <c r="BS126" s="1">
        <v>45001</v>
      </c>
      <c r="BT126" s="2">
        <v>0.4145833333333333</v>
      </c>
      <c r="BU126" t="s">
        <v>281</v>
      </c>
      <c r="BV126" t="s">
        <v>69</v>
      </c>
      <c r="BY126">
        <v>1200</v>
      </c>
      <c r="BZ126" t="s">
        <v>70</v>
      </c>
      <c r="CA126" t="s">
        <v>149</v>
      </c>
      <c r="CC126" t="s">
        <v>120</v>
      </c>
      <c r="CD126">
        <v>2013</v>
      </c>
      <c r="CE126" t="s">
        <v>83</v>
      </c>
      <c r="CF126" s="1">
        <v>45001</v>
      </c>
      <c r="CI126">
        <v>1</v>
      </c>
      <c r="CJ126">
        <v>1</v>
      </c>
      <c r="CK126">
        <v>22</v>
      </c>
      <c r="CL126" t="s">
        <v>72</v>
      </c>
    </row>
    <row r="127" spans="1:90" x14ac:dyDescent="0.3">
      <c r="A127" t="s">
        <v>258</v>
      </c>
      <c r="B127" t="s">
        <v>259</v>
      </c>
      <c r="C127" t="s">
        <v>61</v>
      </c>
      <c r="E127" t="str">
        <f>"009943116612"</f>
        <v>009943116612</v>
      </c>
      <c r="F127" s="4">
        <v>45000</v>
      </c>
      <c r="G127">
        <v>202312</v>
      </c>
      <c r="H127" t="s">
        <v>119</v>
      </c>
      <c r="I127" t="s">
        <v>120</v>
      </c>
      <c r="J127" t="s">
        <v>260</v>
      </c>
      <c r="K127" t="s">
        <v>64</v>
      </c>
      <c r="L127" t="s">
        <v>119</v>
      </c>
      <c r="M127" t="s">
        <v>120</v>
      </c>
      <c r="N127" t="s">
        <v>478</v>
      </c>
      <c r="O127" t="s">
        <v>203</v>
      </c>
      <c r="P127" t="str">
        <f>"                              "</f>
        <v xml:space="preserve">      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18.71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</v>
      </c>
      <c r="BJ127" s="3">
        <v>1.9</v>
      </c>
      <c r="BK127" s="3">
        <v>2</v>
      </c>
      <c r="BL127" s="3">
        <v>52.73</v>
      </c>
      <c r="BM127" s="3">
        <v>7.91</v>
      </c>
      <c r="BN127" s="3">
        <v>60.64</v>
      </c>
      <c r="BO127" s="3">
        <v>60.64</v>
      </c>
      <c r="BR127" t="s">
        <v>263</v>
      </c>
      <c r="BS127" s="1">
        <v>45002</v>
      </c>
      <c r="BT127" s="2">
        <v>0.6694444444444444</v>
      </c>
      <c r="BU127" t="s">
        <v>479</v>
      </c>
      <c r="BV127" t="s">
        <v>72</v>
      </c>
      <c r="BW127" t="s">
        <v>98</v>
      </c>
      <c r="BX127" t="s">
        <v>207</v>
      </c>
      <c r="BY127">
        <v>9378.36</v>
      </c>
      <c r="BZ127" t="s">
        <v>97</v>
      </c>
      <c r="CC127" t="s">
        <v>120</v>
      </c>
      <c r="CD127">
        <v>2198</v>
      </c>
      <c r="CE127" t="s">
        <v>83</v>
      </c>
      <c r="CF127" s="1">
        <v>45002</v>
      </c>
      <c r="CI127">
        <v>1</v>
      </c>
      <c r="CJ127">
        <v>2</v>
      </c>
      <c r="CK127">
        <v>32</v>
      </c>
      <c r="CL127" t="s">
        <v>72</v>
      </c>
    </row>
    <row r="128" spans="1:90" x14ac:dyDescent="0.3">
      <c r="A128" t="s">
        <v>258</v>
      </c>
      <c r="B128" t="s">
        <v>259</v>
      </c>
      <c r="C128" t="s">
        <v>61</v>
      </c>
      <c r="E128" t="str">
        <f>"009943116633"</f>
        <v>009943116633</v>
      </c>
      <c r="F128" s="4">
        <v>45000</v>
      </c>
      <c r="G128">
        <v>202312</v>
      </c>
      <c r="H128" t="s">
        <v>119</v>
      </c>
      <c r="I128" t="s">
        <v>120</v>
      </c>
      <c r="J128" t="s">
        <v>260</v>
      </c>
      <c r="K128" t="s">
        <v>64</v>
      </c>
      <c r="L128" t="s">
        <v>225</v>
      </c>
      <c r="M128" t="s">
        <v>226</v>
      </c>
      <c r="N128" t="s">
        <v>480</v>
      </c>
      <c r="O128" t="s">
        <v>203</v>
      </c>
      <c r="P128" t="str">
        <f>"                              "</f>
        <v xml:space="preserve">   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46.4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0.2</v>
      </c>
      <c r="BJ128" s="3">
        <v>3.2</v>
      </c>
      <c r="BK128" s="3">
        <v>4</v>
      </c>
      <c r="BL128" s="3">
        <v>130.76</v>
      </c>
      <c r="BM128" s="3">
        <v>19.61</v>
      </c>
      <c r="BN128" s="3">
        <v>150.37</v>
      </c>
      <c r="BO128" s="3">
        <v>150.37</v>
      </c>
      <c r="BQ128" t="s">
        <v>481</v>
      </c>
      <c r="BR128" t="s">
        <v>263</v>
      </c>
      <c r="BS128" s="1">
        <v>45002</v>
      </c>
      <c r="BT128" s="2">
        <v>0.5625</v>
      </c>
      <c r="BU128" t="s">
        <v>482</v>
      </c>
      <c r="BV128" t="s">
        <v>69</v>
      </c>
      <c r="BY128">
        <v>16244</v>
      </c>
      <c r="BZ128" t="s">
        <v>97</v>
      </c>
      <c r="CC128" t="s">
        <v>226</v>
      </c>
      <c r="CD128">
        <v>6600</v>
      </c>
      <c r="CE128" t="s">
        <v>83</v>
      </c>
      <c r="CF128" s="1">
        <v>45002</v>
      </c>
      <c r="CI128">
        <v>2</v>
      </c>
      <c r="CJ128">
        <v>2</v>
      </c>
      <c r="CK128">
        <v>33</v>
      </c>
      <c r="CL128" t="s">
        <v>72</v>
      </c>
    </row>
    <row r="129" spans="1:90" x14ac:dyDescent="0.3">
      <c r="A129" t="s">
        <v>258</v>
      </c>
      <c r="B129" t="s">
        <v>259</v>
      </c>
      <c r="C129" t="s">
        <v>61</v>
      </c>
      <c r="E129" t="str">
        <f>"009943116630"</f>
        <v>009943116630</v>
      </c>
      <c r="F129" s="4">
        <v>45000</v>
      </c>
      <c r="G129">
        <v>202312</v>
      </c>
      <c r="H129" t="s">
        <v>119</v>
      </c>
      <c r="I129" t="s">
        <v>120</v>
      </c>
      <c r="J129" t="s">
        <v>260</v>
      </c>
      <c r="K129" t="s">
        <v>64</v>
      </c>
      <c r="L129" t="s">
        <v>245</v>
      </c>
      <c r="M129" t="s">
        <v>246</v>
      </c>
      <c r="N129" t="s">
        <v>483</v>
      </c>
      <c r="O129" t="s">
        <v>203</v>
      </c>
      <c r="P129" t="str">
        <f>"                              "</f>
        <v xml:space="preserve">     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107.2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2.2999999999999998</v>
      </c>
      <c r="BJ129" s="3">
        <v>8.9</v>
      </c>
      <c r="BK129" s="3">
        <v>9</v>
      </c>
      <c r="BL129" s="3">
        <v>302.11</v>
      </c>
      <c r="BM129" s="3">
        <v>45.32</v>
      </c>
      <c r="BN129" s="3">
        <v>347.43</v>
      </c>
      <c r="BO129" s="3">
        <v>347.43</v>
      </c>
      <c r="BR129" t="s">
        <v>263</v>
      </c>
      <c r="BS129" s="1">
        <v>45001</v>
      </c>
      <c r="BT129" s="2">
        <v>0.47222222222222227</v>
      </c>
      <c r="BU129" t="s">
        <v>484</v>
      </c>
      <c r="BV129" t="s">
        <v>69</v>
      </c>
      <c r="BY129">
        <v>44478.9</v>
      </c>
      <c r="BZ129" t="s">
        <v>97</v>
      </c>
      <c r="CA129" t="s">
        <v>247</v>
      </c>
      <c r="CC129" t="s">
        <v>246</v>
      </c>
      <c r="CD129">
        <v>2499</v>
      </c>
      <c r="CE129" t="s">
        <v>83</v>
      </c>
      <c r="CF129" s="1">
        <v>45001</v>
      </c>
      <c r="CI129">
        <v>1</v>
      </c>
      <c r="CJ129">
        <v>1</v>
      </c>
      <c r="CK129">
        <v>33</v>
      </c>
      <c r="CL129" t="s">
        <v>72</v>
      </c>
    </row>
    <row r="130" spans="1:90" x14ac:dyDescent="0.3">
      <c r="A130" t="s">
        <v>258</v>
      </c>
      <c r="B130" t="s">
        <v>259</v>
      </c>
      <c r="C130" t="s">
        <v>61</v>
      </c>
      <c r="E130" t="str">
        <f>"009943116861"</f>
        <v>009943116861</v>
      </c>
      <c r="F130" s="4">
        <v>45000</v>
      </c>
      <c r="G130">
        <v>202312</v>
      </c>
      <c r="H130" t="s">
        <v>119</v>
      </c>
      <c r="I130" t="s">
        <v>120</v>
      </c>
      <c r="J130" t="s">
        <v>260</v>
      </c>
      <c r="K130" t="s">
        <v>64</v>
      </c>
      <c r="L130" t="s">
        <v>143</v>
      </c>
      <c r="M130" t="s">
        <v>144</v>
      </c>
      <c r="N130" t="s">
        <v>485</v>
      </c>
      <c r="O130" t="s">
        <v>203</v>
      </c>
      <c r="P130" t="str">
        <f>"                              "</f>
        <v xml:space="preserve">   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44.9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1</v>
      </c>
      <c r="BJ130" s="3">
        <v>0.2</v>
      </c>
      <c r="BK130" s="3">
        <v>1</v>
      </c>
      <c r="BL130" s="3">
        <v>126.54</v>
      </c>
      <c r="BM130" s="3">
        <v>18.98</v>
      </c>
      <c r="BN130" s="3">
        <v>145.52000000000001</v>
      </c>
      <c r="BO130" s="3">
        <v>145.52000000000001</v>
      </c>
      <c r="BQ130" t="s">
        <v>486</v>
      </c>
      <c r="BR130" t="s">
        <v>263</v>
      </c>
      <c r="BS130" s="1">
        <v>45001</v>
      </c>
      <c r="BT130" s="2">
        <v>0.41875000000000001</v>
      </c>
      <c r="BU130" t="s">
        <v>487</v>
      </c>
      <c r="BV130" t="s">
        <v>69</v>
      </c>
      <c r="BY130">
        <v>1200</v>
      </c>
      <c r="BZ130" t="s">
        <v>97</v>
      </c>
      <c r="CA130" t="s">
        <v>488</v>
      </c>
      <c r="CC130" t="s">
        <v>144</v>
      </c>
      <c r="CD130">
        <v>3201</v>
      </c>
      <c r="CE130" t="s">
        <v>83</v>
      </c>
      <c r="CF130" s="1">
        <v>45005</v>
      </c>
      <c r="CI130">
        <v>1</v>
      </c>
      <c r="CJ130">
        <v>1</v>
      </c>
      <c r="CK130">
        <v>31</v>
      </c>
      <c r="CL130" t="s">
        <v>72</v>
      </c>
    </row>
    <row r="131" spans="1:90" x14ac:dyDescent="0.3">
      <c r="A131" t="s">
        <v>258</v>
      </c>
      <c r="B131" t="s">
        <v>259</v>
      </c>
      <c r="C131" t="s">
        <v>61</v>
      </c>
      <c r="E131" t="str">
        <f>"009942932935"</f>
        <v>009942932935</v>
      </c>
      <c r="F131" s="4">
        <v>45000</v>
      </c>
      <c r="G131">
        <v>202312</v>
      </c>
      <c r="H131" t="s">
        <v>150</v>
      </c>
      <c r="I131" t="s">
        <v>151</v>
      </c>
      <c r="J131" t="s">
        <v>432</v>
      </c>
      <c r="K131" t="s">
        <v>64</v>
      </c>
      <c r="L131" t="s">
        <v>119</v>
      </c>
      <c r="M131" t="s">
        <v>120</v>
      </c>
      <c r="N131" t="s">
        <v>272</v>
      </c>
      <c r="O131" t="s">
        <v>96</v>
      </c>
      <c r="P131" t="str">
        <f>"NA                            "</f>
        <v xml:space="preserve">NA 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5.25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51.14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1</v>
      </c>
      <c r="BJ131" s="3">
        <v>0.3</v>
      </c>
      <c r="BK131" s="3">
        <v>1</v>
      </c>
      <c r="BL131" s="3">
        <v>149.38</v>
      </c>
      <c r="BM131" s="3">
        <v>22.41</v>
      </c>
      <c r="BN131" s="3">
        <v>171.79</v>
      </c>
      <c r="BO131" s="3">
        <v>171.79</v>
      </c>
      <c r="BQ131" t="s">
        <v>305</v>
      </c>
      <c r="BR131" t="s">
        <v>235</v>
      </c>
      <c r="BS131" s="1">
        <v>45001</v>
      </c>
      <c r="BT131" s="2">
        <v>0.4145833333333333</v>
      </c>
      <c r="BU131" t="s">
        <v>281</v>
      </c>
      <c r="BV131" t="s">
        <v>69</v>
      </c>
      <c r="BY131">
        <v>1600</v>
      </c>
      <c r="BZ131" t="s">
        <v>97</v>
      </c>
      <c r="CA131" t="s">
        <v>149</v>
      </c>
      <c r="CC131" t="s">
        <v>120</v>
      </c>
      <c r="CD131">
        <v>2013</v>
      </c>
      <c r="CE131" t="s">
        <v>83</v>
      </c>
      <c r="CF131" s="1">
        <v>45001</v>
      </c>
      <c r="CI131">
        <v>1</v>
      </c>
      <c r="CJ131">
        <v>1</v>
      </c>
      <c r="CK131">
        <v>44</v>
      </c>
      <c r="CL131" t="s">
        <v>72</v>
      </c>
    </row>
    <row r="132" spans="1:90" x14ac:dyDescent="0.3">
      <c r="A132" t="s">
        <v>258</v>
      </c>
      <c r="B132" t="s">
        <v>259</v>
      </c>
      <c r="C132" t="s">
        <v>61</v>
      </c>
      <c r="E132" t="str">
        <f>"009943116825"</f>
        <v>009943116825</v>
      </c>
      <c r="F132" s="4">
        <v>45001</v>
      </c>
      <c r="G132">
        <v>202312</v>
      </c>
      <c r="H132" t="s">
        <v>119</v>
      </c>
      <c r="I132" t="s">
        <v>120</v>
      </c>
      <c r="J132" t="s">
        <v>260</v>
      </c>
      <c r="K132" t="s">
        <v>64</v>
      </c>
      <c r="L132" t="s">
        <v>138</v>
      </c>
      <c r="M132" t="s">
        <v>139</v>
      </c>
      <c r="N132" t="s">
        <v>489</v>
      </c>
      <c r="O132" t="s">
        <v>203</v>
      </c>
      <c r="P132" t="str">
        <f>"N A                           "</f>
        <v xml:space="preserve">N A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107.2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1</v>
      </c>
      <c r="BJ132" s="3">
        <v>8.9</v>
      </c>
      <c r="BK132" s="3">
        <v>9</v>
      </c>
      <c r="BL132" s="3">
        <v>302.11</v>
      </c>
      <c r="BM132" s="3">
        <v>45.32</v>
      </c>
      <c r="BN132" s="3">
        <v>347.43</v>
      </c>
      <c r="BO132" s="3">
        <v>347.43</v>
      </c>
      <c r="BQ132" t="s">
        <v>235</v>
      </c>
      <c r="BR132" t="s">
        <v>263</v>
      </c>
      <c r="BS132" s="1">
        <v>45002</v>
      </c>
      <c r="BT132" s="2">
        <v>0.52430555555555558</v>
      </c>
      <c r="BU132" t="s">
        <v>490</v>
      </c>
      <c r="BV132" t="s">
        <v>69</v>
      </c>
      <c r="BY132">
        <v>44527.56</v>
      </c>
      <c r="BZ132" t="s">
        <v>97</v>
      </c>
      <c r="CA132" t="s">
        <v>491</v>
      </c>
      <c r="CC132" t="s">
        <v>139</v>
      </c>
      <c r="CD132">
        <v>2531</v>
      </c>
      <c r="CE132" t="s">
        <v>83</v>
      </c>
      <c r="CF132" s="1">
        <v>45003</v>
      </c>
      <c r="CI132">
        <v>1</v>
      </c>
      <c r="CJ132">
        <v>1</v>
      </c>
      <c r="CK132">
        <v>33</v>
      </c>
      <c r="CL132" t="s">
        <v>72</v>
      </c>
    </row>
    <row r="133" spans="1:90" x14ac:dyDescent="0.3">
      <c r="A133" t="s">
        <v>258</v>
      </c>
      <c r="B133" t="s">
        <v>259</v>
      </c>
      <c r="C133" t="s">
        <v>61</v>
      </c>
      <c r="E133" t="str">
        <f>"009942953479"</f>
        <v>009942953479</v>
      </c>
      <c r="F133" s="4">
        <v>45001</v>
      </c>
      <c r="G133">
        <v>202312</v>
      </c>
      <c r="H133" t="s">
        <v>145</v>
      </c>
      <c r="I133" t="s">
        <v>146</v>
      </c>
      <c r="J133" t="s">
        <v>492</v>
      </c>
      <c r="K133" t="s">
        <v>64</v>
      </c>
      <c r="L133" t="s">
        <v>119</v>
      </c>
      <c r="M133" t="s">
        <v>120</v>
      </c>
      <c r="N133" t="s">
        <v>272</v>
      </c>
      <c r="O133" t="s">
        <v>67</v>
      </c>
      <c r="P133" t="str">
        <f>"                              "</f>
        <v xml:space="preserve">     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23.95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</v>
      </c>
      <c r="BJ133" s="3">
        <v>0.5</v>
      </c>
      <c r="BK133" s="3">
        <v>1</v>
      </c>
      <c r="BL133" s="3">
        <v>67.489999999999995</v>
      </c>
      <c r="BM133" s="3">
        <v>10.119999999999999</v>
      </c>
      <c r="BN133" s="3">
        <v>77.61</v>
      </c>
      <c r="BO133" s="3">
        <v>77.61</v>
      </c>
      <c r="BQ133" t="s">
        <v>305</v>
      </c>
      <c r="BR133" t="s">
        <v>177</v>
      </c>
      <c r="BS133" s="1">
        <v>45002</v>
      </c>
      <c r="BT133" s="2">
        <v>0.42291666666666666</v>
      </c>
      <c r="BU133" t="s">
        <v>281</v>
      </c>
      <c r="BV133" t="s">
        <v>69</v>
      </c>
      <c r="BY133">
        <v>2400</v>
      </c>
      <c r="BZ133" t="s">
        <v>70</v>
      </c>
      <c r="CA133" t="s">
        <v>149</v>
      </c>
      <c r="CC133" t="s">
        <v>120</v>
      </c>
      <c r="CD133">
        <v>2000</v>
      </c>
      <c r="CE133" t="s">
        <v>83</v>
      </c>
      <c r="CF133" s="1">
        <v>45002</v>
      </c>
      <c r="CI133">
        <v>1</v>
      </c>
      <c r="CJ133">
        <v>1</v>
      </c>
      <c r="CK133">
        <v>21</v>
      </c>
      <c r="CL133" t="s">
        <v>72</v>
      </c>
    </row>
    <row r="134" spans="1:90" x14ac:dyDescent="0.3">
      <c r="A134" t="s">
        <v>258</v>
      </c>
      <c r="B134" t="s">
        <v>259</v>
      </c>
      <c r="C134" t="s">
        <v>61</v>
      </c>
      <c r="E134" t="str">
        <f>"009942116028"</f>
        <v>009942116028</v>
      </c>
      <c r="F134" s="4">
        <v>45001</v>
      </c>
      <c r="G134">
        <v>202312</v>
      </c>
      <c r="H134" t="s">
        <v>65</v>
      </c>
      <c r="I134" t="s">
        <v>66</v>
      </c>
      <c r="J134" t="s">
        <v>288</v>
      </c>
      <c r="K134" t="s">
        <v>64</v>
      </c>
      <c r="L134" t="s">
        <v>119</v>
      </c>
      <c r="M134" t="s">
        <v>120</v>
      </c>
      <c r="N134" t="s">
        <v>319</v>
      </c>
      <c r="O134" t="s">
        <v>96</v>
      </c>
      <c r="P134" t="str">
        <f>"                              "</f>
        <v xml:space="preserve">   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5.25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46.31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0.3</v>
      </c>
      <c r="BJ134" s="3">
        <v>3.1</v>
      </c>
      <c r="BK134" s="3">
        <v>4</v>
      </c>
      <c r="BL134" s="3">
        <v>135.76</v>
      </c>
      <c r="BM134" s="3">
        <v>20.36</v>
      </c>
      <c r="BN134" s="3">
        <v>156.12</v>
      </c>
      <c r="BO134" s="3">
        <v>156.12</v>
      </c>
      <c r="BQ134" t="s">
        <v>187</v>
      </c>
      <c r="BR134" t="s">
        <v>409</v>
      </c>
      <c r="BS134" s="1">
        <v>45007</v>
      </c>
      <c r="BT134" s="2">
        <v>0.44791666666666669</v>
      </c>
      <c r="BU134" t="s">
        <v>263</v>
      </c>
      <c r="BV134" t="s">
        <v>72</v>
      </c>
      <c r="BW134" t="s">
        <v>86</v>
      </c>
      <c r="BX134" t="s">
        <v>148</v>
      </c>
      <c r="BY134">
        <v>15304.28</v>
      </c>
      <c r="BZ134" t="s">
        <v>97</v>
      </c>
      <c r="CC134" t="s">
        <v>120</v>
      </c>
      <c r="CD134">
        <v>2013</v>
      </c>
      <c r="CE134" t="s">
        <v>83</v>
      </c>
      <c r="CF134" s="1">
        <v>45008</v>
      </c>
      <c r="CI134">
        <v>2</v>
      </c>
      <c r="CJ134">
        <v>4</v>
      </c>
      <c r="CK134">
        <v>41</v>
      </c>
      <c r="CL134" t="s">
        <v>72</v>
      </c>
    </row>
    <row r="135" spans="1:90" x14ac:dyDescent="0.3">
      <c r="A135" t="s">
        <v>258</v>
      </c>
      <c r="B135" t="s">
        <v>259</v>
      </c>
      <c r="C135" t="s">
        <v>61</v>
      </c>
      <c r="E135" t="str">
        <f>"009943116820"</f>
        <v>009943116820</v>
      </c>
      <c r="F135" s="4">
        <v>45002</v>
      </c>
      <c r="G135">
        <v>202312</v>
      </c>
      <c r="H135" t="s">
        <v>119</v>
      </c>
      <c r="I135" t="s">
        <v>120</v>
      </c>
      <c r="J135" t="s">
        <v>260</v>
      </c>
      <c r="K135" t="s">
        <v>64</v>
      </c>
      <c r="L135" t="s">
        <v>123</v>
      </c>
      <c r="M135" t="s">
        <v>124</v>
      </c>
      <c r="N135" t="s">
        <v>493</v>
      </c>
      <c r="O135" t="s">
        <v>203</v>
      </c>
      <c r="P135" t="str">
        <f>"N A                           "</f>
        <v xml:space="preserve">N A   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101.03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1.1000000000000001</v>
      </c>
      <c r="BJ135" s="3">
        <v>8.9</v>
      </c>
      <c r="BK135" s="3">
        <v>9</v>
      </c>
      <c r="BL135" s="3">
        <v>284.72000000000003</v>
      </c>
      <c r="BM135" s="3">
        <v>42.71</v>
      </c>
      <c r="BN135" s="3">
        <v>327.43</v>
      </c>
      <c r="BO135" s="3">
        <v>327.43</v>
      </c>
      <c r="BQ135" t="s">
        <v>214</v>
      </c>
      <c r="BR135" t="s">
        <v>263</v>
      </c>
      <c r="BS135" s="1">
        <v>45007</v>
      </c>
      <c r="BT135" s="2">
        <v>0.43194444444444446</v>
      </c>
      <c r="BU135" t="s">
        <v>494</v>
      </c>
      <c r="BV135" t="s">
        <v>72</v>
      </c>
      <c r="BY135">
        <v>44673.55</v>
      </c>
      <c r="BZ135" t="s">
        <v>97</v>
      </c>
      <c r="CA135" t="s">
        <v>240</v>
      </c>
      <c r="CC135" t="s">
        <v>124</v>
      </c>
      <c r="CD135">
        <v>157</v>
      </c>
      <c r="CE135" t="s">
        <v>83</v>
      </c>
      <c r="CF135" s="1">
        <v>45007</v>
      </c>
      <c r="CI135">
        <v>1</v>
      </c>
      <c r="CJ135">
        <v>3</v>
      </c>
      <c r="CK135">
        <v>31</v>
      </c>
      <c r="CL135" t="s">
        <v>72</v>
      </c>
    </row>
    <row r="136" spans="1:90" x14ac:dyDescent="0.3">
      <c r="A136" t="s">
        <v>258</v>
      </c>
      <c r="B136" t="s">
        <v>259</v>
      </c>
      <c r="C136" t="s">
        <v>61</v>
      </c>
      <c r="E136" t="str">
        <f>"009943116822"</f>
        <v>009943116822</v>
      </c>
      <c r="F136" s="4">
        <v>45002</v>
      </c>
      <c r="G136">
        <v>202312</v>
      </c>
      <c r="H136" t="s">
        <v>119</v>
      </c>
      <c r="I136" t="s">
        <v>120</v>
      </c>
      <c r="J136" t="s">
        <v>260</v>
      </c>
      <c r="K136" t="s">
        <v>64</v>
      </c>
      <c r="L136" t="s">
        <v>131</v>
      </c>
      <c r="M136" t="s">
        <v>132</v>
      </c>
      <c r="N136" t="s">
        <v>495</v>
      </c>
      <c r="O136" t="s">
        <v>203</v>
      </c>
      <c r="P136" t="str">
        <f>"N A                           "</f>
        <v xml:space="preserve">N A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84.23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2.5</v>
      </c>
      <c r="BJ136" s="3">
        <v>8.9</v>
      </c>
      <c r="BK136" s="3">
        <v>9</v>
      </c>
      <c r="BL136" s="3">
        <v>237.37</v>
      </c>
      <c r="BM136" s="3">
        <v>35.61</v>
      </c>
      <c r="BN136" s="3">
        <v>272.98</v>
      </c>
      <c r="BO136" s="3">
        <v>272.98</v>
      </c>
      <c r="BQ136" t="s">
        <v>214</v>
      </c>
      <c r="BR136" t="s">
        <v>263</v>
      </c>
      <c r="BS136" s="1">
        <v>45008</v>
      </c>
      <c r="BT136" s="2">
        <v>0.66666666666666663</v>
      </c>
      <c r="BU136" t="s">
        <v>496</v>
      </c>
      <c r="BV136" t="s">
        <v>72</v>
      </c>
      <c r="BW136" t="s">
        <v>98</v>
      </c>
      <c r="BX136" t="s">
        <v>99</v>
      </c>
      <c r="BY136">
        <v>44286.77</v>
      </c>
      <c r="BZ136" t="s">
        <v>97</v>
      </c>
      <c r="CC136" t="s">
        <v>132</v>
      </c>
      <c r="CD136">
        <v>1961</v>
      </c>
      <c r="CE136" t="s">
        <v>83</v>
      </c>
      <c r="CF136" s="1">
        <v>45009</v>
      </c>
      <c r="CI136">
        <v>1</v>
      </c>
      <c r="CJ136">
        <v>4</v>
      </c>
      <c r="CK136">
        <v>34</v>
      </c>
      <c r="CL136" t="s">
        <v>72</v>
      </c>
    </row>
    <row r="137" spans="1:90" x14ac:dyDescent="0.3">
      <c r="A137" t="s">
        <v>258</v>
      </c>
      <c r="B137" t="s">
        <v>259</v>
      </c>
      <c r="C137" t="s">
        <v>61</v>
      </c>
      <c r="E137" t="str">
        <f>"009943116824"</f>
        <v>009943116824</v>
      </c>
      <c r="F137" s="4">
        <v>45002</v>
      </c>
      <c r="G137">
        <v>202312</v>
      </c>
      <c r="H137" t="s">
        <v>119</v>
      </c>
      <c r="I137" t="s">
        <v>120</v>
      </c>
      <c r="J137" t="s">
        <v>260</v>
      </c>
      <c r="K137" t="s">
        <v>64</v>
      </c>
      <c r="L137" t="s">
        <v>170</v>
      </c>
      <c r="M137" t="s">
        <v>171</v>
      </c>
      <c r="N137" t="s">
        <v>497</v>
      </c>
      <c r="O137" t="s">
        <v>203</v>
      </c>
      <c r="P137" t="str">
        <f>"N A                           "</f>
        <v xml:space="preserve">N A   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89.8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2.7</v>
      </c>
      <c r="BJ137" s="3">
        <v>7.9</v>
      </c>
      <c r="BK137" s="3">
        <v>8</v>
      </c>
      <c r="BL137" s="3">
        <v>253.08</v>
      </c>
      <c r="BM137" s="3">
        <v>37.96</v>
      </c>
      <c r="BN137" s="3">
        <v>291.04000000000002</v>
      </c>
      <c r="BO137" s="3">
        <v>291.04000000000002</v>
      </c>
      <c r="BQ137" t="s">
        <v>498</v>
      </c>
      <c r="BR137" t="s">
        <v>263</v>
      </c>
      <c r="BS137" s="1">
        <v>45005</v>
      </c>
      <c r="BT137" s="2">
        <v>0.49236111111111108</v>
      </c>
      <c r="BU137" t="s">
        <v>499</v>
      </c>
      <c r="BV137" t="s">
        <v>69</v>
      </c>
      <c r="BY137">
        <v>39577.1</v>
      </c>
      <c r="BZ137" t="s">
        <v>97</v>
      </c>
      <c r="CA137" t="s">
        <v>181</v>
      </c>
      <c r="CC137" t="s">
        <v>171</v>
      </c>
      <c r="CD137">
        <v>7599</v>
      </c>
      <c r="CE137" t="s">
        <v>83</v>
      </c>
      <c r="CF137" s="1">
        <v>45007</v>
      </c>
      <c r="CI137">
        <v>1</v>
      </c>
      <c r="CJ137">
        <v>1</v>
      </c>
      <c r="CK137">
        <v>31</v>
      </c>
      <c r="CL137" t="s">
        <v>72</v>
      </c>
    </row>
    <row r="138" spans="1:90" x14ac:dyDescent="0.3">
      <c r="A138" t="s">
        <v>258</v>
      </c>
      <c r="B138" t="s">
        <v>259</v>
      </c>
      <c r="C138" t="s">
        <v>61</v>
      </c>
      <c r="E138" t="str">
        <f>"009941520400"</f>
        <v>009941520400</v>
      </c>
      <c r="F138" s="4">
        <v>45001</v>
      </c>
      <c r="G138">
        <v>202312</v>
      </c>
      <c r="H138" t="s">
        <v>101</v>
      </c>
      <c r="I138" t="s">
        <v>102</v>
      </c>
      <c r="J138" t="s">
        <v>272</v>
      </c>
      <c r="K138" t="s">
        <v>64</v>
      </c>
      <c r="L138" t="s">
        <v>119</v>
      </c>
      <c r="M138" t="s">
        <v>120</v>
      </c>
      <c r="N138" t="s">
        <v>272</v>
      </c>
      <c r="O138" t="s">
        <v>96</v>
      </c>
      <c r="P138" t="str">
        <f>"                              "</f>
        <v xml:space="preserve">      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5.25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46.31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3</v>
      </c>
      <c r="BJ138" s="3">
        <v>9.3000000000000007</v>
      </c>
      <c r="BK138" s="3">
        <v>10</v>
      </c>
      <c r="BL138" s="3">
        <v>135.76</v>
      </c>
      <c r="BM138" s="3">
        <v>20.36</v>
      </c>
      <c r="BN138" s="3">
        <v>156.12</v>
      </c>
      <c r="BO138" s="3">
        <v>156.12</v>
      </c>
      <c r="BQ138" t="s">
        <v>500</v>
      </c>
      <c r="BR138" t="s">
        <v>501</v>
      </c>
      <c r="BS138" s="1">
        <v>45002</v>
      </c>
      <c r="BT138" s="2">
        <v>0.4236111111111111</v>
      </c>
      <c r="BU138" t="s">
        <v>281</v>
      </c>
      <c r="BV138" t="s">
        <v>69</v>
      </c>
      <c r="BY138">
        <v>46620</v>
      </c>
      <c r="BZ138" t="s">
        <v>97</v>
      </c>
      <c r="CA138" t="s">
        <v>149</v>
      </c>
      <c r="CC138" t="s">
        <v>120</v>
      </c>
      <c r="CD138">
        <v>2013</v>
      </c>
      <c r="CE138" t="s">
        <v>83</v>
      </c>
      <c r="CF138" s="1">
        <v>45002</v>
      </c>
      <c r="CI138">
        <v>1</v>
      </c>
      <c r="CJ138">
        <v>1</v>
      </c>
      <c r="CK138">
        <v>41</v>
      </c>
      <c r="CL138" t="s">
        <v>72</v>
      </c>
    </row>
    <row r="139" spans="1:90" x14ac:dyDescent="0.3">
      <c r="A139" t="s">
        <v>258</v>
      </c>
      <c r="B139" t="s">
        <v>259</v>
      </c>
      <c r="C139" t="s">
        <v>61</v>
      </c>
      <c r="E139" t="str">
        <f>"009943116646"</f>
        <v>009943116646</v>
      </c>
      <c r="F139" s="4">
        <v>45007</v>
      </c>
      <c r="G139">
        <v>202312</v>
      </c>
      <c r="H139" t="s">
        <v>119</v>
      </c>
      <c r="I139" t="s">
        <v>120</v>
      </c>
      <c r="J139" t="s">
        <v>260</v>
      </c>
      <c r="K139" t="s">
        <v>64</v>
      </c>
      <c r="L139" t="s">
        <v>105</v>
      </c>
      <c r="M139" t="s">
        <v>106</v>
      </c>
      <c r="N139" t="s">
        <v>502</v>
      </c>
      <c r="O139" t="s">
        <v>203</v>
      </c>
      <c r="P139" t="str">
        <f>"N A                           "</f>
        <v xml:space="preserve">N A   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44.9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0.2</v>
      </c>
      <c r="BJ139" s="3">
        <v>1.8</v>
      </c>
      <c r="BK139" s="3">
        <v>2</v>
      </c>
      <c r="BL139" s="3">
        <v>126.54</v>
      </c>
      <c r="BM139" s="3">
        <v>18.98</v>
      </c>
      <c r="BN139" s="3">
        <v>145.52000000000001</v>
      </c>
      <c r="BO139" s="3">
        <v>145.52000000000001</v>
      </c>
      <c r="BQ139" t="s">
        <v>214</v>
      </c>
      <c r="BR139" t="s">
        <v>263</v>
      </c>
      <c r="BS139" s="1">
        <v>45008</v>
      </c>
      <c r="BT139" s="2">
        <v>0.52361111111111114</v>
      </c>
      <c r="BU139" t="s">
        <v>503</v>
      </c>
      <c r="BV139" t="s">
        <v>69</v>
      </c>
      <c r="BY139">
        <v>9165.35</v>
      </c>
      <c r="BZ139" t="s">
        <v>97</v>
      </c>
      <c r="CA139" t="s">
        <v>504</v>
      </c>
      <c r="CC139" t="s">
        <v>106</v>
      </c>
      <c r="CD139">
        <v>81</v>
      </c>
      <c r="CE139" t="s">
        <v>83</v>
      </c>
      <c r="CF139" s="1">
        <v>45008</v>
      </c>
      <c r="CI139">
        <v>1</v>
      </c>
      <c r="CJ139">
        <v>1</v>
      </c>
      <c r="CK139">
        <v>31</v>
      </c>
      <c r="CL139" t="s">
        <v>72</v>
      </c>
    </row>
    <row r="140" spans="1:90" x14ac:dyDescent="0.3">
      <c r="A140" t="s">
        <v>258</v>
      </c>
      <c r="B140" t="s">
        <v>259</v>
      </c>
      <c r="C140" t="s">
        <v>61</v>
      </c>
      <c r="E140" t="str">
        <f>"009942840082"</f>
        <v>009942840082</v>
      </c>
      <c r="F140" s="4">
        <v>45007</v>
      </c>
      <c r="G140">
        <v>202312</v>
      </c>
      <c r="H140" t="s">
        <v>208</v>
      </c>
      <c r="I140" t="s">
        <v>209</v>
      </c>
      <c r="J140" t="s">
        <v>312</v>
      </c>
      <c r="K140" t="s">
        <v>64</v>
      </c>
      <c r="L140" t="s">
        <v>119</v>
      </c>
      <c r="M140" t="s">
        <v>120</v>
      </c>
      <c r="N140" t="s">
        <v>272</v>
      </c>
      <c r="O140" t="s">
        <v>67</v>
      </c>
      <c r="P140" t="str">
        <f>"NA                            "</f>
        <v xml:space="preserve">NA    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18.71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1</v>
      </c>
      <c r="BJ140" s="3">
        <v>0.2</v>
      </c>
      <c r="BK140" s="3">
        <v>1</v>
      </c>
      <c r="BL140" s="3">
        <v>52.72</v>
      </c>
      <c r="BM140" s="3">
        <v>7.91</v>
      </c>
      <c r="BN140" s="3">
        <v>60.63</v>
      </c>
      <c r="BO140" s="3">
        <v>60.63</v>
      </c>
      <c r="BQ140" t="s">
        <v>313</v>
      </c>
      <c r="BR140" t="s">
        <v>314</v>
      </c>
      <c r="BS140" s="1">
        <v>45008</v>
      </c>
      <c r="BT140" s="2">
        <v>0.3430555555555555</v>
      </c>
      <c r="BU140" t="s">
        <v>505</v>
      </c>
      <c r="BV140" t="s">
        <v>69</v>
      </c>
      <c r="BY140">
        <v>1200</v>
      </c>
      <c r="BZ140" t="s">
        <v>70</v>
      </c>
      <c r="CA140" t="s">
        <v>149</v>
      </c>
      <c r="CC140" t="s">
        <v>120</v>
      </c>
      <c r="CD140">
        <v>2013</v>
      </c>
      <c r="CE140" t="s">
        <v>83</v>
      </c>
      <c r="CF140" s="1">
        <v>45009</v>
      </c>
      <c r="CI140">
        <v>1</v>
      </c>
      <c r="CJ140">
        <v>1</v>
      </c>
      <c r="CK140">
        <v>22</v>
      </c>
      <c r="CL140" t="s">
        <v>72</v>
      </c>
    </row>
    <row r="141" spans="1:90" x14ac:dyDescent="0.3">
      <c r="A141" t="s">
        <v>258</v>
      </c>
      <c r="B141" t="s">
        <v>259</v>
      </c>
      <c r="C141" t="s">
        <v>61</v>
      </c>
      <c r="E141" t="str">
        <f>"009941520339"</f>
        <v>009941520339</v>
      </c>
      <c r="F141" s="4">
        <v>45007</v>
      </c>
      <c r="G141">
        <v>202312</v>
      </c>
      <c r="H141" t="s">
        <v>101</v>
      </c>
      <c r="I141" t="s">
        <v>102</v>
      </c>
      <c r="J141" t="s">
        <v>272</v>
      </c>
      <c r="K141" t="s">
        <v>64</v>
      </c>
      <c r="L141" t="s">
        <v>119</v>
      </c>
      <c r="M141" t="s">
        <v>120</v>
      </c>
      <c r="N141" t="s">
        <v>506</v>
      </c>
      <c r="O141" t="s">
        <v>67</v>
      </c>
      <c r="P141" t="str">
        <f>"                              "</f>
        <v xml:space="preserve">      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23.95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1</v>
      </c>
      <c r="BJ141" s="3">
        <v>1</v>
      </c>
      <c r="BK141" s="3">
        <v>1</v>
      </c>
      <c r="BL141" s="3">
        <v>67.489999999999995</v>
      </c>
      <c r="BM141" s="3">
        <v>10.119999999999999</v>
      </c>
      <c r="BN141" s="3">
        <v>77.61</v>
      </c>
      <c r="BO141" s="3">
        <v>77.61</v>
      </c>
      <c r="BQ141" t="s">
        <v>507</v>
      </c>
      <c r="BR141" t="s">
        <v>508</v>
      </c>
      <c r="BS141" s="1">
        <v>45008</v>
      </c>
      <c r="BT141" s="2">
        <v>0.34375</v>
      </c>
      <c r="BU141" t="s">
        <v>505</v>
      </c>
      <c r="BV141" t="s">
        <v>69</v>
      </c>
      <c r="BY141">
        <v>4800</v>
      </c>
      <c r="BZ141" t="s">
        <v>70</v>
      </c>
      <c r="CA141" t="s">
        <v>149</v>
      </c>
      <c r="CC141" t="s">
        <v>120</v>
      </c>
      <c r="CD141">
        <v>2190</v>
      </c>
      <c r="CE141" t="s">
        <v>83</v>
      </c>
      <c r="CF141" s="1">
        <v>45009</v>
      </c>
      <c r="CI141">
        <v>1</v>
      </c>
      <c r="CJ141">
        <v>1</v>
      </c>
      <c r="CK141">
        <v>21</v>
      </c>
      <c r="CL141" t="s">
        <v>72</v>
      </c>
    </row>
    <row r="142" spans="1:90" x14ac:dyDescent="0.3">
      <c r="A142" t="s">
        <v>258</v>
      </c>
      <c r="B142" t="s">
        <v>259</v>
      </c>
      <c r="C142" t="s">
        <v>61</v>
      </c>
      <c r="E142" t="str">
        <f>"009942116030"</f>
        <v>009942116030</v>
      </c>
      <c r="F142" s="4">
        <v>45007</v>
      </c>
      <c r="G142">
        <v>202312</v>
      </c>
      <c r="H142" t="s">
        <v>65</v>
      </c>
      <c r="I142" t="s">
        <v>66</v>
      </c>
      <c r="J142" t="s">
        <v>288</v>
      </c>
      <c r="K142" t="s">
        <v>64</v>
      </c>
      <c r="L142" t="s">
        <v>119</v>
      </c>
      <c r="M142" t="s">
        <v>120</v>
      </c>
      <c r="N142" t="s">
        <v>319</v>
      </c>
      <c r="O142" t="s">
        <v>67</v>
      </c>
      <c r="P142" t="str">
        <f>"                              "</f>
        <v xml:space="preserve">      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23.95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0.2</v>
      </c>
      <c r="BJ142" s="3">
        <v>1.2</v>
      </c>
      <c r="BK142" s="3">
        <v>1.5</v>
      </c>
      <c r="BL142" s="3">
        <v>67.489999999999995</v>
      </c>
      <c r="BM142" s="3">
        <v>10.119999999999999</v>
      </c>
      <c r="BN142" s="3">
        <v>77.61</v>
      </c>
      <c r="BO142" s="3">
        <v>77.61</v>
      </c>
      <c r="BQ142" t="s">
        <v>187</v>
      </c>
      <c r="BR142" t="s">
        <v>409</v>
      </c>
      <c r="BS142" s="1">
        <v>45008</v>
      </c>
      <c r="BT142" s="2">
        <v>0.34583333333333338</v>
      </c>
      <c r="BU142" t="s">
        <v>505</v>
      </c>
      <c r="BV142" t="s">
        <v>69</v>
      </c>
      <c r="BY142">
        <v>6013.35</v>
      </c>
      <c r="BZ142" t="s">
        <v>70</v>
      </c>
      <c r="CA142" t="s">
        <v>149</v>
      </c>
      <c r="CC142" t="s">
        <v>120</v>
      </c>
      <c r="CD142">
        <v>2013</v>
      </c>
      <c r="CE142" t="s">
        <v>83</v>
      </c>
      <c r="CF142" s="1">
        <v>45009</v>
      </c>
      <c r="CI142">
        <v>1</v>
      </c>
      <c r="CJ142">
        <v>1</v>
      </c>
      <c r="CK142">
        <v>21</v>
      </c>
      <c r="CL142" t="s">
        <v>72</v>
      </c>
    </row>
    <row r="143" spans="1:90" x14ac:dyDescent="0.3">
      <c r="A143" t="s">
        <v>258</v>
      </c>
      <c r="B143" t="s">
        <v>259</v>
      </c>
      <c r="C143" t="s">
        <v>61</v>
      </c>
      <c r="E143" t="str">
        <f>"009943116644"</f>
        <v>009943116644</v>
      </c>
      <c r="F143" s="4">
        <v>45007</v>
      </c>
      <c r="G143">
        <v>202312</v>
      </c>
      <c r="H143" t="s">
        <v>119</v>
      </c>
      <c r="I143" t="s">
        <v>120</v>
      </c>
      <c r="J143" t="s">
        <v>260</v>
      </c>
      <c r="K143" t="s">
        <v>64</v>
      </c>
      <c r="L143" t="s">
        <v>77</v>
      </c>
      <c r="M143" t="s">
        <v>78</v>
      </c>
      <c r="N143" t="s">
        <v>509</v>
      </c>
      <c r="O143" t="s">
        <v>203</v>
      </c>
      <c r="P143" t="str">
        <f t="shared" ref="P143:P155" si="7">"N A                           "</f>
        <v xml:space="preserve">N A   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46.4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0.2</v>
      </c>
      <c r="BJ143" s="3">
        <v>3.1</v>
      </c>
      <c r="BK143" s="3">
        <v>4</v>
      </c>
      <c r="BL143" s="3">
        <v>130.76</v>
      </c>
      <c r="BM143" s="3">
        <v>19.61</v>
      </c>
      <c r="BN143" s="3">
        <v>150.37</v>
      </c>
      <c r="BO143" s="3">
        <v>150.37</v>
      </c>
      <c r="BQ143" t="s">
        <v>510</v>
      </c>
      <c r="BR143" t="s">
        <v>263</v>
      </c>
      <c r="BS143" s="1">
        <v>45013</v>
      </c>
      <c r="BT143" s="2">
        <v>0.70138888888888884</v>
      </c>
      <c r="BU143" t="s">
        <v>511</v>
      </c>
      <c r="BV143" t="s">
        <v>72</v>
      </c>
      <c r="BY143">
        <v>15611.4</v>
      </c>
      <c r="BZ143" t="s">
        <v>97</v>
      </c>
      <c r="CC143" t="s">
        <v>78</v>
      </c>
      <c r="CD143">
        <v>7299</v>
      </c>
      <c r="CE143" t="s">
        <v>83</v>
      </c>
      <c r="CI143">
        <v>1</v>
      </c>
      <c r="CJ143">
        <v>4</v>
      </c>
      <c r="CK143">
        <v>33</v>
      </c>
      <c r="CL143" t="s">
        <v>72</v>
      </c>
    </row>
    <row r="144" spans="1:90" x14ac:dyDescent="0.3">
      <c r="A144" t="s">
        <v>258</v>
      </c>
      <c r="B144" t="s">
        <v>259</v>
      </c>
      <c r="C144" t="s">
        <v>61</v>
      </c>
      <c r="E144" t="str">
        <f>"009943116658"</f>
        <v>009943116658</v>
      </c>
      <c r="F144" s="4">
        <v>45007</v>
      </c>
      <c r="G144">
        <v>202312</v>
      </c>
      <c r="H144" t="s">
        <v>119</v>
      </c>
      <c r="I144" t="s">
        <v>120</v>
      </c>
      <c r="J144" t="s">
        <v>260</v>
      </c>
      <c r="K144" t="s">
        <v>64</v>
      </c>
      <c r="L144" t="s">
        <v>65</v>
      </c>
      <c r="M144" t="s">
        <v>66</v>
      </c>
      <c r="N144" t="s">
        <v>512</v>
      </c>
      <c r="O144" t="s">
        <v>203</v>
      </c>
      <c r="P144" t="str">
        <f t="shared" si="7"/>
        <v xml:space="preserve">N A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44.9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0.2</v>
      </c>
      <c r="BJ144" s="3">
        <v>2.1</v>
      </c>
      <c r="BK144" s="3">
        <v>3</v>
      </c>
      <c r="BL144" s="3">
        <v>126.54</v>
      </c>
      <c r="BM144" s="3">
        <v>18.98</v>
      </c>
      <c r="BN144" s="3">
        <v>145.52000000000001</v>
      </c>
      <c r="BO144" s="3">
        <v>145.52000000000001</v>
      </c>
      <c r="BQ144" t="s">
        <v>214</v>
      </c>
      <c r="BR144" t="s">
        <v>263</v>
      </c>
      <c r="BS144" s="1">
        <v>45008</v>
      </c>
      <c r="BT144" s="2">
        <v>0.50555555555555554</v>
      </c>
      <c r="BU144" t="s">
        <v>513</v>
      </c>
      <c r="BV144" t="s">
        <v>69</v>
      </c>
      <c r="BY144">
        <v>10433.209999999999</v>
      </c>
      <c r="BZ144" t="s">
        <v>97</v>
      </c>
      <c r="CA144" t="s">
        <v>195</v>
      </c>
      <c r="CC144" t="s">
        <v>66</v>
      </c>
      <c r="CD144">
        <v>7460</v>
      </c>
      <c r="CE144" t="s">
        <v>83</v>
      </c>
      <c r="CF144" s="1">
        <v>45009</v>
      </c>
      <c r="CI144">
        <v>1</v>
      </c>
      <c r="CJ144">
        <v>1</v>
      </c>
      <c r="CK144">
        <v>31</v>
      </c>
      <c r="CL144" t="s">
        <v>72</v>
      </c>
    </row>
    <row r="145" spans="1:90" x14ac:dyDescent="0.3">
      <c r="A145" t="s">
        <v>258</v>
      </c>
      <c r="B145" t="s">
        <v>259</v>
      </c>
      <c r="C145" t="s">
        <v>61</v>
      </c>
      <c r="E145" t="str">
        <f>"009943116645"</f>
        <v>009943116645</v>
      </c>
      <c r="F145" s="4">
        <v>45007</v>
      </c>
      <c r="G145">
        <v>202312</v>
      </c>
      <c r="H145" t="s">
        <v>119</v>
      </c>
      <c r="I145" t="s">
        <v>120</v>
      </c>
      <c r="J145" t="s">
        <v>260</v>
      </c>
      <c r="K145" t="s">
        <v>64</v>
      </c>
      <c r="L145" t="s">
        <v>101</v>
      </c>
      <c r="M145" t="s">
        <v>102</v>
      </c>
      <c r="N145" t="s">
        <v>514</v>
      </c>
      <c r="O145" t="s">
        <v>67</v>
      </c>
      <c r="P145" t="str">
        <f t="shared" si="7"/>
        <v xml:space="preserve">N A  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23.95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1</v>
      </c>
      <c r="BJ145" s="3">
        <v>0.2</v>
      </c>
      <c r="BK145" s="3">
        <v>1</v>
      </c>
      <c r="BL145" s="3">
        <v>67.489999999999995</v>
      </c>
      <c r="BM145" s="3">
        <v>10.119999999999999</v>
      </c>
      <c r="BN145" s="3">
        <v>77.61</v>
      </c>
      <c r="BO145" s="3">
        <v>77.61</v>
      </c>
      <c r="BQ145" t="s">
        <v>515</v>
      </c>
      <c r="BR145" t="s">
        <v>263</v>
      </c>
      <c r="BS145" s="1">
        <v>45008</v>
      </c>
      <c r="BT145" s="2">
        <v>0.46875</v>
      </c>
      <c r="BU145" t="s">
        <v>516</v>
      </c>
      <c r="BV145" t="s">
        <v>69</v>
      </c>
      <c r="BY145">
        <v>1200</v>
      </c>
      <c r="BZ145" t="s">
        <v>70</v>
      </c>
      <c r="CA145" t="s">
        <v>517</v>
      </c>
      <c r="CC145" t="s">
        <v>102</v>
      </c>
      <c r="CD145">
        <v>3630</v>
      </c>
      <c r="CE145" t="s">
        <v>83</v>
      </c>
      <c r="CF145" s="1">
        <v>45009</v>
      </c>
      <c r="CI145">
        <v>1</v>
      </c>
      <c r="CJ145">
        <v>1</v>
      </c>
      <c r="CK145">
        <v>21</v>
      </c>
      <c r="CL145" t="s">
        <v>72</v>
      </c>
    </row>
    <row r="146" spans="1:90" x14ac:dyDescent="0.3">
      <c r="A146" t="s">
        <v>258</v>
      </c>
      <c r="B146" t="s">
        <v>259</v>
      </c>
      <c r="C146" t="s">
        <v>61</v>
      </c>
      <c r="E146" t="str">
        <f>"009943116648"</f>
        <v>009943116648</v>
      </c>
      <c r="F146" s="4">
        <v>45007</v>
      </c>
      <c r="G146">
        <v>202312</v>
      </c>
      <c r="H146" t="s">
        <v>119</v>
      </c>
      <c r="I146" t="s">
        <v>120</v>
      </c>
      <c r="J146" t="s">
        <v>260</v>
      </c>
      <c r="K146" t="s">
        <v>64</v>
      </c>
      <c r="L146" t="s">
        <v>119</v>
      </c>
      <c r="M146" t="s">
        <v>120</v>
      </c>
      <c r="N146" t="s">
        <v>518</v>
      </c>
      <c r="O146" t="s">
        <v>203</v>
      </c>
      <c r="P146" t="str">
        <f t="shared" si="7"/>
        <v xml:space="preserve">N A   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18.71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1.5</v>
      </c>
      <c r="BJ146" s="3">
        <v>6.7</v>
      </c>
      <c r="BK146" s="3">
        <v>7</v>
      </c>
      <c r="BL146" s="3">
        <v>52.73</v>
      </c>
      <c r="BM146" s="3">
        <v>7.91</v>
      </c>
      <c r="BN146" s="3">
        <v>60.64</v>
      </c>
      <c r="BO146" s="3">
        <v>60.64</v>
      </c>
      <c r="BQ146" t="s">
        <v>214</v>
      </c>
      <c r="BR146" t="s">
        <v>263</v>
      </c>
      <c r="BS146" s="1">
        <v>45008</v>
      </c>
      <c r="BT146" s="2">
        <v>0.4861111111111111</v>
      </c>
      <c r="BU146" t="s">
        <v>519</v>
      </c>
      <c r="BV146" t="s">
        <v>69</v>
      </c>
      <c r="BY146">
        <v>33263.74</v>
      </c>
      <c r="BZ146" t="s">
        <v>97</v>
      </c>
      <c r="CC146" t="s">
        <v>120</v>
      </c>
      <c r="CD146">
        <v>2195</v>
      </c>
      <c r="CE146" t="s">
        <v>83</v>
      </c>
      <c r="CF146" s="1">
        <v>45009</v>
      </c>
      <c r="CI146">
        <v>1</v>
      </c>
      <c r="CJ146">
        <v>1</v>
      </c>
      <c r="CK146">
        <v>32</v>
      </c>
      <c r="CL146" t="s">
        <v>72</v>
      </c>
    </row>
    <row r="147" spans="1:90" x14ac:dyDescent="0.3">
      <c r="A147" t="s">
        <v>258</v>
      </c>
      <c r="B147" t="s">
        <v>259</v>
      </c>
      <c r="C147" t="s">
        <v>61</v>
      </c>
      <c r="E147" t="str">
        <f>"009943116650"</f>
        <v>009943116650</v>
      </c>
      <c r="F147" s="4">
        <v>45007</v>
      </c>
      <c r="G147">
        <v>202312</v>
      </c>
      <c r="H147" t="s">
        <v>119</v>
      </c>
      <c r="I147" t="s">
        <v>120</v>
      </c>
      <c r="J147" t="s">
        <v>260</v>
      </c>
      <c r="K147" t="s">
        <v>64</v>
      </c>
      <c r="L147" t="s">
        <v>88</v>
      </c>
      <c r="M147" t="s">
        <v>89</v>
      </c>
      <c r="N147" t="s">
        <v>520</v>
      </c>
      <c r="O147" t="s">
        <v>203</v>
      </c>
      <c r="P147" t="str">
        <f t="shared" si="7"/>
        <v xml:space="preserve">N A   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20.81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1.5</v>
      </c>
      <c r="BJ147" s="3">
        <v>8.8000000000000007</v>
      </c>
      <c r="BK147" s="3">
        <v>9</v>
      </c>
      <c r="BL147" s="3">
        <v>58.65</v>
      </c>
      <c r="BM147" s="3">
        <v>8.8000000000000007</v>
      </c>
      <c r="BN147" s="3">
        <v>67.45</v>
      </c>
      <c r="BO147" s="3">
        <v>67.45</v>
      </c>
      <c r="BQ147" t="s">
        <v>214</v>
      </c>
      <c r="BR147" t="s">
        <v>263</v>
      </c>
      <c r="BS147" s="1">
        <v>45008</v>
      </c>
      <c r="BT147" s="2">
        <v>0.58263888888888882</v>
      </c>
      <c r="BU147" t="s">
        <v>213</v>
      </c>
      <c r="BV147" t="s">
        <v>72</v>
      </c>
      <c r="BW147" t="s">
        <v>103</v>
      </c>
      <c r="BX147" t="s">
        <v>109</v>
      </c>
      <c r="BY147">
        <v>43901.25</v>
      </c>
      <c r="BZ147" t="s">
        <v>97</v>
      </c>
      <c r="CA147" t="s">
        <v>113</v>
      </c>
      <c r="CC147" t="s">
        <v>89</v>
      </c>
      <c r="CD147">
        <v>1559</v>
      </c>
      <c r="CE147" t="s">
        <v>83</v>
      </c>
      <c r="CF147" s="1">
        <v>45008</v>
      </c>
      <c r="CI147">
        <v>1</v>
      </c>
      <c r="CJ147">
        <v>1</v>
      </c>
      <c r="CK147">
        <v>32</v>
      </c>
      <c r="CL147" t="s">
        <v>72</v>
      </c>
    </row>
    <row r="148" spans="1:90" x14ac:dyDescent="0.3">
      <c r="A148" t="s">
        <v>258</v>
      </c>
      <c r="B148" t="s">
        <v>259</v>
      </c>
      <c r="C148" t="s">
        <v>61</v>
      </c>
      <c r="E148" t="str">
        <f>"009943116656"</f>
        <v>009943116656</v>
      </c>
      <c r="F148" s="4">
        <v>45007</v>
      </c>
      <c r="G148">
        <v>202312</v>
      </c>
      <c r="H148" t="s">
        <v>119</v>
      </c>
      <c r="I148" t="s">
        <v>120</v>
      </c>
      <c r="J148" t="s">
        <v>260</v>
      </c>
      <c r="K148" t="s">
        <v>64</v>
      </c>
      <c r="L148" t="s">
        <v>105</v>
      </c>
      <c r="M148" t="s">
        <v>106</v>
      </c>
      <c r="N148" t="s">
        <v>521</v>
      </c>
      <c r="O148" t="s">
        <v>203</v>
      </c>
      <c r="P148" t="str">
        <f t="shared" si="7"/>
        <v xml:space="preserve">N A  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101.03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0.7</v>
      </c>
      <c r="BJ148" s="3">
        <v>8.8000000000000007</v>
      </c>
      <c r="BK148" s="3">
        <v>9</v>
      </c>
      <c r="BL148" s="3">
        <v>284.72000000000003</v>
      </c>
      <c r="BM148" s="3">
        <v>42.71</v>
      </c>
      <c r="BN148" s="3">
        <v>327.43</v>
      </c>
      <c r="BO148" s="3">
        <v>327.43</v>
      </c>
      <c r="BQ148" t="s">
        <v>214</v>
      </c>
      <c r="BR148" t="s">
        <v>263</v>
      </c>
      <c r="BS148" s="1">
        <v>45008</v>
      </c>
      <c r="BT148" s="2">
        <v>0.3833333333333333</v>
      </c>
      <c r="BU148" t="s">
        <v>522</v>
      </c>
      <c r="BV148" t="s">
        <v>69</v>
      </c>
      <c r="BY148">
        <v>43852.9</v>
      </c>
      <c r="BZ148" t="s">
        <v>97</v>
      </c>
      <c r="CA148" t="s">
        <v>523</v>
      </c>
      <c r="CC148" t="s">
        <v>106</v>
      </c>
      <c r="CD148">
        <v>186</v>
      </c>
      <c r="CE148" t="s">
        <v>83</v>
      </c>
      <c r="CF148" s="1">
        <v>45008</v>
      </c>
      <c r="CI148">
        <v>1</v>
      </c>
      <c r="CJ148">
        <v>1</v>
      </c>
      <c r="CK148">
        <v>31</v>
      </c>
      <c r="CL148" t="s">
        <v>72</v>
      </c>
    </row>
    <row r="149" spans="1:90" x14ac:dyDescent="0.3">
      <c r="A149" t="s">
        <v>258</v>
      </c>
      <c r="B149" t="s">
        <v>259</v>
      </c>
      <c r="C149" t="s">
        <v>61</v>
      </c>
      <c r="E149" t="str">
        <f>"009943116659"</f>
        <v>009943116659</v>
      </c>
      <c r="F149" s="4">
        <v>45007</v>
      </c>
      <c r="G149">
        <v>202312</v>
      </c>
      <c r="H149" t="s">
        <v>119</v>
      </c>
      <c r="I149" t="s">
        <v>120</v>
      </c>
      <c r="J149" t="s">
        <v>260</v>
      </c>
      <c r="K149" t="s">
        <v>64</v>
      </c>
      <c r="L149" t="s">
        <v>65</v>
      </c>
      <c r="M149" t="s">
        <v>66</v>
      </c>
      <c r="N149" t="s">
        <v>524</v>
      </c>
      <c r="O149" t="s">
        <v>203</v>
      </c>
      <c r="P149" t="str">
        <f t="shared" si="7"/>
        <v xml:space="preserve">N A   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101.03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0.2</v>
      </c>
      <c r="BJ149" s="3">
        <v>8.8000000000000007</v>
      </c>
      <c r="BK149" s="3">
        <v>9</v>
      </c>
      <c r="BL149" s="3">
        <v>284.72000000000003</v>
      </c>
      <c r="BM149" s="3">
        <v>42.71</v>
      </c>
      <c r="BN149" s="3">
        <v>327.43</v>
      </c>
      <c r="BO149" s="3">
        <v>327.43</v>
      </c>
      <c r="BQ149" t="s">
        <v>214</v>
      </c>
      <c r="BR149" t="s">
        <v>263</v>
      </c>
      <c r="BS149" s="1">
        <v>45008</v>
      </c>
      <c r="BT149" s="2">
        <v>0.41111111111111115</v>
      </c>
      <c r="BU149" t="s">
        <v>525</v>
      </c>
      <c r="BV149" t="s">
        <v>69</v>
      </c>
      <c r="BY149">
        <v>44036.5</v>
      </c>
      <c r="BZ149" t="s">
        <v>97</v>
      </c>
      <c r="CA149" t="s">
        <v>241</v>
      </c>
      <c r="CC149" t="s">
        <v>66</v>
      </c>
      <c r="CD149">
        <v>7500</v>
      </c>
      <c r="CE149" t="s">
        <v>83</v>
      </c>
      <c r="CF149" s="1">
        <v>45009</v>
      </c>
      <c r="CI149">
        <v>1</v>
      </c>
      <c r="CJ149">
        <v>1</v>
      </c>
      <c r="CK149">
        <v>31</v>
      </c>
      <c r="CL149" t="s">
        <v>72</v>
      </c>
    </row>
    <row r="150" spans="1:90" x14ac:dyDescent="0.3">
      <c r="A150" t="s">
        <v>258</v>
      </c>
      <c r="B150" t="s">
        <v>259</v>
      </c>
      <c r="C150" t="s">
        <v>61</v>
      </c>
      <c r="E150" t="str">
        <f>"009943116819"</f>
        <v>009943116819</v>
      </c>
      <c r="F150" s="4">
        <v>45007</v>
      </c>
      <c r="G150">
        <v>202312</v>
      </c>
      <c r="H150" t="s">
        <v>119</v>
      </c>
      <c r="I150" t="s">
        <v>120</v>
      </c>
      <c r="J150" t="s">
        <v>260</v>
      </c>
      <c r="K150" t="s">
        <v>64</v>
      </c>
      <c r="L150" t="s">
        <v>84</v>
      </c>
      <c r="M150" t="s">
        <v>85</v>
      </c>
      <c r="N150" t="s">
        <v>526</v>
      </c>
      <c r="O150" t="s">
        <v>203</v>
      </c>
      <c r="P150" t="str">
        <f t="shared" si="7"/>
        <v xml:space="preserve">N A    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20.81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3</v>
      </c>
      <c r="BJ150" s="3">
        <v>9</v>
      </c>
      <c r="BK150" s="3">
        <v>9</v>
      </c>
      <c r="BL150" s="3">
        <v>58.65</v>
      </c>
      <c r="BM150" s="3">
        <v>8.8000000000000007</v>
      </c>
      <c r="BN150" s="3">
        <v>67.45</v>
      </c>
      <c r="BO150" s="3">
        <v>67.45</v>
      </c>
      <c r="BQ150" t="s">
        <v>214</v>
      </c>
      <c r="BR150" t="s">
        <v>263</v>
      </c>
      <c r="BS150" s="1">
        <v>45009</v>
      </c>
      <c r="BT150" s="2">
        <v>0.68055555555555547</v>
      </c>
      <c r="BU150" t="s">
        <v>169</v>
      </c>
      <c r="BV150" t="s">
        <v>72</v>
      </c>
      <c r="BW150" t="s">
        <v>103</v>
      </c>
      <c r="BX150" t="s">
        <v>155</v>
      </c>
      <c r="BY150">
        <v>45083.81</v>
      </c>
      <c r="BZ150" t="s">
        <v>97</v>
      </c>
      <c r="CC150" t="s">
        <v>85</v>
      </c>
      <c r="CD150">
        <v>1448</v>
      </c>
      <c r="CE150" t="s">
        <v>83</v>
      </c>
      <c r="CF150" s="1">
        <v>45010</v>
      </c>
      <c r="CI150">
        <v>1</v>
      </c>
      <c r="CJ150">
        <v>2</v>
      </c>
      <c r="CK150">
        <v>32</v>
      </c>
      <c r="CL150" t="s">
        <v>72</v>
      </c>
    </row>
    <row r="151" spans="1:90" x14ac:dyDescent="0.3">
      <c r="A151" t="s">
        <v>258</v>
      </c>
      <c r="B151" t="s">
        <v>259</v>
      </c>
      <c r="C151" t="s">
        <v>61</v>
      </c>
      <c r="E151" t="str">
        <f>"009943116652"</f>
        <v>009943116652</v>
      </c>
      <c r="F151" s="4">
        <v>45007</v>
      </c>
      <c r="G151">
        <v>202312</v>
      </c>
      <c r="H151" t="s">
        <v>119</v>
      </c>
      <c r="I151" t="s">
        <v>120</v>
      </c>
      <c r="J151" t="s">
        <v>260</v>
      </c>
      <c r="K151" t="s">
        <v>64</v>
      </c>
      <c r="L151" t="s">
        <v>105</v>
      </c>
      <c r="M151" t="s">
        <v>106</v>
      </c>
      <c r="N151" t="s">
        <v>527</v>
      </c>
      <c r="O151" t="s">
        <v>203</v>
      </c>
      <c r="P151" t="str">
        <f t="shared" si="7"/>
        <v xml:space="preserve">N A   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202.06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3.5</v>
      </c>
      <c r="BJ151" s="3">
        <v>17.2</v>
      </c>
      <c r="BK151" s="3">
        <v>18</v>
      </c>
      <c r="BL151" s="3">
        <v>569.44000000000005</v>
      </c>
      <c r="BM151" s="3">
        <v>85.42</v>
      </c>
      <c r="BN151" s="3">
        <v>654.86</v>
      </c>
      <c r="BO151" s="3">
        <v>654.86</v>
      </c>
      <c r="BQ151" t="s">
        <v>214</v>
      </c>
      <c r="BR151" t="s">
        <v>263</v>
      </c>
      <c r="BS151" s="1">
        <v>45009</v>
      </c>
      <c r="BT151" s="2">
        <v>0.45624999999999999</v>
      </c>
      <c r="BU151" t="s">
        <v>528</v>
      </c>
      <c r="BV151" t="s">
        <v>72</v>
      </c>
      <c r="BY151">
        <v>86069.25</v>
      </c>
      <c r="BZ151" t="s">
        <v>97</v>
      </c>
      <c r="CA151" t="s">
        <v>248</v>
      </c>
      <c r="CC151" t="s">
        <v>106</v>
      </c>
      <c r="CD151">
        <v>181</v>
      </c>
      <c r="CE151" t="s">
        <v>83</v>
      </c>
      <c r="CF151" s="1">
        <v>45009</v>
      </c>
      <c r="CI151">
        <v>1</v>
      </c>
      <c r="CJ151">
        <v>2</v>
      </c>
      <c r="CK151">
        <v>31</v>
      </c>
      <c r="CL151" t="s">
        <v>72</v>
      </c>
    </row>
    <row r="152" spans="1:90" x14ac:dyDescent="0.3">
      <c r="A152" t="s">
        <v>258</v>
      </c>
      <c r="B152" t="s">
        <v>259</v>
      </c>
      <c r="C152" t="s">
        <v>61</v>
      </c>
      <c r="E152" t="str">
        <f>"009943116654"</f>
        <v>009943116654</v>
      </c>
      <c r="F152" s="4">
        <v>45007</v>
      </c>
      <c r="G152">
        <v>202312</v>
      </c>
      <c r="H152" t="s">
        <v>119</v>
      </c>
      <c r="I152" t="s">
        <v>120</v>
      </c>
      <c r="J152" t="s">
        <v>260</v>
      </c>
      <c r="K152" t="s">
        <v>64</v>
      </c>
      <c r="L152" t="s">
        <v>101</v>
      </c>
      <c r="M152" t="s">
        <v>102</v>
      </c>
      <c r="N152" t="s">
        <v>529</v>
      </c>
      <c r="O152" t="s">
        <v>96</v>
      </c>
      <c r="P152" t="str">
        <f t="shared" si="7"/>
        <v xml:space="preserve">N A   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5.25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46.31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0.6</v>
      </c>
      <c r="BJ152" s="3">
        <v>2.1</v>
      </c>
      <c r="BK152" s="3">
        <v>3</v>
      </c>
      <c r="BL152" s="3">
        <v>135.76</v>
      </c>
      <c r="BM152" s="3">
        <v>20.36</v>
      </c>
      <c r="BN152" s="3">
        <v>156.12</v>
      </c>
      <c r="BO152" s="3">
        <v>156.12</v>
      </c>
      <c r="BQ152" t="s">
        <v>214</v>
      </c>
      <c r="BR152" t="s">
        <v>263</v>
      </c>
      <c r="BS152" s="1">
        <v>45008</v>
      </c>
      <c r="BT152" s="2">
        <v>0.42291666666666666</v>
      </c>
      <c r="BU152" t="s">
        <v>530</v>
      </c>
      <c r="BV152" t="s">
        <v>69</v>
      </c>
      <c r="BY152">
        <v>10334.1</v>
      </c>
      <c r="BZ152" t="s">
        <v>97</v>
      </c>
      <c r="CA152" t="s">
        <v>192</v>
      </c>
      <c r="CC152" t="s">
        <v>102</v>
      </c>
      <c r="CD152">
        <v>4063</v>
      </c>
      <c r="CE152" t="s">
        <v>83</v>
      </c>
      <c r="CF152" s="1">
        <v>45009</v>
      </c>
      <c r="CI152">
        <v>1</v>
      </c>
      <c r="CJ152">
        <v>1</v>
      </c>
      <c r="CK152">
        <v>41</v>
      </c>
      <c r="CL152" t="s">
        <v>72</v>
      </c>
    </row>
    <row r="153" spans="1:90" x14ac:dyDescent="0.3">
      <c r="A153" t="s">
        <v>258</v>
      </c>
      <c r="B153" t="s">
        <v>259</v>
      </c>
      <c r="C153" t="s">
        <v>61</v>
      </c>
      <c r="E153" t="str">
        <f>"009943116657"</f>
        <v>009943116657</v>
      </c>
      <c r="F153" s="4">
        <v>45007</v>
      </c>
      <c r="G153">
        <v>202312</v>
      </c>
      <c r="H153" t="s">
        <v>119</v>
      </c>
      <c r="I153" t="s">
        <v>120</v>
      </c>
      <c r="J153" t="s">
        <v>260</v>
      </c>
      <c r="K153" t="s">
        <v>64</v>
      </c>
      <c r="L153" t="s">
        <v>84</v>
      </c>
      <c r="M153" t="s">
        <v>85</v>
      </c>
      <c r="N153" t="s">
        <v>531</v>
      </c>
      <c r="O153" t="s">
        <v>203</v>
      </c>
      <c r="P153" t="str">
        <f t="shared" si="7"/>
        <v xml:space="preserve">N A   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18.71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0.2</v>
      </c>
      <c r="BJ153" s="3">
        <v>2</v>
      </c>
      <c r="BK153" s="3">
        <v>2</v>
      </c>
      <c r="BL153" s="3">
        <v>52.73</v>
      </c>
      <c r="BM153" s="3">
        <v>7.91</v>
      </c>
      <c r="BN153" s="3">
        <v>60.64</v>
      </c>
      <c r="BO153" s="3">
        <v>60.64</v>
      </c>
      <c r="BQ153" t="s">
        <v>214</v>
      </c>
      <c r="BR153" t="s">
        <v>263</v>
      </c>
      <c r="BS153" s="1">
        <v>45009</v>
      </c>
      <c r="BT153" s="2">
        <v>0.43541666666666662</v>
      </c>
      <c r="BU153" t="s">
        <v>169</v>
      </c>
      <c r="BV153" t="s">
        <v>72</v>
      </c>
      <c r="BW153" t="s">
        <v>103</v>
      </c>
      <c r="BX153" t="s">
        <v>155</v>
      </c>
      <c r="BY153">
        <v>9997.34</v>
      </c>
      <c r="BZ153" t="s">
        <v>97</v>
      </c>
      <c r="CC153" t="s">
        <v>85</v>
      </c>
      <c r="CD153">
        <v>1450</v>
      </c>
      <c r="CE153" t="s">
        <v>83</v>
      </c>
      <c r="CF153" s="1">
        <v>45010</v>
      </c>
      <c r="CI153">
        <v>1</v>
      </c>
      <c r="CJ153">
        <v>2</v>
      </c>
      <c r="CK153">
        <v>32</v>
      </c>
      <c r="CL153" t="s">
        <v>72</v>
      </c>
    </row>
    <row r="154" spans="1:90" x14ac:dyDescent="0.3">
      <c r="A154" t="s">
        <v>258</v>
      </c>
      <c r="B154" t="s">
        <v>259</v>
      </c>
      <c r="C154" t="s">
        <v>61</v>
      </c>
      <c r="E154" t="str">
        <f>"009943116649"</f>
        <v>009943116649</v>
      </c>
      <c r="F154" s="4">
        <v>45007</v>
      </c>
      <c r="G154">
        <v>202312</v>
      </c>
      <c r="H154" t="s">
        <v>119</v>
      </c>
      <c r="I154" t="s">
        <v>120</v>
      </c>
      <c r="J154" t="s">
        <v>260</v>
      </c>
      <c r="K154" t="s">
        <v>64</v>
      </c>
      <c r="L154" t="s">
        <v>88</v>
      </c>
      <c r="M154" t="s">
        <v>89</v>
      </c>
      <c r="N154" t="s">
        <v>532</v>
      </c>
      <c r="O154" t="s">
        <v>203</v>
      </c>
      <c r="P154" t="str">
        <f t="shared" si="7"/>
        <v xml:space="preserve">N A   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18.71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0.2</v>
      </c>
      <c r="BJ154" s="3">
        <v>2</v>
      </c>
      <c r="BK154" s="3">
        <v>2</v>
      </c>
      <c r="BL154" s="3">
        <v>52.73</v>
      </c>
      <c r="BM154" s="3">
        <v>7.91</v>
      </c>
      <c r="BN154" s="3">
        <v>60.64</v>
      </c>
      <c r="BO154" s="3">
        <v>60.64</v>
      </c>
      <c r="BQ154" t="s">
        <v>533</v>
      </c>
      <c r="BR154" t="s">
        <v>263</v>
      </c>
      <c r="BS154" s="1">
        <v>45008</v>
      </c>
      <c r="BT154" s="2">
        <v>0.53749999999999998</v>
      </c>
      <c r="BU154" t="s">
        <v>534</v>
      </c>
      <c r="BV154" t="s">
        <v>69</v>
      </c>
      <c r="BY154">
        <v>10136.200000000001</v>
      </c>
      <c r="BZ154" t="s">
        <v>97</v>
      </c>
      <c r="CA154" t="s">
        <v>113</v>
      </c>
      <c r="CC154" t="s">
        <v>89</v>
      </c>
      <c r="CD154">
        <v>1559</v>
      </c>
      <c r="CE154" t="s">
        <v>83</v>
      </c>
      <c r="CF154" s="1">
        <v>45008</v>
      </c>
      <c r="CI154">
        <v>1</v>
      </c>
      <c r="CJ154">
        <v>1</v>
      </c>
      <c r="CK154">
        <v>32</v>
      </c>
      <c r="CL154" t="s">
        <v>72</v>
      </c>
    </row>
    <row r="155" spans="1:90" x14ac:dyDescent="0.3">
      <c r="A155" t="s">
        <v>258</v>
      </c>
      <c r="B155" t="s">
        <v>259</v>
      </c>
      <c r="C155" t="s">
        <v>61</v>
      </c>
      <c r="E155" t="str">
        <f>"009943116647"</f>
        <v>009943116647</v>
      </c>
      <c r="F155" s="4">
        <v>45007</v>
      </c>
      <c r="G155">
        <v>202312</v>
      </c>
      <c r="H155" t="s">
        <v>119</v>
      </c>
      <c r="I155" t="s">
        <v>120</v>
      </c>
      <c r="J155" t="s">
        <v>260</v>
      </c>
      <c r="K155" t="s">
        <v>64</v>
      </c>
      <c r="L155" t="s">
        <v>101</v>
      </c>
      <c r="M155" t="s">
        <v>102</v>
      </c>
      <c r="N155" t="s">
        <v>535</v>
      </c>
      <c r="O155" t="s">
        <v>203</v>
      </c>
      <c r="P155" t="str">
        <f t="shared" si="7"/>
        <v xml:space="preserve">N A   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101.03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1.2</v>
      </c>
      <c r="BJ155" s="3">
        <v>8.9</v>
      </c>
      <c r="BK155" s="3">
        <v>9</v>
      </c>
      <c r="BL155" s="3">
        <v>284.72000000000003</v>
      </c>
      <c r="BM155" s="3">
        <v>42.71</v>
      </c>
      <c r="BN155" s="3">
        <v>327.43</v>
      </c>
      <c r="BO155" s="3">
        <v>327.43</v>
      </c>
      <c r="BQ155" t="s">
        <v>536</v>
      </c>
      <c r="BR155" t="s">
        <v>263</v>
      </c>
      <c r="BS155" s="1">
        <v>45008</v>
      </c>
      <c r="BT155" s="2">
        <v>0.3979166666666667</v>
      </c>
      <c r="BU155" t="s">
        <v>537</v>
      </c>
      <c r="BV155" t="s">
        <v>69</v>
      </c>
      <c r="BY155">
        <v>44508.6</v>
      </c>
      <c r="BZ155" t="s">
        <v>97</v>
      </c>
      <c r="CA155" t="s">
        <v>450</v>
      </c>
      <c r="CC155" t="s">
        <v>102</v>
      </c>
      <c r="CD155">
        <v>4019</v>
      </c>
      <c r="CE155" t="s">
        <v>83</v>
      </c>
      <c r="CF155" s="1">
        <v>45009</v>
      </c>
      <c r="CI155">
        <v>1</v>
      </c>
      <c r="CJ155">
        <v>1</v>
      </c>
      <c r="CK155">
        <v>31</v>
      </c>
      <c r="CL155" t="s">
        <v>72</v>
      </c>
    </row>
    <row r="156" spans="1:90" x14ac:dyDescent="0.3">
      <c r="A156" t="s">
        <v>258</v>
      </c>
      <c r="B156" t="s">
        <v>259</v>
      </c>
      <c r="C156" t="s">
        <v>61</v>
      </c>
      <c r="E156" t="str">
        <f>"009942776646"</f>
        <v>009942776646</v>
      </c>
      <c r="F156" s="4">
        <v>45007</v>
      </c>
      <c r="G156">
        <v>202312</v>
      </c>
      <c r="H156" t="s">
        <v>65</v>
      </c>
      <c r="I156" t="s">
        <v>66</v>
      </c>
      <c r="J156" t="s">
        <v>288</v>
      </c>
      <c r="K156" t="s">
        <v>64</v>
      </c>
      <c r="L156" t="s">
        <v>119</v>
      </c>
      <c r="M156" t="s">
        <v>120</v>
      </c>
      <c r="N156" t="s">
        <v>272</v>
      </c>
      <c r="O156" t="s">
        <v>67</v>
      </c>
      <c r="P156" t="str">
        <f>"                              "</f>
        <v xml:space="preserve">     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23.95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0.3</v>
      </c>
      <c r="BJ156" s="3">
        <v>1.4</v>
      </c>
      <c r="BK156" s="3">
        <v>1.5</v>
      </c>
      <c r="BL156" s="3">
        <v>67.489999999999995</v>
      </c>
      <c r="BM156" s="3">
        <v>10.119999999999999</v>
      </c>
      <c r="BN156" s="3">
        <v>77.61</v>
      </c>
      <c r="BO156" s="3">
        <v>77.61</v>
      </c>
      <c r="BQ156" t="s">
        <v>313</v>
      </c>
      <c r="BR156" t="s">
        <v>322</v>
      </c>
      <c r="BS156" s="1">
        <v>45008</v>
      </c>
      <c r="BT156" s="2">
        <v>0.34513888888888888</v>
      </c>
      <c r="BU156" t="s">
        <v>505</v>
      </c>
      <c r="BV156" t="s">
        <v>69</v>
      </c>
      <c r="BY156">
        <v>7035.84</v>
      </c>
      <c r="BZ156" t="s">
        <v>70</v>
      </c>
      <c r="CA156" t="s">
        <v>149</v>
      </c>
      <c r="CC156" t="s">
        <v>120</v>
      </c>
      <c r="CD156">
        <v>2016</v>
      </c>
      <c r="CE156" t="s">
        <v>83</v>
      </c>
      <c r="CF156" s="1">
        <v>45009</v>
      </c>
      <c r="CI156">
        <v>1</v>
      </c>
      <c r="CJ156">
        <v>1</v>
      </c>
      <c r="CK156">
        <v>21</v>
      </c>
      <c r="CL156" t="s">
        <v>72</v>
      </c>
    </row>
    <row r="157" spans="1:90" x14ac:dyDescent="0.3">
      <c r="A157" t="s">
        <v>258</v>
      </c>
      <c r="B157" t="s">
        <v>259</v>
      </c>
      <c r="C157" t="s">
        <v>61</v>
      </c>
      <c r="E157" t="str">
        <f>"009943303232"</f>
        <v>009943303232</v>
      </c>
      <c r="F157" s="4">
        <v>45007</v>
      </c>
      <c r="G157">
        <v>202312</v>
      </c>
      <c r="H157" t="s">
        <v>119</v>
      </c>
      <c r="I157" t="s">
        <v>120</v>
      </c>
      <c r="J157" t="s">
        <v>405</v>
      </c>
      <c r="K157" t="s">
        <v>64</v>
      </c>
      <c r="L157" t="s">
        <v>119</v>
      </c>
      <c r="M157" t="s">
        <v>120</v>
      </c>
      <c r="N157" t="s">
        <v>406</v>
      </c>
      <c r="O157" t="s">
        <v>67</v>
      </c>
      <c r="P157" t="str">
        <f>"..                            "</f>
        <v xml:space="preserve">..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18.71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1</v>
      </c>
      <c r="BJ157" s="3">
        <v>0.2</v>
      </c>
      <c r="BK157" s="3">
        <v>1</v>
      </c>
      <c r="BL157" s="3">
        <v>52.72</v>
      </c>
      <c r="BM157" s="3">
        <v>7.91</v>
      </c>
      <c r="BN157" s="3">
        <v>60.63</v>
      </c>
      <c r="BO157" s="3">
        <v>60.63</v>
      </c>
      <c r="BQ157" t="s">
        <v>538</v>
      </c>
      <c r="BR157" t="s">
        <v>235</v>
      </c>
      <c r="BS157" s="1">
        <v>45008</v>
      </c>
      <c r="BT157" s="2">
        <v>0.3430555555555555</v>
      </c>
      <c r="BU157" t="s">
        <v>505</v>
      </c>
      <c r="BV157" t="s">
        <v>69</v>
      </c>
      <c r="BY157">
        <v>1200</v>
      </c>
      <c r="BZ157" t="s">
        <v>70</v>
      </c>
      <c r="CA157" t="s">
        <v>149</v>
      </c>
      <c r="CC157" t="s">
        <v>120</v>
      </c>
      <c r="CD157">
        <v>2013</v>
      </c>
      <c r="CE157" t="s">
        <v>83</v>
      </c>
      <c r="CF157" s="1">
        <v>45009</v>
      </c>
      <c r="CI157">
        <v>1</v>
      </c>
      <c r="CJ157">
        <v>1</v>
      </c>
      <c r="CK157">
        <v>22</v>
      </c>
      <c r="CL157" t="s">
        <v>72</v>
      </c>
    </row>
    <row r="158" spans="1:90" x14ac:dyDescent="0.3">
      <c r="A158" t="s">
        <v>258</v>
      </c>
      <c r="B158" t="s">
        <v>259</v>
      </c>
      <c r="C158" t="s">
        <v>61</v>
      </c>
      <c r="E158" t="str">
        <f>"009942142059"</f>
        <v>009942142059</v>
      </c>
      <c r="F158" s="4">
        <v>45007</v>
      </c>
      <c r="G158">
        <v>202312</v>
      </c>
      <c r="H158" t="s">
        <v>123</v>
      </c>
      <c r="I158" t="s">
        <v>124</v>
      </c>
      <c r="J158" t="s">
        <v>411</v>
      </c>
      <c r="K158" t="s">
        <v>64</v>
      </c>
      <c r="L158" t="s">
        <v>119</v>
      </c>
      <c r="M158" t="s">
        <v>120</v>
      </c>
      <c r="N158" t="s">
        <v>272</v>
      </c>
      <c r="O158" t="s">
        <v>96</v>
      </c>
      <c r="P158" t="str">
        <f>"NOREF                         "</f>
        <v xml:space="preserve">NOREF 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5.25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46.31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</v>
      </c>
      <c r="BJ158" s="3">
        <v>0.2</v>
      </c>
      <c r="BK158" s="3">
        <v>1</v>
      </c>
      <c r="BL158" s="3">
        <v>135.76</v>
      </c>
      <c r="BM158" s="3">
        <v>20.36</v>
      </c>
      <c r="BN158" s="3">
        <v>156.12</v>
      </c>
      <c r="BO158" s="3">
        <v>156.12</v>
      </c>
      <c r="BQ158" t="s">
        <v>305</v>
      </c>
      <c r="BR158" t="s">
        <v>187</v>
      </c>
      <c r="BS158" s="1">
        <v>45008</v>
      </c>
      <c r="BT158" s="2">
        <v>0.34375</v>
      </c>
      <c r="BU158" t="s">
        <v>505</v>
      </c>
      <c r="BV158" t="s">
        <v>69</v>
      </c>
      <c r="BY158">
        <v>1200</v>
      </c>
      <c r="BZ158" t="s">
        <v>97</v>
      </c>
      <c r="CA158" t="s">
        <v>149</v>
      </c>
      <c r="CC158" t="s">
        <v>120</v>
      </c>
      <c r="CD158">
        <v>2013</v>
      </c>
      <c r="CE158" t="s">
        <v>83</v>
      </c>
      <c r="CF158" s="1">
        <v>45009</v>
      </c>
      <c r="CI158">
        <v>1</v>
      </c>
      <c r="CJ158">
        <v>1</v>
      </c>
      <c r="CK158">
        <v>41</v>
      </c>
      <c r="CL158" t="s">
        <v>72</v>
      </c>
    </row>
    <row r="159" spans="1:90" x14ac:dyDescent="0.3">
      <c r="A159" t="s">
        <v>258</v>
      </c>
      <c r="B159" t="s">
        <v>259</v>
      </c>
      <c r="C159" t="s">
        <v>61</v>
      </c>
      <c r="E159" t="str">
        <f>"009942989027"</f>
        <v>009942989027</v>
      </c>
      <c r="F159" s="4">
        <v>45007</v>
      </c>
      <c r="G159">
        <v>202312</v>
      </c>
      <c r="H159" t="s">
        <v>119</v>
      </c>
      <c r="I159" t="s">
        <v>120</v>
      </c>
      <c r="J159" t="s">
        <v>405</v>
      </c>
      <c r="K159" t="s">
        <v>64</v>
      </c>
      <c r="L159" t="s">
        <v>119</v>
      </c>
      <c r="M159" t="s">
        <v>120</v>
      </c>
      <c r="N159" t="s">
        <v>406</v>
      </c>
      <c r="O159" t="s">
        <v>67</v>
      </c>
      <c r="P159" t="str">
        <f>"..                            "</f>
        <v xml:space="preserve">..    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18.71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0.2</v>
      </c>
      <c r="BK159" s="3">
        <v>1</v>
      </c>
      <c r="BL159" s="3">
        <v>52.72</v>
      </c>
      <c r="BM159" s="3">
        <v>7.91</v>
      </c>
      <c r="BN159" s="3">
        <v>60.63</v>
      </c>
      <c r="BO159" s="3">
        <v>60.63</v>
      </c>
      <c r="BQ159" t="s">
        <v>214</v>
      </c>
      <c r="BR159" t="s">
        <v>235</v>
      </c>
      <c r="BS159" s="1">
        <v>45008</v>
      </c>
      <c r="BT159" s="2">
        <v>0.3444444444444445</v>
      </c>
      <c r="BU159" t="s">
        <v>505</v>
      </c>
      <c r="BV159" t="s">
        <v>69</v>
      </c>
      <c r="BY159">
        <v>1200</v>
      </c>
      <c r="BZ159" t="s">
        <v>70</v>
      </c>
      <c r="CA159" t="s">
        <v>149</v>
      </c>
      <c r="CC159" t="s">
        <v>120</v>
      </c>
      <c r="CD159">
        <v>2013</v>
      </c>
      <c r="CE159" t="s">
        <v>83</v>
      </c>
      <c r="CF159" s="1">
        <v>45009</v>
      </c>
      <c r="CI159">
        <v>1</v>
      </c>
      <c r="CJ159">
        <v>1</v>
      </c>
      <c r="CK159">
        <v>22</v>
      </c>
      <c r="CL159" t="s">
        <v>72</v>
      </c>
    </row>
    <row r="160" spans="1:90" x14ac:dyDescent="0.3">
      <c r="A160" t="s">
        <v>258</v>
      </c>
      <c r="B160" t="s">
        <v>259</v>
      </c>
      <c r="C160" t="s">
        <v>61</v>
      </c>
      <c r="E160" t="str">
        <f>"009943245443"</f>
        <v>009943245443</v>
      </c>
      <c r="F160" s="4">
        <v>45007</v>
      </c>
      <c r="G160">
        <v>202312</v>
      </c>
      <c r="H160" t="s">
        <v>101</v>
      </c>
      <c r="I160" t="s">
        <v>102</v>
      </c>
      <c r="J160" t="s">
        <v>472</v>
      </c>
      <c r="K160" t="s">
        <v>64</v>
      </c>
      <c r="L160" t="s">
        <v>119</v>
      </c>
      <c r="M160" t="s">
        <v>120</v>
      </c>
      <c r="N160" t="s">
        <v>272</v>
      </c>
      <c r="O160" t="s">
        <v>67</v>
      </c>
      <c r="P160" t="str">
        <f>"CINDY                         "</f>
        <v xml:space="preserve">CINDY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23.95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1</v>
      </c>
      <c r="BJ160" s="3">
        <v>0.2</v>
      </c>
      <c r="BK160" s="3">
        <v>1</v>
      </c>
      <c r="BL160" s="3">
        <v>67.489999999999995</v>
      </c>
      <c r="BM160" s="3">
        <v>10.119999999999999</v>
      </c>
      <c r="BN160" s="3">
        <v>77.61</v>
      </c>
      <c r="BO160" s="3">
        <v>77.61</v>
      </c>
      <c r="BR160" t="s">
        <v>191</v>
      </c>
      <c r="BS160" s="1">
        <v>45008</v>
      </c>
      <c r="BT160" s="2">
        <v>0.3444444444444445</v>
      </c>
      <c r="BU160" t="s">
        <v>505</v>
      </c>
      <c r="BV160" t="s">
        <v>69</v>
      </c>
      <c r="BY160">
        <v>1200</v>
      </c>
      <c r="BZ160" t="s">
        <v>70</v>
      </c>
      <c r="CA160" t="s">
        <v>149</v>
      </c>
      <c r="CC160" t="s">
        <v>120</v>
      </c>
      <c r="CD160">
        <v>2190</v>
      </c>
      <c r="CE160" t="s">
        <v>83</v>
      </c>
      <c r="CF160" s="1">
        <v>45009</v>
      </c>
      <c r="CI160">
        <v>1</v>
      </c>
      <c r="CJ160">
        <v>1</v>
      </c>
      <c r="CK160">
        <v>21</v>
      </c>
      <c r="CL160" t="s">
        <v>72</v>
      </c>
    </row>
    <row r="161" spans="1:90" x14ac:dyDescent="0.3">
      <c r="A161" t="s">
        <v>258</v>
      </c>
      <c r="B161" t="s">
        <v>259</v>
      </c>
      <c r="C161" t="s">
        <v>61</v>
      </c>
      <c r="E161" t="str">
        <f>"009941301644"</f>
        <v>009941301644</v>
      </c>
      <c r="F161" s="4">
        <v>45007</v>
      </c>
      <c r="G161">
        <v>202312</v>
      </c>
      <c r="H161" t="s">
        <v>119</v>
      </c>
      <c r="I161" t="s">
        <v>120</v>
      </c>
      <c r="J161" t="s">
        <v>390</v>
      </c>
      <c r="K161" t="s">
        <v>64</v>
      </c>
      <c r="L161" t="s">
        <v>119</v>
      </c>
      <c r="M161" t="s">
        <v>120</v>
      </c>
      <c r="N161" t="s">
        <v>272</v>
      </c>
      <c r="O161" t="s">
        <v>96</v>
      </c>
      <c r="P161" t="str">
        <f>"N A                           "</f>
        <v xml:space="preserve">N A   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5.25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35.729999999999997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1</v>
      </c>
      <c r="BJ161" s="3">
        <v>0.2</v>
      </c>
      <c r="BK161" s="3">
        <v>1</v>
      </c>
      <c r="BL161" s="3">
        <v>105.95</v>
      </c>
      <c r="BM161" s="3">
        <v>15.89</v>
      </c>
      <c r="BN161" s="3">
        <v>121.84</v>
      </c>
      <c r="BO161" s="3">
        <v>121.84</v>
      </c>
      <c r="BQ161" t="s">
        <v>313</v>
      </c>
      <c r="BR161" t="s">
        <v>235</v>
      </c>
      <c r="BS161" s="1">
        <v>45008</v>
      </c>
      <c r="BT161" s="2">
        <v>0.34236111111111112</v>
      </c>
      <c r="BU161" t="s">
        <v>505</v>
      </c>
      <c r="BV161" t="s">
        <v>69</v>
      </c>
      <c r="BY161">
        <v>1200</v>
      </c>
      <c r="BZ161" t="s">
        <v>97</v>
      </c>
      <c r="CA161" t="s">
        <v>149</v>
      </c>
      <c r="CC161" t="s">
        <v>120</v>
      </c>
      <c r="CD161">
        <v>2013</v>
      </c>
      <c r="CE161" t="s">
        <v>83</v>
      </c>
      <c r="CF161" s="1">
        <v>45009</v>
      </c>
      <c r="CI161">
        <v>1</v>
      </c>
      <c r="CJ161">
        <v>1</v>
      </c>
      <c r="CK161">
        <v>42</v>
      </c>
      <c r="CL161" t="s">
        <v>72</v>
      </c>
    </row>
    <row r="162" spans="1:90" x14ac:dyDescent="0.3">
      <c r="A162" t="s">
        <v>258</v>
      </c>
      <c r="B162" t="s">
        <v>259</v>
      </c>
      <c r="C162" t="s">
        <v>61</v>
      </c>
      <c r="E162" t="str">
        <f>"009943256545"</f>
        <v>009943256545</v>
      </c>
      <c r="F162" s="4">
        <v>45007</v>
      </c>
      <c r="G162">
        <v>202312</v>
      </c>
      <c r="H162" t="s">
        <v>101</v>
      </c>
      <c r="I162" t="s">
        <v>102</v>
      </c>
      <c r="J162" t="s">
        <v>288</v>
      </c>
      <c r="K162" t="s">
        <v>64</v>
      </c>
      <c r="L162" t="s">
        <v>119</v>
      </c>
      <c r="M162" t="s">
        <v>120</v>
      </c>
      <c r="N162" t="s">
        <v>272</v>
      </c>
      <c r="O162" t="s">
        <v>67</v>
      </c>
      <c r="P162" t="str">
        <f>"MBALI                         "</f>
        <v xml:space="preserve">MBALI 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23.95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1</v>
      </c>
      <c r="BJ162" s="3">
        <v>0.2</v>
      </c>
      <c r="BK162" s="3">
        <v>1</v>
      </c>
      <c r="BL162" s="3">
        <v>67.489999999999995</v>
      </c>
      <c r="BM162" s="3">
        <v>10.119999999999999</v>
      </c>
      <c r="BN162" s="3">
        <v>77.61</v>
      </c>
      <c r="BO162" s="3">
        <v>77.61</v>
      </c>
      <c r="BR162" t="s">
        <v>539</v>
      </c>
      <c r="BS162" s="1">
        <v>45008</v>
      </c>
      <c r="BT162" s="2">
        <v>0.3444444444444445</v>
      </c>
      <c r="BU162" t="s">
        <v>540</v>
      </c>
      <c r="BV162" t="s">
        <v>69</v>
      </c>
      <c r="BY162">
        <v>1200</v>
      </c>
      <c r="BZ162" t="s">
        <v>70</v>
      </c>
      <c r="CC162" t="s">
        <v>120</v>
      </c>
      <c r="CD162">
        <v>2013</v>
      </c>
      <c r="CE162" t="s">
        <v>83</v>
      </c>
      <c r="CF162" s="1">
        <v>45009</v>
      </c>
      <c r="CI162">
        <v>1</v>
      </c>
      <c r="CJ162">
        <v>1</v>
      </c>
      <c r="CK162">
        <v>21</v>
      </c>
      <c r="CL162" t="s">
        <v>72</v>
      </c>
    </row>
    <row r="163" spans="1:90" x14ac:dyDescent="0.3">
      <c r="A163" t="s">
        <v>258</v>
      </c>
      <c r="B163" t="s">
        <v>259</v>
      </c>
      <c r="C163" t="s">
        <v>61</v>
      </c>
      <c r="E163" t="str">
        <f>"009942844535"</f>
        <v>009942844535</v>
      </c>
      <c r="F163" s="4">
        <v>45007</v>
      </c>
      <c r="G163">
        <v>202312</v>
      </c>
      <c r="H163" t="s">
        <v>114</v>
      </c>
      <c r="I163" t="s">
        <v>115</v>
      </c>
      <c r="J163" t="s">
        <v>541</v>
      </c>
      <c r="K163" t="s">
        <v>64</v>
      </c>
      <c r="L163" t="s">
        <v>119</v>
      </c>
      <c r="M163" t="s">
        <v>120</v>
      </c>
      <c r="N163" t="s">
        <v>272</v>
      </c>
      <c r="O163" t="s">
        <v>96</v>
      </c>
      <c r="P163" t="str">
        <f>"N A                           "</f>
        <v xml:space="preserve">N A   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5.25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35.729999999999997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1</v>
      </c>
      <c r="BJ163" s="3">
        <v>0.2</v>
      </c>
      <c r="BK163" s="3">
        <v>1</v>
      </c>
      <c r="BL163" s="3">
        <v>105.95</v>
      </c>
      <c r="BM163" s="3">
        <v>15.89</v>
      </c>
      <c r="BN163" s="3">
        <v>121.84</v>
      </c>
      <c r="BO163" s="3">
        <v>121.84</v>
      </c>
      <c r="BQ163" t="s">
        <v>249</v>
      </c>
      <c r="BR163" t="s">
        <v>214</v>
      </c>
      <c r="BS163" s="1">
        <v>45008</v>
      </c>
      <c r="BT163" s="2">
        <v>0.34166666666666662</v>
      </c>
      <c r="BU163" t="s">
        <v>505</v>
      </c>
      <c r="BV163" t="s">
        <v>69</v>
      </c>
      <c r="BY163">
        <v>1200</v>
      </c>
      <c r="BZ163" t="s">
        <v>97</v>
      </c>
      <c r="CA163" t="s">
        <v>149</v>
      </c>
      <c r="CC163" t="s">
        <v>120</v>
      </c>
      <c r="CD163">
        <v>2013</v>
      </c>
      <c r="CE163" t="s">
        <v>83</v>
      </c>
      <c r="CF163" s="1">
        <v>45009</v>
      </c>
      <c r="CI163">
        <v>1</v>
      </c>
      <c r="CJ163">
        <v>1</v>
      </c>
      <c r="CK163">
        <v>42</v>
      </c>
      <c r="CL163" t="s">
        <v>72</v>
      </c>
    </row>
    <row r="164" spans="1:90" x14ac:dyDescent="0.3">
      <c r="A164" t="s">
        <v>258</v>
      </c>
      <c r="B164" t="s">
        <v>259</v>
      </c>
      <c r="C164" t="s">
        <v>61</v>
      </c>
      <c r="E164" t="str">
        <f>"009943093630"</f>
        <v>009943093630</v>
      </c>
      <c r="F164" s="4">
        <v>45007</v>
      </c>
      <c r="G164">
        <v>202312</v>
      </c>
      <c r="H164" t="s">
        <v>105</v>
      </c>
      <c r="I164" t="s">
        <v>106</v>
      </c>
      <c r="J164" t="s">
        <v>288</v>
      </c>
      <c r="K164" t="s">
        <v>64</v>
      </c>
      <c r="L164" t="s">
        <v>119</v>
      </c>
      <c r="M164" t="s">
        <v>120</v>
      </c>
      <c r="N164" t="s">
        <v>272</v>
      </c>
      <c r="O164" t="s">
        <v>96</v>
      </c>
      <c r="P164" t="str">
        <f>"NOREF                         "</f>
        <v xml:space="preserve">NOREF 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5.25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46.31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1</v>
      </c>
      <c r="BJ164" s="3">
        <v>0.2</v>
      </c>
      <c r="BK164" s="3">
        <v>1</v>
      </c>
      <c r="BL164" s="3">
        <v>135.76</v>
      </c>
      <c r="BM164" s="3">
        <v>20.36</v>
      </c>
      <c r="BN164" s="3">
        <v>156.12</v>
      </c>
      <c r="BO164" s="3">
        <v>156.12</v>
      </c>
      <c r="BQ164" t="s">
        <v>305</v>
      </c>
      <c r="BR164" t="s">
        <v>187</v>
      </c>
      <c r="BS164" s="1">
        <v>45008</v>
      </c>
      <c r="BT164" s="2">
        <v>0.34166666666666662</v>
      </c>
      <c r="BU164" t="s">
        <v>505</v>
      </c>
      <c r="BV164" t="s">
        <v>69</v>
      </c>
      <c r="BY164">
        <v>1200</v>
      </c>
      <c r="BZ164" t="s">
        <v>97</v>
      </c>
      <c r="CA164" t="s">
        <v>149</v>
      </c>
      <c r="CC164" t="s">
        <v>120</v>
      </c>
      <c r="CD164">
        <v>2013</v>
      </c>
      <c r="CE164" t="s">
        <v>83</v>
      </c>
      <c r="CF164" s="1">
        <v>45009</v>
      </c>
      <c r="CI164">
        <v>1</v>
      </c>
      <c r="CJ164">
        <v>1</v>
      </c>
      <c r="CK164">
        <v>41</v>
      </c>
      <c r="CL164" t="s">
        <v>72</v>
      </c>
    </row>
    <row r="165" spans="1:90" x14ac:dyDescent="0.3">
      <c r="A165" t="s">
        <v>258</v>
      </c>
      <c r="B165" t="s">
        <v>259</v>
      </c>
      <c r="C165" t="s">
        <v>61</v>
      </c>
      <c r="E165" t="str">
        <f>"009943204651"</f>
        <v>009943204651</v>
      </c>
      <c r="F165" s="4">
        <v>45007</v>
      </c>
      <c r="G165">
        <v>202312</v>
      </c>
      <c r="H165" t="s">
        <v>105</v>
      </c>
      <c r="I165" t="s">
        <v>106</v>
      </c>
      <c r="J165" t="s">
        <v>288</v>
      </c>
      <c r="K165" t="s">
        <v>64</v>
      </c>
      <c r="L165" t="s">
        <v>119</v>
      </c>
      <c r="M165" t="s">
        <v>120</v>
      </c>
      <c r="N165" t="s">
        <v>542</v>
      </c>
      <c r="O165" t="s">
        <v>96</v>
      </c>
      <c r="P165" t="str">
        <f>"NOREF                         "</f>
        <v xml:space="preserve">NOREF 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5.25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46.31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1</v>
      </c>
      <c r="BJ165" s="3">
        <v>0.2</v>
      </c>
      <c r="BK165" s="3">
        <v>1</v>
      </c>
      <c r="BL165" s="3">
        <v>135.76</v>
      </c>
      <c r="BM165" s="3">
        <v>20.36</v>
      </c>
      <c r="BN165" s="3">
        <v>156.12</v>
      </c>
      <c r="BO165" s="3">
        <v>156.12</v>
      </c>
      <c r="BQ165" t="s">
        <v>305</v>
      </c>
      <c r="BR165" t="s">
        <v>187</v>
      </c>
      <c r="BS165" s="1">
        <v>45008</v>
      </c>
      <c r="BT165" s="2">
        <v>0.34652777777777777</v>
      </c>
      <c r="BU165" t="s">
        <v>505</v>
      </c>
      <c r="BV165" t="s">
        <v>69</v>
      </c>
      <c r="BY165">
        <v>1200</v>
      </c>
      <c r="BZ165" t="s">
        <v>97</v>
      </c>
      <c r="CA165" t="s">
        <v>149</v>
      </c>
      <c r="CC165" t="s">
        <v>120</v>
      </c>
      <c r="CD165">
        <v>2190</v>
      </c>
      <c r="CE165" t="s">
        <v>83</v>
      </c>
      <c r="CF165" s="1">
        <v>45009</v>
      </c>
      <c r="CI165">
        <v>1</v>
      </c>
      <c r="CJ165">
        <v>1</v>
      </c>
      <c r="CK165">
        <v>41</v>
      </c>
      <c r="CL165" t="s">
        <v>72</v>
      </c>
    </row>
    <row r="166" spans="1:90" x14ac:dyDescent="0.3">
      <c r="A166" t="s">
        <v>258</v>
      </c>
      <c r="B166" t="s">
        <v>259</v>
      </c>
      <c r="C166" t="s">
        <v>61</v>
      </c>
      <c r="E166" t="str">
        <f>"009940447985"</f>
        <v>009940447985</v>
      </c>
      <c r="F166" s="4">
        <v>45007</v>
      </c>
      <c r="G166">
        <v>202312</v>
      </c>
      <c r="H166" t="s">
        <v>65</v>
      </c>
      <c r="I166" t="s">
        <v>66</v>
      </c>
      <c r="J166" t="s">
        <v>288</v>
      </c>
      <c r="K166" t="s">
        <v>64</v>
      </c>
      <c r="L166" t="s">
        <v>119</v>
      </c>
      <c r="M166" t="s">
        <v>120</v>
      </c>
      <c r="N166" t="s">
        <v>319</v>
      </c>
      <c r="O166" t="s">
        <v>67</v>
      </c>
      <c r="P166" t="str">
        <f>"                              "</f>
        <v xml:space="preserve">      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23.95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0.4</v>
      </c>
      <c r="BJ166" s="3">
        <v>1.7</v>
      </c>
      <c r="BK166" s="3">
        <v>2</v>
      </c>
      <c r="BL166" s="3">
        <v>67.489999999999995</v>
      </c>
      <c r="BM166" s="3">
        <v>10.119999999999999</v>
      </c>
      <c r="BN166" s="3">
        <v>77.61</v>
      </c>
      <c r="BO166" s="3">
        <v>77.61</v>
      </c>
      <c r="BQ166" t="s">
        <v>313</v>
      </c>
      <c r="BR166" t="s">
        <v>320</v>
      </c>
      <c r="BS166" s="1">
        <v>45009</v>
      </c>
      <c r="BT166" s="2">
        <v>0.38055555555555554</v>
      </c>
      <c r="BU166" t="s">
        <v>281</v>
      </c>
      <c r="BV166" t="s">
        <v>72</v>
      </c>
      <c r="BW166" t="s">
        <v>103</v>
      </c>
      <c r="BX166" t="s">
        <v>155</v>
      </c>
      <c r="BY166">
        <v>8412.5300000000007</v>
      </c>
      <c r="BZ166" t="s">
        <v>70</v>
      </c>
      <c r="CA166" t="s">
        <v>149</v>
      </c>
      <c r="CC166" t="s">
        <v>120</v>
      </c>
      <c r="CD166">
        <v>2000</v>
      </c>
      <c r="CE166" t="s">
        <v>83</v>
      </c>
      <c r="CF166" s="1">
        <v>45010</v>
      </c>
      <c r="CI166">
        <v>1</v>
      </c>
      <c r="CJ166">
        <v>2</v>
      </c>
      <c r="CK166">
        <v>21</v>
      </c>
      <c r="CL166" t="s">
        <v>72</v>
      </c>
    </row>
    <row r="167" spans="1:90" x14ac:dyDescent="0.3">
      <c r="A167" t="s">
        <v>258</v>
      </c>
      <c r="B167" t="s">
        <v>259</v>
      </c>
      <c r="C167" t="s">
        <v>61</v>
      </c>
      <c r="E167" t="str">
        <f>"009943251572"</f>
        <v>009943251572</v>
      </c>
      <c r="F167" s="4">
        <v>45007</v>
      </c>
      <c r="G167">
        <v>202312</v>
      </c>
      <c r="H167" t="s">
        <v>200</v>
      </c>
      <c r="I167" t="s">
        <v>201</v>
      </c>
      <c r="J167" t="s">
        <v>288</v>
      </c>
      <c r="K167" t="s">
        <v>64</v>
      </c>
      <c r="L167" t="s">
        <v>119</v>
      </c>
      <c r="M167" t="s">
        <v>120</v>
      </c>
      <c r="N167" t="s">
        <v>543</v>
      </c>
      <c r="O167" t="s">
        <v>96</v>
      </c>
      <c r="P167" t="str">
        <f>"                              "</f>
        <v xml:space="preserve">      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5.25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46.31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1</v>
      </c>
      <c r="BJ167" s="3">
        <v>0.2</v>
      </c>
      <c r="BK167" s="3">
        <v>1</v>
      </c>
      <c r="BL167" s="3">
        <v>135.76</v>
      </c>
      <c r="BM167" s="3">
        <v>20.36</v>
      </c>
      <c r="BN167" s="3">
        <v>156.12</v>
      </c>
      <c r="BO167" s="3">
        <v>156.12</v>
      </c>
      <c r="BS167" s="1">
        <v>45008</v>
      </c>
      <c r="BT167" s="2">
        <v>0.46388888888888885</v>
      </c>
      <c r="BU167" t="s">
        <v>544</v>
      </c>
      <c r="BV167" t="s">
        <v>69</v>
      </c>
      <c r="BY167">
        <v>1200</v>
      </c>
      <c r="BZ167" t="s">
        <v>97</v>
      </c>
      <c r="CA167" t="s">
        <v>545</v>
      </c>
      <c r="CC167" t="s">
        <v>120</v>
      </c>
      <c r="CD167">
        <v>2013</v>
      </c>
      <c r="CE167" t="s">
        <v>83</v>
      </c>
      <c r="CF167" s="1">
        <v>45009</v>
      </c>
      <c r="CI167">
        <v>1</v>
      </c>
      <c r="CJ167">
        <v>1</v>
      </c>
      <c r="CK167">
        <v>41</v>
      </c>
      <c r="CL167" t="s">
        <v>72</v>
      </c>
    </row>
    <row r="168" spans="1:90" x14ac:dyDescent="0.3">
      <c r="A168" t="s">
        <v>258</v>
      </c>
      <c r="B168" t="s">
        <v>259</v>
      </c>
      <c r="C168" t="s">
        <v>61</v>
      </c>
      <c r="E168" t="str">
        <f>"009941849616"</f>
        <v>009941849616</v>
      </c>
      <c r="F168" s="4">
        <v>45007</v>
      </c>
      <c r="G168">
        <v>202312</v>
      </c>
      <c r="H168" t="s">
        <v>150</v>
      </c>
      <c r="I168" t="s">
        <v>151</v>
      </c>
      <c r="J168" t="s">
        <v>432</v>
      </c>
      <c r="K168" t="s">
        <v>64</v>
      </c>
      <c r="L168" t="s">
        <v>119</v>
      </c>
      <c r="M168" t="s">
        <v>120</v>
      </c>
      <c r="N168" t="s">
        <v>319</v>
      </c>
      <c r="O168" t="s">
        <v>96</v>
      </c>
      <c r="P168" t="str">
        <f>"                              "</f>
        <v xml:space="preserve">      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5.25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51.14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0.2</v>
      </c>
      <c r="BK168" s="3">
        <v>1</v>
      </c>
      <c r="BL168" s="3">
        <v>149.38</v>
      </c>
      <c r="BM168" s="3">
        <v>22.41</v>
      </c>
      <c r="BN168" s="3">
        <v>171.79</v>
      </c>
      <c r="BO168" s="3">
        <v>171.79</v>
      </c>
      <c r="BQ168" t="s">
        <v>313</v>
      </c>
      <c r="BR168" t="s">
        <v>235</v>
      </c>
      <c r="BS168" s="1">
        <v>45008</v>
      </c>
      <c r="BT168" s="2">
        <v>0.34652777777777777</v>
      </c>
      <c r="BU168" t="s">
        <v>505</v>
      </c>
      <c r="BV168" t="s">
        <v>69</v>
      </c>
      <c r="BY168">
        <v>1200</v>
      </c>
      <c r="BZ168" t="s">
        <v>97</v>
      </c>
      <c r="CA168" t="s">
        <v>149</v>
      </c>
      <c r="CC168" t="s">
        <v>120</v>
      </c>
      <c r="CD168">
        <v>2013</v>
      </c>
      <c r="CE168" t="s">
        <v>83</v>
      </c>
      <c r="CF168" s="1">
        <v>45009</v>
      </c>
      <c r="CI168">
        <v>1</v>
      </c>
      <c r="CJ168">
        <v>1</v>
      </c>
      <c r="CK168">
        <v>44</v>
      </c>
      <c r="CL168" t="s">
        <v>72</v>
      </c>
    </row>
    <row r="169" spans="1:90" x14ac:dyDescent="0.3">
      <c r="A169" t="s">
        <v>258</v>
      </c>
      <c r="B169" t="s">
        <v>259</v>
      </c>
      <c r="C169" t="s">
        <v>61</v>
      </c>
      <c r="E169" t="str">
        <f>"009943116642"</f>
        <v>009943116642</v>
      </c>
      <c r="F169" s="4">
        <v>45007</v>
      </c>
      <c r="G169">
        <v>202312</v>
      </c>
      <c r="H169" t="s">
        <v>119</v>
      </c>
      <c r="I169" t="s">
        <v>120</v>
      </c>
      <c r="J169" t="s">
        <v>260</v>
      </c>
      <c r="K169" t="s">
        <v>64</v>
      </c>
      <c r="L169" t="s">
        <v>80</v>
      </c>
      <c r="M169" t="s">
        <v>81</v>
      </c>
      <c r="N169" t="s">
        <v>546</v>
      </c>
      <c r="O169" t="s">
        <v>203</v>
      </c>
      <c r="P169" t="str">
        <f>"N A                           "</f>
        <v xml:space="preserve">N A  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18.71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2</v>
      </c>
      <c r="BJ169" s="3">
        <v>1.2</v>
      </c>
      <c r="BK169" s="3">
        <v>2</v>
      </c>
      <c r="BL169" s="3">
        <v>52.73</v>
      </c>
      <c r="BM169" s="3">
        <v>7.91</v>
      </c>
      <c r="BN169" s="3">
        <v>60.64</v>
      </c>
      <c r="BO169" s="3">
        <v>60.64</v>
      </c>
      <c r="BQ169" t="s">
        <v>214</v>
      </c>
      <c r="BR169" t="s">
        <v>263</v>
      </c>
      <c r="BS169" s="1">
        <v>45008</v>
      </c>
      <c r="BT169" s="2">
        <v>0.34166666666666662</v>
      </c>
      <c r="BU169" t="s">
        <v>547</v>
      </c>
      <c r="BV169" t="s">
        <v>69</v>
      </c>
      <c r="BY169">
        <v>6000</v>
      </c>
      <c r="BZ169" t="s">
        <v>97</v>
      </c>
      <c r="CA169" t="s">
        <v>184</v>
      </c>
      <c r="CC169" t="s">
        <v>81</v>
      </c>
      <c r="CD169">
        <v>1500</v>
      </c>
      <c r="CE169" t="s">
        <v>83</v>
      </c>
      <c r="CF169" s="1">
        <v>45009</v>
      </c>
      <c r="CI169">
        <v>1</v>
      </c>
      <c r="CJ169">
        <v>1</v>
      </c>
      <c r="CK169">
        <v>32</v>
      </c>
      <c r="CL169" t="s">
        <v>72</v>
      </c>
    </row>
    <row r="170" spans="1:90" x14ac:dyDescent="0.3">
      <c r="A170" t="s">
        <v>258</v>
      </c>
      <c r="B170" t="s">
        <v>259</v>
      </c>
      <c r="C170" t="s">
        <v>61</v>
      </c>
      <c r="E170" t="str">
        <f>"009943116655"</f>
        <v>009943116655</v>
      </c>
      <c r="F170" s="4">
        <v>45007</v>
      </c>
      <c r="G170">
        <v>202312</v>
      </c>
      <c r="H170" t="s">
        <v>119</v>
      </c>
      <c r="I170" t="s">
        <v>120</v>
      </c>
      <c r="J170" t="s">
        <v>260</v>
      </c>
      <c r="K170" t="s">
        <v>64</v>
      </c>
      <c r="L170" t="s">
        <v>119</v>
      </c>
      <c r="M170" t="s">
        <v>120</v>
      </c>
      <c r="N170" t="s">
        <v>548</v>
      </c>
      <c r="O170" t="s">
        <v>203</v>
      </c>
      <c r="P170" t="str">
        <f>"N A                           "</f>
        <v xml:space="preserve">N A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18.71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1</v>
      </c>
      <c r="BJ170" s="3">
        <v>1.2</v>
      </c>
      <c r="BK170" s="3">
        <v>2</v>
      </c>
      <c r="BL170" s="3">
        <v>52.73</v>
      </c>
      <c r="BM170" s="3">
        <v>7.91</v>
      </c>
      <c r="BN170" s="3">
        <v>60.64</v>
      </c>
      <c r="BO170" s="3">
        <v>60.64</v>
      </c>
      <c r="BQ170" t="s">
        <v>214</v>
      </c>
      <c r="BR170" t="s">
        <v>263</v>
      </c>
      <c r="BS170" s="1">
        <v>45008</v>
      </c>
      <c r="BT170" s="2">
        <v>0.47430555555555554</v>
      </c>
      <c r="BU170" t="s">
        <v>549</v>
      </c>
      <c r="BV170" t="s">
        <v>69</v>
      </c>
      <c r="BY170">
        <v>6000</v>
      </c>
      <c r="BZ170" t="s">
        <v>97</v>
      </c>
      <c r="CA170" t="s">
        <v>550</v>
      </c>
      <c r="CC170" t="s">
        <v>120</v>
      </c>
      <c r="CD170">
        <v>2090</v>
      </c>
      <c r="CE170" t="s">
        <v>83</v>
      </c>
      <c r="CF170" s="1">
        <v>45009</v>
      </c>
      <c r="CI170">
        <v>1</v>
      </c>
      <c r="CJ170">
        <v>1</v>
      </c>
      <c r="CK170">
        <v>32</v>
      </c>
      <c r="CL170" t="s">
        <v>72</v>
      </c>
    </row>
    <row r="171" spans="1:90" x14ac:dyDescent="0.3">
      <c r="A171" t="s">
        <v>258</v>
      </c>
      <c r="B171" t="s">
        <v>259</v>
      </c>
      <c r="C171" t="s">
        <v>61</v>
      </c>
      <c r="E171" t="str">
        <f>"009941300045"</f>
        <v>009941300045</v>
      </c>
      <c r="F171" s="4">
        <v>45007</v>
      </c>
      <c r="G171">
        <v>202312</v>
      </c>
      <c r="H171" t="s">
        <v>119</v>
      </c>
      <c r="I171" t="s">
        <v>120</v>
      </c>
      <c r="J171" t="s">
        <v>390</v>
      </c>
      <c r="K171" t="s">
        <v>64</v>
      </c>
      <c r="L171" t="s">
        <v>119</v>
      </c>
      <c r="M171" t="s">
        <v>120</v>
      </c>
      <c r="N171" t="s">
        <v>272</v>
      </c>
      <c r="O171" t="s">
        <v>96</v>
      </c>
      <c r="P171" t="str">
        <f>"N A                           "</f>
        <v xml:space="preserve">N A   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5.25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35.729999999999997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1</v>
      </c>
      <c r="BJ171" s="3">
        <v>0.2</v>
      </c>
      <c r="BK171" s="3">
        <v>1</v>
      </c>
      <c r="BL171" s="3">
        <v>105.95</v>
      </c>
      <c r="BM171" s="3">
        <v>15.89</v>
      </c>
      <c r="BN171" s="3">
        <v>121.84</v>
      </c>
      <c r="BO171" s="3">
        <v>121.84</v>
      </c>
      <c r="BQ171" t="s">
        <v>214</v>
      </c>
      <c r="BR171" t="s">
        <v>214</v>
      </c>
      <c r="BS171" s="1">
        <v>45008</v>
      </c>
      <c r="BT171" s="2">
        <v>0.34722222222222227</v>
      </c>
      <c r="BU171" t="s">
        <v>505</v>
      </c>
      <c r="BV171" t="s">
        <v>69</v>
      </c>
      <c r="BY171">
        <v>1200</v>
      </c>
      <c r="BZ171" t="s">
        <v>97</v>
      </c>
      <c r="CA171" t="s">
        <v>149</v>
      </c>
      <c r="CC171" t="s">
        <v>120</v>
      </c>
      <c r="CD171">
        <v>2013</v>
      </c>
      <c r="CE171" t="s">
        <v>83</v>
      </c>
      <c r="CF171" s="1">
        <v>45009</v>
      </c>
      <c r="CI171">
        <v>1</v>
      </c>
      <c r="CJ171">
        <v>1</v>
      </c>
      <c r="CK171">
        <v>42</v>
      </c>
      <c r="CL171" t="s">
        <v>72</v>
      </c>
    </row>
    <row r="172" spans="1:90" x14ac:dyDescent="0.3">
      <c r="A172" t="s">
        <v>258</v>
      </c>
      <c r="B172" t="s">
        <v>259</v>
      </c>
      <c r="C172" t="s">
        <v>61</v>
      </c>
      <c r="E172" t="str">
        <f>"009943294288"</f>
        <v>009943294288</v>
      </c>
      <c r="F172" s="4">
        <v>45007</v>
      </c>
      <c r="G172">
        <v>202312</v>
      </c>
      <c r="H172" t="s">
        <v>119</v>
      </c>
      <c r="I172" t="s">
        <v>120</v>
      </c>
      <c r="J172" t="s">
        <v>288</v>
      </c>
      <c r="K172" t="s">
        <v>64</v>
      </c>
      <c r="L172" t="s">
        <v>119</v>
      </c>
      <c r="M172" t="s">
        <v>120</v>
      </c>
      <c r="N172" t="s">
        <v>551</v>
      </c>
      <c r="O172" t="s">
        <v>67</v>
      </c>
      <c r="P172" t="str">
        <f>"                              "</f>
        <v xml:space="preserve">     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18.71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0.2</v>
      </c>
      <c r="BJ172" s="3">
        <v>0.7</v>
      </c>
      <c r="BK172" s="3">
        <v>1</v>
      </c>
      <c r="BL172" s="3">
        <v>52.72</v>
      </c>
      <c r="BM172" s="3">
        <v>7.91</v>
      </c>
      <c r="BN172" s="3">
        <v>60.63</v>
      </c>
      <c r="BO172" s="3">
        <v>60.63</v>
      </c>
      <c r="BR172" t="s">
        <v>235</v>
      </c>
      <c r="BS172" s="1">
        <v>45008</v>
      </c>
      <c r="BT172" s="2">
        <v>0.3430555555555555</v>
      </c>
      <c r="BU172" t="s">
        <v>505</v>
      </c>
      <c r="BV172" t="s">
        <v>69</v>
      </c>
      <c r="BY172">
        <v>3484.32</v>
      </c>
      <c r="BZ172" t="s">
        <v>70</v>
      </c>
      <c r="CA172" t="s">
        <v>149</v>
      </c>
      <c r="CC172" t="s">
        <v>120</v>
      </c>
      <c r="CD172">
        <v>2013</v>
      </c>
      <c r="CE172" t="s">
        <v>83</v>
      </c>
      <c r="CF172" s="1">
        <v>45009</v>
      </c>
      <c r="CI172">
        <v>1</v>
      </c>
      <c r="CJ172">
        <v>1</v>
      </c>
      <c r="CK172">
        <v>22</v>
      </c>
      <c r="CL172" t="s">
        <v>72</v>
      </c>
    </row>
    <row r="173" spans="1:90" x14ac:dyDescent="0.3">
      <c r="A173" t="s">
        <v>258</v>
      </c>
      <c r="B173" t="s">
        <v>259</v>
      </c>
      <c r="C173" t="s">
        <v>61</v>
      </c>
      <c r="E173" t="str">
        <f>"009942877374"</f>
        <v>009942877374</v>
      </c>
      <c r="F173" s="4">
        <v>45007</v>
      </c>
      <c r="G173">
        <v>202312</v>
      </c>
      <c r="H173" t="s">
        <v>254</v>
      </c>
      <c r="I173" t="s">
        <v>255</v>
      </c>
      <c r="J173" t="s">
        <v>271</v>
      </c>
      <c r="K173" t="s">
        <v>64</v>
      </c>
      <c r="L173" t="s">
        <v>119</v>
      </c>
      <c r="M173" t="s">
        <v>120</v>
      </c>
      <c r="N173" t="s">
        <v>272</v>
      </c>
      <c r="O173" t="s">
        <v>96</v>
      </c>
      <c r="P173" t="str">
        <f>"                              "</f>
        <v xml:space="preserve">   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5.25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46.31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1</v>
      </c>
      <c r="BJ173" s="3">
        <v>0.2</v>
      </c>
      <c r="BK173" s="3">
        <v>1</v>
      </c>
      <c r="BL173" s="3">
        <v>135.76</v>
      </c>
      <c r="BM173" s="3">
        <v>20.36</v>
      </c>
      <c r="BN173" s="3">
        <v>156.12</v>
      </c>
      <c r="BO173" s="3">
        <v>156.12</v>
      </c>
      <c r="BQ173" t="s">
        <v>313</v>
      </c>
      <c r="BR173" t="s">
        <v>274</v>
      </c>
      <c r="BS173" s="1">
        <v>45008</v>
      </c>
      <c r="BT173" s="2">
        <v>0.34652777777777777</v>
      </c>
      <c r="BU173" t="s">
        <v>540</v>
      </c>
      <c r="BV173" t="s">
        <v>69</v>
      </c>
      <c r="BY173">
        <v>1200</v>
      </c>
      <c r="BZ173" t="s">
        <v>97</v>
      </c>
      <c r="CC173" t="s">
        <v>120</v>
      </c>
      <c r="CD173">
        <v>2190</v>
      </c>
      <c r="CE173" t="s">
        <v>83</v>
      </c>
      <c r="CF173" s="1">
        <v>45009</v>
      </c>
      <c r="CI173">
        <v>1</v>
      </c>
      <c r="CJ173">
        <v>1</v>
      </c>
      <c r="CK173">
        <v>41</v>
      </c>
      <c r="CL173" t="s">
        <v>72</v>
      </c>
    </row>
    <row r="174" spans="1:90" x14ac:dyDescent="0.3">
      <c r="A174" t="s">
        <v>258</v>
      </c>
      <c r="B174" t="s">
        <v>259</v>
      </c>
      <c r="C174" t="s">
        <v>61</v>
      </c>
      <c r="E174" t="str">
        <f>"009943056421"</f>
        <v>009943056421</v>
      </c>
      <c r="F174" s="4">
        <v>45007</v>
      </c>
      <c r="G174">
        <v>202312</v>
      </c>
      <c r="H174" t="s">
        <v>90</v>
      </c>
      <c r="I174" t="s">
        <v>91</v>
      </c>
      <c r="J174" t="s">
        <v>389</v>
      </c>
      <c r="K174" t="s">
        <v>64</v>
      </c>
      <c r="L174" t="s">
        <v>119</v>
      </c>
      <c r="M174" t="s">
        <v>120</v>
      </c>
      <c r="N174" t="s">
        <v>272</v>
      </c>
      <c r="O174" t="s">
        <v>67</v>
      </c>
      <c r="P174" t="str">
        <f>"N A                           "</f>
        <v xml:space="preserve">N A   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18.71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0.2</v>
      </c>
      <c r="BK174" s="3">
        <v>1</v>
      </c>
      <c r="BL174" s="3">
        <v>52.72</v>
      </c>
      <c r="BM174" s="3">
        <v>7.91</v>
      </c>
      <c r="BN174" s="3">
        <v>60.63</v>
      </c>
      <c r="BO174" s="3">
        <v>60.63</v>
      </c>
      <c r="BQ174" t="s">
        <v>249</v>
      </c>
      <c r="BR174" t="s">
        <v>274</v>
      </c>
      <c r="BS174" s="1">
        <v>45008</v>
      </c>
      <c r="BT174" s="2">
        <v>0.34236111111111112</v>
      </c>
      <c r="BU174" t="s">
        <v>505</v>
      </c>
      <c r="BV174" t="s">
        <v>69</v>
      </c>
      <c r="BY174">
        <v>1200</v>
      </c>
      <c r="BZ174" t="s">
        <v>70</v>
      </c>
      <c r="CA174" t="s">
        <v>149</v>
      </c>
      <c r="CC174" t="s">
        <v>120</v>
      </c>
      <c r="CD174">
        <v>2013</v>
      </c>
      <c r="CE174" t="s">
        <v>83</v>
      </c>
      <c r="CF174" s="1">
        <v>45009</v>
      </c>
      <c r="CI174">
        <v>1</v>
      </c>
      <c r="CJ174">
        <v>1</v>
      </c>
      <c r="CK174">
        <v>22</v>
      </c>
      <c r="CL174" t="s">
        <v>72</v>
      </c>
    </row>
    <row r="175" spans="1:90" x14ac:dyDescent="0.3">
      <c r="A175" t="s">
        <v>258</v>
      </c>
      <c r="B175" t="s">
        <v>259</v>
      </c>
      <c r="C175" t="s">
        <v>61</v>
      </c>
      <c r="E175" t="str">
        <f>"009943116651"</f>
        <v>009943116651</v>
      </c>
      <c r="F175" s="4">
        <v>45007</v>
      </c>
      <c r="G175">
        <v>202312</v>
      </c>
      <c r="H175" t="s">
        <v>119</v>
      </c>
      <c r="I175" t="s">
        <v>120</v>
      </c>
      <c r="J175" t="s">
        <v>260</v>
      </c>
      <c r="K175" t="s">
        <v>64</v>
      </c>
      <c r="L175" t="s">
        <v>119</v>
      </c>
      <c r="M175" t="s">
        <v>120</v>
      </c>
      <c r="N175" t="s">
        <v>552</v>
      </c>
      <c r="O175" t="s">
        <v>203</v>
      </c>
      <c r="P175" t="str">
        <f>"N A                           "</f>
        <v xml:space="preserve">N A   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20.81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2</v>
      </c>
      <c r="BJ175" s="3">
        <v>8.8000000000000007</v>
      </c>
      <c r="BK175" s="3">
        <v>9</v>
      </c>
      <c r="BL175" s="3">
        <v>58.65</v>
      </c>
      <c r="BM175" s="3">
        <v>8.8000000000000007</v>
      </c>
      <c r="BN175" s="3">
        <v>67.45</v>
      </c>
      <c r="BO175" s="3">
        <v>67.45</v>
      </c>
      <c r="BQ175" t="s">
        <v>378</v>
      </c>
      <c r="BR175" t="s">
        <v>263</v>
      </c>
      <c r="BS175" s="1">
        <v>45008</v>
      </c>
      <c r="BT175" s="2">
        <v>0.55625000000000002</v>
      </c>
      <c r="BU175" t="s">
        <v>553</v>
      </c>
      <c r="BV175" t="s">
        <v>72</v>
      </c>
      <c r="BW175" t="s">
        <v>98</v>
      </c>
      <c r="BX175" t="s">
        <v>217</v>
      </c>
      <c r="BY175">
        <v>43849.74</v>
      </c>
      <c r="BZ175" t="s">
        <v>97</v>
      </c>
      <c r="CA175" t="s">
        <v>342</v>
      </c>
      <c r="CC175" t="s">
        <v>120</v>
      </c>
      <c r="CD175">
        <v>1724</v>
      </c>
      <c r="CE175" t="s">
        <v>83</v>
      </c>
      <c r="CF175" s="1">
        <v>45009</v>
      </c>
      <c r="CI175">
        <v>1</v>
      </c>
      <c r="CJ175">
        <v>1</v>
      </c>
      <c r="CK175">
        <v>32</v>
      </c>
      <c r="CL175" t="s">
        <v>72</v>
      </c>
    </row>
    <row r="176" spans="1:90" x14ac:dyDescent="0.3">
      <c r="A176" t="s">
        <v>258</v>
      </c>
      <c r="B176" t="s">
        <v>259</v>
      </c>
      <c r="C176" t="s">
        <v>61</v>
      </c>
      <c r="E176" t="str">
        <f>"009943453150"</f>
        <v>009943453150</v>
      </c>
      <c r="F176" s="4">
        <v>45008</v>
      </c>
      <c r="G176">
        <v>202312</v>
      </c>
      <c r="H176" t="s">
        <v>158</v>
      </c>
      <c r="I176" t="s">
        <v>159</v>
      </c>
      <c r="J176" t="s">
        <v>325</v>
      </c>
      <c r="K176" t="s">
        <v>64</v>
      </c>
      <c r="L176" t="s">
        <v>119</v>
      </c>
      <c r="M176" t="s">
        <v>120</v>
      </c>
      <c r="N176" t="s">
        <v>272</v>
      </c>
      <c r="O176" t="s">
        <v>67</v>
      </c>
      <c r="P176" t="str">
        <f>"N A                           "</f>
        <v xml:space="preserve">N A     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18.71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0.7</v>
      </c>
      <c r="BJ176" s="3">
        <v>1.7</v>
      </c>
      <c r="BK176" s="3">
        <v>2</v>
      </c>
      <c r="BL176" s="3">
        <v>52.72</v>
      </c>
      <c r="BM176" s="3">
        <v>7.91</v>
      </c>
      <c r="BN176" s="3">
        <v>60.63</v>
      </c>
      <c r="BO176" s="3">
        <v>60.63</v>
      </c>
      <c r="BQ176" t="s">
        <v>214</v>
      </c>
      <c r="BR176" t="s">
        <v>177</v>
      </c>
      <c r="BS176" s="1">
        <v>45009</v>
      </c>
      <c r="BT176" s="2">
        <v>0.37986111111111115</v>
      </c>
      <c r="BU176" t="s">
        <v>281</v>
      </c>
      <c r="BV176" t="s">
        <v>69</v>
      </c>
      <c r="BY176">
        <v>8717.82</v>
      </c>
      <c r="BZ176" t="s">
        <v>70</v>
      </c>
      <c r="CA176" t="s">
        <v>149</v>
      </c>
      <c r="CC176" t="s">
        <v>120</v>
      </c>
      <c r="CD176">
        <v>2013</v>
      </c>
      <c r="CE176" t="s">
        <v>83</v>
      </c>
      <c r="CF176" s="1">
        <v>45010</v>
      </c>
      <c r="CI176">
        <v>1</v>
      </c>
      <c r="CJ176">
        <v>1</v>
      </c>
      <c r="CK176">
        <v>22</v>
      </c>
      <c r="CL176" t="s">
        <v>72</v>
      </c>
    </row>
    <row r="177" spans="1:90" x14ac:dyDescent="0.3">
      <c r="A177" t="s">
        <v>258</v>
      </c>
      <c r="B177" t="s">
        <v>259</v>
      </c>
      <c r="C177" t="s">
        <v>61</v>
      </c>
      <c r="E177" t="str">
        <f>"080010777744"</f>
        <v>080010777744</v>
      </c>
      <c r="F177" s="4">
        <v>45008</v>
      </c>
      <c r="G177">
        <v>202312</v>
      </c>
      <c r="H177" t="s">
        <v>62</v>
      </c>
      <c r="I177" t="s">
        <v>63</v>
      </c>
      <c r="J177" t="s">
        <v>554</v>
      </c>
      <c r="K177" t="s">
        <v>64</v>
      </c>
      <c r="N177" t="s">
        <v>555</v>
      </c>
      <c r="O177" t="s">
        <v>96</v>
      </c>
      <c r="P177" t="str">
        <f>"-                             "</f>
        <v xml:space="preserve">-       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5.25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53.94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7.1</v>
      </c>
      <c r="BJ177" s="3">
        <v>18.600000000000001</v>
      </c>
      <c r="BK177" s="3">
        <v>19</v>
      </c>
      <c r="BL177" s="3">
        <v>157.27000000000001</v>
      </c>
      <c r="BM177" s="3">
        <v>23.59</v>
      </c>
      <c r="BN177" s="3">
        <v>180.86</v>
      </c>
      <c r="BO177" s="3">
        <v>180.86</v>
      </c>
      <c r="BP177" t="s">
        <v>157</v>
      </c>
      <c r="BQ177" t="s">
        <v>274</v>
      </c>
      <c r="BR177" t="s">
        <v>556</v>
      </c>
      <c r="BS177" s="1">
        <v>45009</v>
      </c>
      <c r="BT177" s="2">
        <v>0.60416666666666663</v>
      </c>
      <c r="BU177" t="s">
        <v>557</v>
      </c>
      <c r="BV177" t="s">
        <v>69</v>
      </c>
      <c r="BY177">
        <v>93205.56</v>
      </c>
      <c r="CA177" t="s">
        <v>211</v>
      </c>
      <c r="CD177">
        <v>4320</v>
      </c>
      <c r="CE177" t="s">
        <v>558</v>
      </c>
      <c r="CF177" s="1">
        <v>45012</v>
      </c>
      <c r="CI177">
        <v>1</v>
      </c>
      <c r="CJ177">
        <v>1</v>
      </c>
      <c r="CK177">
        <v>41</v>
      </c>
      <c r="CL177" t="s">
        <v>72</v>
      </c>
    </row>
    <row r="178" spans="1:90" x14ac:dyDescent="0.3">
      <c r="A178" t="s">
        <v>258</v>
      </c>
      <c r="B178" t="s">
        <v>259</v>
      </c>
      <c r="C178" t="s">
        <v>61</v>
      </c>
      <c r="E178" t="str">
        <f>"080010777750"</f>
        <v>080010777750</v>
      </c>
      <c r="F178" s="4">
        <v>45008</v>
      </c>
      <c r="G178">
        <v>202312</v>
      </c>
      <c r="H178" t="s">
        <v>62</v>
      </c>
      <c r="I178" t="s">
        <v>63</v>
      </c>
      <c r="J178" t="s">
        <v>554</v>
      </c>
      <c r="K178" t="s">
        <v>64</v>
      </c>
      <c r="N178" t="s">
        <v>559</v>
      </c>
      <c r="O178" t="s">
        <v>96</v>
      </c>
      <c r="P178" t="str">
        <f>"-                             "</f>
        <v xml:space="preserve">-     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5.25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53.94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7.3</v>
      </c>
      <c r="BJ178" s="3">
        <v>18.3</v>
      </c>
      <c r="BK178" s="3">
        <v>19</v>
      </c>
      <c r="BL178" s="3">
        <v>157.27000000000001</v>
      </c>
      <c r="BM178" s="3">
        <v>23.59</v>
      </c>
      <c r="BN178" s="3">
        <v>180.86</v>
      </c>
      <c r="BO178" s="3">
        <v>180.86</v>
      </c>
      <c r="BP178" t="s">
        <v>157</v>
      </c>
      <c r="BQ178" t="s">
        <v>274</v>
      </c>
      <c r="BR178" t="s">
        <v>556</v>
      </c>
      <c r="BS178" s="1">
        <v>45012</v>
      </c>
      <c r="BT178" s="2">
        <v>0.4236111111111111</v>
      </c>
      <c r="BU178" t="s">
        <v>560</v>
      </c>
      <c r="BV178" t="s">
        <v>72</v>
      </c>
      <c r="BW178" t="s">
        <v>153</v>
      </c>
      <c r="BX178" t="s">
        <v>204</v>
      </c>
      <c r="BY178">
        <v>91561</v>
      </c>
      <c r="CA178" t="s">
        <v>561</v>
      </c>
      <c r="CD178">
        <v>4001</v>
      </c>
      <c r="CE178" t="s">
        <v>558</v>
      </c>
      <c r="CF178" s="1">
        <v>45013</v>
      </c>
      <c r="CI178">
        <v>1</v>
      </c>
      <c r="CJ178">
        <v>2</v>
      </c>
      <c r="CK178">
        <v>41</v>
      </c>
      <c r="CL178" t="s">
        <v>72</v>
      </c>
    </row>
    <row r="179" spans="1:90" x14ac:dyDescent="0.3">
      <c r="A179" t="s">
        <v>258</v>
      </c>
      <c r="B179" t="s">
        <v>259</v>
      </c>
      <c r="C179" t="s">
        <v>61</v>
      </c>
      <c r="E179" t="str">
        <f>"009942782641"</f>
        <v>009942782641</v>
      </c>
      <c r="F179" s="4">
        <v>45008</v>
      </c>
      <c r="G179">
        <v>202312</v>
      </c>
      <c r="H179" t="s">
        <v>65</v>
      </c>
      <c r="I179" t="s">
        <v>66</v>
      </c>
      <c r="J179" t="s">
        <v>272</v>
      </c>
      <c r="K179" t="s">
        <v>64</v>
      </c>
      <c r="L179" t="s">
        <v>119</v>
      </c>
      <c r="M179" t="s">
        <v>120</v>
      </c>
      <c r="N179" t="s">
        <v>272</v>
      </c>
      <c r="O179" t="s">
        <v>96</v>
      </c>
      <c r="P179" t="str">
        <f>"NA                            "</f>
        <v xml:space="preserve">NA    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5.25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46.31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0.9</v>
      </c>
      <c r="BJ179" s="3">
        <v>1.5</v>
      </c>
      <c r="BK179" s="3">
        <v>2</v>
      </c>
      <c r="BL179" s="3">
        <v>135.76</v>
      </c>
      <c r="BM179" s="3">
        <v>20.36</v>
      </c>
      <c r="BN179" s="3">
        <v>156.12</v>
      </c>
      <c r="BO179" s="3">
        <v>156.12</v>
      </c>
      <c r="BQ179" t="s">
        <v>562</v>
      </c>
      <c r="BR179" t="s">
        <v>563</v>
      </c>
      <c r="BS179" s="1">
        <v>45013</v>
      </c>
      <c r="BT179" s="2">
        <v>0.57291666666666663</v>
      </c>
      <c r="BU179" t="s">
        <v>263</v>
      </c>
      <c r="BV179" t="s">
        <v>72</v>
      </c>
      <c r="BW179" t="s">
        <v>103</v>
      </c>
      <c r="BX179" t="s">
        <v>155</v>
      </c>
      <c r="BY179">
        <v>7630.92</v>
      </c>
      <c r="BZ179" t="s">
        <v>97</v>
      </c>
      <c r="CC179" t="s">
        <v>120</v>
      </c>
      <c r="CD179">
        <v>2013</v>
      </c>
      <c r="CE179" t="s">
        <v>83</v>
      </c>
      <c r="CF179" s="1">
        <v>45014</v>
      </c>
      <c r="CI179">
        <v>2</v>
      </c>
      <c r="CJ179">
        <v>3</v>
      </c>
      <c r="CK179">
        <v>41</v>
      </c>
      <c r="CL179" t="s">
        <v>72</v>
      </c>
    </row>
    <row r="180" spans="1:90" x14ac:dyDescent="0.3">
      <c r="A180" t="s">
        <v>258</v>
      </c>
      <c r="B180" t="s">
        <v>259</v>
      </c>
      <c r="C180" t="s">
        <v>61</v>
      </c>
      <c r="E180" t="str">
        <f>"009942953484"</f>
        <v>009942953484</v>
      </c>
      <c r="F180" s="4">
        <v>45008</v>
      </c>
      <c r="G180">
        <v>202312</v>
      </c>
      <c r="H180" t="s">
        <v>145</v>
      </c>
      <c r="I180" t="s">
        <v>146</v>
      </c>
      <c r="J180" t="s">
        <v>492</v>
      </c>
      <c r="K180" t="s">
        <v>64</v>
      </c>
      <c r="L180" t="s">
        <v>119</v>
      </c>
      <c r="M180" t="s">
        <v>120</v>
      </c>
      <c r="N180" t="s">
        <v>272</v>
      </c>
      <c r="O180" t="s">
        <v>67</v>
      </c>
      <c r="P180" t="str">
        <f>"                              "</f>
        <v xml:space="preserve">        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23.95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1</v>
      </c>
      <c r="BJ180" s="3">
        <v>0.2</v>
      </c>
      <c r="BK180" s="3">
        <v>1</v>
      </c>
      <c r="BL180" s="3">
        <v>67.489999999999995</v>
      </c>
      <c r="BM180" s="3">
        <v>10.119999999999999</v>
      </c>
      <c r="BN180" s="3">
        <v>77.61</v>
      </c>
      <c r="BO180" s="3">
        <v>77.61</v>
      </c>
      <c r="BQ180" t="s">
        <v>305</v>
      </c>
      <c r="BR180" t="s">
        <v>177</v>
      </c>
      <c r="BS180" s="1">
        <v>45009</v>
      </c>
      <c r="BT180" s="2">
        <v>0.37986111111111115</v>
      </c>
      <c r="BU180" t="s">
        <v>281</v>
      </c>
      <c r="BV180" t="s">
        <v>69</v>
      </c>
      <c r="BY180">
        <v>1200</v>
      </c>
      <c r="BZ180" t="s">
        <v>70</v>
      </c>
      <c r="CA180" t="s">
        <v>149</v>
      </c>
      <c r="CC180" t="s">
        <v>120</v>
      </c>
      <c r="CD180">
        <v>2001</v>
      </c>
      <c r="CE180" t="s">
        <v>83</v>
      </c>
      <c r="CF180" s="1">
        <v>45010</v>
      </c>
      <c r="CI180">
        <v>1</v>
      </c>
      <c r="CJ180">
        <v>1</v>
      </c>
      <c r="CK180">
        <v>21</v>
      </c>
      <c r="CL180" t="s">
        <v>72</v>
      </c>
    </row>
    <row r="181" spans="1:90" x14ac:dyDescent="0.3">
      <c r="A181" t="s">
        <v>258</v>
      </c>
      <c r="B181" t="s">
        <v>259</v>
      </c>
      <c r="C181" t="s">
        <v>61</v>
      </c>
      <c r="E181" t="str">
        <f>"009941520340"</f>
        <v>009941520340</v>
      </c>
      <c r="F181" s="4">
        <v>45008</v>
      </c>
      <c r="G181">
        <v>202312</v>
      </c>
      <c r="H181" t="s">
        <v>101</v>
      </c>
      <c r="I181" t="s">
        <v>102</v>
      </c>
      <c r="J181" t="s">
        <v>272</v>
      </c>
      <c r="K181" t="s">
        <v>64</v>
      </c>
      <c r="L181" t="s">
        <v>119</v>
      </c>
      <c r="M181" t="s">
        <v>120</v>
      </c>
      <c r="N181" t="s">
        <v>272</v>
      </c>
      <c r="O181" t="s">
        <v>96</v>
      </c>
      <c r="P181" t="str">
        <f>"                              "</f>
        <v xml:space="preserve">      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5.25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78.75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4</v>
      </c>
      <c r="BI181" s="3">
        <v>25.9</v>
      </c>
      <c r="BJ181" s="3">
        <v>32</v>
      </c>
      <c r="BK181" s="3">
        <v>32</v>
      </c>
      <c r="BL181" s="3">
        <v>227.19</v>
      </c>
      <c r="BM181" s="3">
        <v>34.08</v>
      </c>
      <c r="BN181" s="3">
        <v>261.27</v>
      </c>
      <c r="BO181" s="3">
        <v>261.27</v>
      </c>
      <c r="BQ181" t="s">
        <v>564</v>
      </c>
      <c r="BR181" t="s">
        <v>280</v>
      </c>
      <c r="BS181" s="1">
        <v>45009</v>
      </c>
      <c r="BT181" s="2">
        <v>0.38125000000000003</v>
      </c>
      <c r="BU181" t="s">
        <v>281</v>
      </c>
      <c r="BV181" t="s">
        <v>69</v>
      </c>
      <c r="BY181">
        <v>66620</v>
      </c>
      <c r="BZ181" t="s">
        <v>97</v>
      </c>
      <c r="CA181" t="s">
        <v>149</v>
      </c>
      <c r="CC181" t="s">
        <v>120</v>
      </c>
      <c r="CD181">
        <v>2190</v>
      </c>
      <c r="CE181" t="s">
        <v>83</v>
      </c>
      <c r="CF181" s="1">
        <v>45010</v>
      </c>
      <c r="CI181">
        <v>1</v>
      </c>
      <c r="CJ181">
        <v>1</v>
      </c>
      <c r="CK181">
        <v>41</v>
      </c>
      <c r="CL181" t="s">
        <v>72</v>
      </c>
    </row>
    <row r="182" spans="1:90" x14ac:dyDescent="0.3">
      <c r="A182" t="s">
        <v>258</v>
      </c>
      <c r="B182" t="s">
        <v>259</v>
      </c>
      <c r="C182" t="s">
        <v>61</v>
      </c>
      <c r="E182" t="str">
        <f>"009943116638"</f>
        <v>009943116638</v>
      </c>
      <c r="F182" s="4">
        <v>45008</v>
      </c>
      <c r="G182">
        <v>202312</v>
      </c>
      <c r="H182" t="s">
        <v>119</v>
      </c>
      <c r="I182" t="s">
        <v>120</v>
      </c>
      <c r="J182" t="s">
        <v>260</v>
      </c>
      <c r="K182" t="s">
        <v>64</v>
      </c>
      <c r="L182" t="s">
        <v>254</v>
      </c>
      <c r="M182" t="s">
        <v>255</v>
      </c>
      <c r="N182" t="s">
        <v>565</v>
      </c>
      <c r="O182" t="s">
        <v>203</v>
      </c>
      <c r="P182" t="str">
        <f>"N A                           "</f>
        <v xml:space="preserve">N A  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44.9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15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1.1000000000000001</v>
      </c>
      <c r="BJ182" s="3">
        <v>2.2999999999999998</v>
      </c>
      <c r="BK182" s="3">
        <v>3</v>
      </c>
      <c r="BL182" s="3">
        <v>141.54</v>
      </c>
      <c r="BM182" s="3">
        <v>21.23</v>
      </c>
      <c r="BN182" s="3">
        <v>162.77000000000001</v>
      </c>
      <c r="BO182" s="3">
        <v>162.77000000000001</v>
      </c>
      <c r="BQ182" t="s">
        <v>214</v>
      </c>
      <c r="BR182" t="s">
        <v>263</v>
      </c>
      <c r="BS182" s="1">
        <v>45012</v>
      </c>
      <c r="BT182" s="2">
        <v>0.46527777777777773</v>
      </c>
      <c r="BU182" t="s">
        <v>566</v>
      </c>
      <c r="BV182" t="s">
        <v>72</v>
      </c>
      <c r="BW182" t="s">
        <v>86</v>
      </c>
      <c r="BX182" t="s">
        <v>87</v>
      </c>
      <c r="BY182">
        <v>11395.44</v>
      </c>
      <c r="BZ182" t="s">
        <v>174</v>
      </c>
      <c r="CA182" t="s">
        <v>567</v>
      </c>
      <c r="CC182" t="s">
        <v>255</v>
      </c>
      <c r="CD182">
        <v>742</v>
      </c>
      <c r="CE182" t="s">
        <v>83</v>
      </c>
      <c r="CF182" s="1">
        <v>45012</v>
      </c>
      <c r="CI182">
        <v>1</v>
      </c>
      <c r="CJ182">
        <v>2</v>
      </c>
      <c r="CK182">
        <v>31</v>
      </c>
      <c r="CL182" t="s">
        <v>72</v>
      </c>
    </row>
    <row r="183" spans="1:90" x14ac:dyDescent="0.3">
      <c r="A183" t="s">
        <v>258</v>
      </c>
      <c r="B183" t="s">
        <v>259</v>
      </c>
      <c r="C183" t="s">
        <v>61</v>
      </c>
      <c r="E183" t="str">
        <f>"009943116636"</f>
        <v>009943116636</v>
      </c>
      <c r="F183" s="4">
        <v>45008</v>
      </c>
      <c r="G183">
        <v>202312</v>
      </c>
      <c r="H183" t="s">
        <v>119</v>
      </c>
      <c r="I183" t="s">
        <v>120</v>
      </c>
      <c r="J183" t="s">
        <v>260</v>
      </c>
      <c r="K183" t="s">
        <v>64</v>
      </c>
      <c r="L183" t="s">
        <v>119</v>
      </c>
      <c r="M183" t="s">
        <v>120</v>
      </c>
      <c r="N183" t="s">
        <v>568</v>
      </c>
      <c r="O183" t="s">
        <v>203</v>
      </c>
      <c r="P183" t="str">
        <f>"N A                           "</f>
        <v xml:space="preserve">N A  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18.71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15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0.5</v>
      </c>
      <c r="BJ183" s="3">
        <v>1.9</v>
      </c>
      <c r="BK183" s="3">
        <v>2</v>
      </c>
      <c r="BL183" s="3">
        <v>67.73</v>
      </c>
      <c r="BM183" s="3">
        <v>10.16</v>
      </c>
      <c r="BN183" s="3">
        <v>77.89</v>
      </c>
      <c r="BO183" s="3">
        <v>77.89</v>
      </c>
      <c r="BQ183" t="s">
        <v>214</v>
      </c>
      <c r="BR183" t="s">
        <v>263</v>
      </c>
      <c r="BS183" s="1">
        <v>45009</v>
      </c>
      <c r="BT183" s="2">
        <v>0.46388888888888885</v>
      </c>
      <c r="BU183" t="s">
        <v>569</v>
      </c>
      <c r="BV183" t="s">
        <v>69</v>
      </c>
      <c r="BY183">
        <v>9298.02</v>
      </c>
      <c r="BZ183" t="s">
        <v>174</v>
      </c>
      <c r="CA183" t="s">
        <v>218</v>
      </c>
      <c r="CC183" t="s">
        <v>120</v>
      </c>
      <c r="CD183">
        <v>1827</v>
      </c>
      <c r="CE183" t="s">
        <v>83</v>
      </c>
      <c r="CF183" s="1">
        <v>45010</v>
      </c>
      <c r="CI183">
        <v>1</v>
      </c>
      <c r="CJ183">
        <v>1</v>
      </c>
      <c r="CK183">
        <v>32</v>
      </c>
      <c r="CL183" t="s">
        <v>72</v>
      </c>
    </row>
    <row r="184" spans="1:90" x14ac:dyDescent="0.3">
      <c r="A184" t="s">
        <v>258</v>
      </c>
      <c r="B184" t="s">
        <v>259</v>
      </c>
      <c r="C184" t="s">
        <v>61</v>
      </c>
      <c r="E184" t="str">
        <f>"009943116637"</f>
        <v>009943116637</v>
      </c>
      <c r="F184" s="4">
        <v>45008</v>
      </c>
      <c r="G184">
        <v>202312</v>
      </c>
      <c r="H184" t="s">
        <v>119</v>
      </c>
      <c r="I184" t="s">
        <v>120</v>
      </c>
      <c r="J184" t="s">
        <v>260</v>
      </c>
      <c r="K184" t="s">
        <v>64</v>
      </c>
      <c r="L184" t="s">
        <v>65</v>
      </c>
      <c r="M184" t="s">
        <v>66</v>
      </c>
      <c r="N184" t="s">
        <v>570</v>
      </c>
      <c r="O184" t="s">
        <v>203</v>
      </c>
      <c r="P184" t="str">
        <f>"N A                           "</f>
        <v xml:space="preserve">N A  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123.48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4.2</v>
      </c>
      <c r="BJ184" s="3">
        <v>10.199999999999999</v>
      </c>
      <c r="BK184" s="3">
        <v>11</v>
      </c>
      <c r="BL184" s="3">
        <v>347.99</v>
      </c>
      <c r="BM184" s="3">
        <v>52.2</v>
      </c>
      <c r="BN184" s="3">
        <v>400.19</v>
      </c>
      <c r="BO184" s="3">
        <v>400.19</v>
      </c>
      <c r="BQ184" t="s">
        <v>214</v>
      </c>
      <c r="BR184" t="s">
        <v>263</v>
      </c>
      <c r="BS184" s="1">
        <v>45009</v>
      </c>
      <c r="BT184" s="2">
        <v>0.47152777777777777</v>
      </c>
      <c r="BU184" t="s">
        <v>571</v>
      </c>
      <c r="BV184" t="s">
        <v>69</v>
      </c>
      <c r="BY184">
        <v>51024.52</v>
      </c>
      <c r="BZ184" t="s">
        <v>97</v>
      </c>
      <c r="CA184" t="s">
        <v>572</v>
      </c>
      <c r="CC184" t="s">
        <v>66</v>
      </c>
      <c r="CD184">
        <v>7441</v>
      </c>
      <c r="CE184" t="s">
        <v>83</v>
      </c>
      <c r="CF184" s="1">
        <v>45012</v>
      </c>
      <c r="CI184">
        <v>1</v>
      </c>
      <c r="CJ184">
        <v>1</v>
      </c>
      <c r="CK184">
        <v>31</v>
      </c>
      <c r="CL184" t="s">
        <v>72</v>
      </c>
    </row>
    <row r="185" spans="1:90" x14ac:dyDescent="0.3">
      <c r="A185" t="s">
        <v>258</v>
      </c>
      <c r="B185" t="s">
        <v>259</v>
      </c>
      <c r="C185" t="s">
        <v>61</v>
      </c>
      <c r="E185" t="str">
        <f>"009943116639"</f>
        <v>009943116639</v>
      </c>
      <c r="F185" s="4">
        <v>45008</v>
      </c>
      <c r="G185">
        <v>202312</v>
      </c>
      <c r="H185" t="s">
        <v>119</v>
      </c>
      <c r="I185" t="s">
        <v>120</v>
      </c>
      <c r="J185" t="s">
        <v>260</v>
      </c>
      <c r="K185" t="s">
        <v>64</v>
      </c>
      <c r="L185" t="s">
        <v>119</v>
      </c>
      <c r="M185" t="s">
        <v>120</v>
      </c>
      <c r="N185" t="s">
        <v>573</v>
      </c>
      <c r="O185" t="s">
        <v>203</v>
      </c>
      <c r="P185" t="str">
        <f>"N A                           "</f>
        <v xml:space="preserve">N A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18.71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0.2</v>
      </c>
      <c r="BJ185" s="3">
        <v>2.5</v>
      </c>
      <c r="BK185" s="3">
        <v>3</v>
      </c>
      <c r="BL185" s="3">
        <v>52.73</v>
      </c>
      <c r="BM185" s="3">
        <v>7.91</v>
      </c>
      <c r="BN185" s="3">
        <v>60.64</v>
      </c>
      <c r="BO185" s="3">
        <v>60.64</v>
      </c>
      <c r="BQ185" t="s">
        <v>214</v>
      </c>
      <c r="BR185" t="s">
        <v>263</v>
      </c>
      <c r="BS185" s="1">
        <v>45009</v>
      </c>
      <c r="BT185" s="2">
        <v>0.43958333333333338</v>
      </c>
      <c r="BU185" t="s">
        <v>205</v>
      </c>
      <c r="BV185" t="s">
        <v>69</v>
      </c>
      <c r="BY185">
        <v>12607.2</v>
      </c>
      <c r="BZ185" t="s">
        <v>97</v>
      </c>
      <c r="CA185" t="s">
        <v>342</v>
      </c>
      <c r="CC185" t="s">
        <v>120</v>
      </c>
      <c r="CD185">
        <v>2040</v>
      </c>
      <c r="CE185" t="s">
        <v>83</v>
      </c>
      <c r="CF185" s="1">
        <v>45010</v>
      </c>
      <c r="CI185">
        <v>1</v>
      </c>
      <c r="CJ185">
        <v>1</v>
      </c>
      <c r="CK185">
        <v>32</v>
      </c>
      <c r="CL185" t="s">
        <v>72</v>
      </c>
    </row>
    <row r="186" spans="1:90" x14ac:dyDescent="0.3">
      <c r="A186" t="s">
        <v>258</v>
      </c>
      <c r="B186" t="s">
        <v>259</v>
      </c>
      <c r="C186" t="s">
        <v>61</v>
      </c>
      <c r="E186" t="str">
        <f>"009941950132"</f>
        <v>009941950132</v>
      </c>
      <c r="F186" s="4">
        <v>45008</v>
      </c>
      <c r="G186">
        <v>202312</v>
      </c>
      <c r="H186" t="s">
        <v>427</v>
      </c>
      <c r="I186" t="s">
        <v>428</v>
      </c>
      <c r="J186" t="s">
        <v>429</v>
      </c>
      <c r="K186" t="s">
        <v>64</v>
      </c>
      <c r="L186" t="s">
        <v>119</v>
      </c>
      <c r="M186" t="s">
        <v>120</v>
      </c>
      <c r="N186" t="s">
        <v>473</v>
      </c>
      <c r="O186" t="s">
        <v>67</v>
      </c>
      <c r="P186" t="str">
        <f>"2905275876                    "</f>
        <v xml:space="preserve">2905275876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23.95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1</v>
      </c>
      <c r="BJ186" s="3">
        <v>0.2</v>
      </c>
      <c r="BK186" s="3">
        <v>1</v>
      </c>
      <c r="BL186" s="3">
        <v>67.489999999999995</v>
      </c>
      <c r="BM186" s="3">
        <v>10.119999999999999</v>
      </c>
      <c r="BN186" s="3">
        <v>77.61</v>
      </c>
      <c r="BO186" s="3">
        <v>77.61</v>
      </c>
      <c r="BQ186" t="s">
        <v>574</v>
      </c>
      <c r="BR186" t="s">
        <v>431</v>
      </c>
      <c r="BS186" s="1">
        <v>45009</v>
      </c>
      <c r="BT186" s="2">
        <v>0.38055555555555554</v>
      </c>
      <c r="BU186" t="s">
        <v>281</v>
      </c>
      <c r="BV186" t="s">
        <v>69</v>
      </c>
      <c r="BY186">
        <v>1200</v>
      </c>
      <c r="BZ186" t="s">
        <v>70</v>
      </c>
      <c r="CA186" t="s">
        <v>149</v>
      </c>
      <c r="CC186" t="s">
        <v>120</v>
      </c>
      <c r="CD186">
        <v>2013</v>
      </c>
      <c r="CE186" t="s">
        <v>83</v>
      </c>
      <c r="CF186" s="1">
        <v>45010</v>
      </c>
      <c r="CI186">
        <v>1</v>
      </c>
      <c r="CJ186">
        <v>1</v>
      </c>
      <c r="CK186">
        <v>21</v>
      </c>
      <c r="CL186" t="s">
        <v>72</v>
      </c>
    </row>
    <row r="187" spans="1:90" x14ac:dyDescent="0.3">
      <c r="A187" t="s">
        <v>258</v>
      </c>
      <c r="B187" t="s">
        <v>259</v>
      </c>
      <c r="C187" t="s">
        <v>61</v>
      </c>
      <c r="E187" t="str">
        <f>"009943116821"</f>
        <v>009943116821</v>
      </c>
      <c r="F187" s="4">
        <v>45009</v>
      </c>
      <c r="G187">
        <v>202312</v>
      </c>
      <c r="H187" t="s">
        <v>119</v>
      </c>
      <c r="I187" t="s">
        <v>120</v>
      </c>
      <c r="J187" t="s">
        <v>260</v>
      </c>
      <c r="K187" t="s">
        <v>64</v>
      </c>
      <c r="L187" t="s">
        <v>138</v>
      </c>
      <c r="M187" t="s">
        <v>139</v>
      </c>
      <c r="N187" t="s">
        <v>257</v>
      </c>
      <c r="O187" t="s">
        <v>203</v>
      </c>
      <c r="P187" t="str">
        <f t="shared" ref="P187:P195" si="8">"N A                           "</f>
        <v xml:space="preserve">N A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46.4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0.6</v>
      </c>
      <c r="BJ187" s="3">
        <v>1.9</v>
      </c>
      <c r="BK187" s="3">
        <v>2</v>
      </c>
      <c r="BL187" s="3">
        <v>130.76</v>
      </c>
      <c r="BM187" s="3">
        <v>19.61</v>
      </c>
      <c r="BN187" s="3">
        <v>150.37</v>
      </c>
      <c r="BO187" s="3">
        <v>150.37</v>
      </c>
      <c r="BQ187" t="s">
        <v>575</v>
      </c>
      <c r="BR187" t="s">
        <v>263</v>
      </c>
      <c r="BS187" s="1">
        <v>45012</v>
      </c>
      <c r="BT187" s="2">
        <v>0.49652777777777773</v>
      </c>
      <c r="BU187" t="s">
        <v>575</v>
      </c>
      <c r="BV187" t="s">
        <v>69</v>
      </c>
      <c r="BY187">
        <v>9255.17</v>
      </c>
      <c r="BZ187" t="s">
        <v>97</v>
      </c>
      <c r="CA187" t="s">
        <v>491</v>
      </c>
      <c r="CC187" t="s">
        <v>139</v>
      </c>
      <c r="CD187">
        <v>2520</v>
      </c>
      <c r="CE187" t="s">
        <v>83</v>
      </c>
      <c r="CF187" s="1">
        <v>45013</v>
      </c>
      <c r="CI187">
        <v>1</v>
      </c>
      <c r="CJ187">
        <v>1</v>
      </c>
      <c r="CK187">
        <v>33</v>
      </c>
      <c r="CL187" t="s">
        <v>72</v>
      </c>
    </row>
    <row r="188" spans="1:90" x14ac:dyDescent="0.3">
      <c r="A188" t="s">
        <v>258</v>
      </c>
      <c r="B188" t="s">
        <v>259</v>
      </c>
      <c r="C188" t="s">
        <v>61</v>
      </c>
      <c r="E188" t="str">
        <f>"009943285303"</f>
        <v>009943285303</v>
      </c>
      <c r="F188" s="4">
        <v>45009</v>
      </c>
      <c r="G188">
        <v>202312</v>
      </c>
      <c r="H188" t="s">
        <v>119</v>
      </c>
      <c r="I188" t="s">
        <v>120</v>
      </c>
      <c r="J188" t="s">
        <v>260</v>
      </c>
      <c r="K188" t="s">
        <v>64</v>
      </c>
      <c r="L188" t="s">
        <v>65</v>
      </c>
      <c r="M188" t="s">
        <v>66</v>
      </c>
      <c r="N188" t="s">
        <v>321</v>
      </c>
      <c r="O188" t="s">
        <v>96</v>
      </c>
      <c r="P188" t="str">
        <f t="shared" si="8"/>
        <v xml:space="preserve">N A     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5.25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46.31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1.7</v>
      </c>
      <c r="BJ188" s="3">
        <v>2.8</v>
      </c>
      <c r="BK188" s="3">
        <v>3</v>
      </c>
      <c r="BL188" s="3">
        <v>135.76</v>
      </c>
      <c r="BM188" s="3">
        <v>20.36</v>
      </c>
      <c r="BN188" s="3">
        <v>156.12</v>
      </c>
      <c r="BO188" s="3">
        <v>156.12</v>
      </c>
      <c r="BQ188" t="s">
        <v>322</v>
      </c>
      <c r="BR188" t="s">
        <v>576</v>
      </c>
      <c r="BS188" s="1">
        <v>45012</v>
      </c>
      <c r="BT188" s="2">
        <v>0.5229166666666667</v>
      </c>
      <c r="BU188" t="s">
        <v>577</v>
      </c>
      <c r="BV188" t="s">
        <v>69</v>
      </c>
      <c r="BY188">
        <v>13854.1</v>
      </c>
      <c r="BZ188" t="s">
        <v>97</v>
      </c>
      <c r="CA188" t="s">
        <v>163</v>
      </c>
      <c r="CC188" t="s">
        <v>66</v>
      </c>
      <c r="CD188">
        <v>7535</v>
      </c>
      <c r="CE188" t="s">
        <v>83</v>
      </c>
      <c r="CF188" s="1">
        <v>45013</v>
      </c>
      <c r="CI188">
        <v>2</v>
      </c>
      <c r="CJ188">
        <v>1</v>
      </c>
      <c r="CK188">
        <v>41</v>
      </c>
      <c r="CL188" t="s">
        <v>72</v>
      </c>
    </row>
    <row r="189" spans="1:90" x14ac:dyDescent="0.3">
      <c r="A189" t="s">
        <v>258</v>
      </c>
      <c r="B189" t="s">
        <v>259</v>
      </c>
      <c r="C189" t="s">
        <v>61</v>
      </c>
      <c r="E189" t="str">
        <f>"009943116661"</f>
        <v>009943116661</v>
      </c>
      <c r="F189" s="4">
        <v>45009</v>
      </c>
      <c r="G189">
        <v>202312</v>
      </c>
      <c r="H189" t="s">
        <v>119</v>
      </c>
      <c r="I189" t="s">
        <v>120</v>
      </c>
      <c r="J189" t="s">
        <v>260</v>
      </c>
      <c r="K189" t="s">
        <v>64</v>
      </c>
      <c r="L189" t="s">
        <v>578</v>
      </c>
      <c r="M189" t="s">
        <v>579</v>
      </c>
      <c r="N189" t="s">
        <v>257</v>
      </c>
      <c r="O189" t="s">
        <v>203</v>
      </c>
      <c r="P189" t="str">
        <f t="shared" si="8"/>
        <v xml:space="preserve">N A   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107.2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1.4</v>
      </c>
      <c r="BJ189" s="3">
        <v>8.9</v>
      </c>
      <c r="BK189" s="3">
        <v>9</v>
      </c>
      <c r="BL189" s="3">
        <v>302.11</v>
      </c>
      <c r="BM189" s="3">
        <v>45.32</v>
      </c>
      <c r="BN189" s="3">
        <v>347.43</v>
      </c>
      <c r="BO189" s="3">
        <v>347.43</v>
      </c>
      <c r="BQ189" t="s">
        <v>580</v>
      </c>
      <c r="BR189" t="s">
        <v>263</v>
      </c>
      <c r="BS189" s="1">
        <v>45012</v>
      </c>
      <c r="BT189" s="2">
        <v>0.4826388888888889</v>
      </c>
      <c r="BU189" t="s">
        <v>581</v>
      </c>
      <c r="BV189" t="s">
        <v>69</v>
      </c>
      <c r="BY189">
        <v>44428.02</v>
      </c>
      <c r="BZ189" t="s">
        <v>97</v>
      </c>
      <c r="CC189" t="s">
        <v>579</v>
      </c>
      <c r="CD189">
        <v>4200</v>
      </c>
      <c r="CE189" t="s">
        <v>83</v>
      </c>
      <c r="CF189" s="1">
        <v>45014</v>
      </c>
      <c r="CI189">
        <v>2</v>
      </c>
      <c r="CJ189">
        <v>1</v>
      </c>
      <c r="CK189">
        <v>33</v>
      </c>
      <c r="CL189" t="s">
        <v>72</v>
      </c>
    </row>
    <row r="190" spans="1:90" x14ac:dyDescent="0.3">
      <c r="A190" t="s">
        <v>258</v>
      </c>
      <c r="B190" t="s">
        <v>259</v>
      </c>
      <c r="C190" t="s">
        <v>61</v>
      </c>
      <c r="E190" t="str">
        <f>"009943116826"</f>
        <v>009943116826</v>
      </c>
      <c r="F190" s="4">
        <v>45009</v>
      </c>
      <c r="G190">
        <v>202312</v>
      </c>
      <c r="H190" t="s">
        <v>119</v>
      </c>
      <c r="I190" t="s">
        <v>120</v>
      </c>
      <c r="J190" t="s">
        <v>260</v>
      </c>
      <c r="K190" t="s">
        <v>64</v>
      </c>
      <c r="L190" t="s">
        <v>123</v>
      </c>
      <c r="M190" t="s">
        <v>124</v>
      </c>
      <c r="N190" t="s">
        <v>257</v>
      </c>
      <c r="O190" t="s">
        <v>203</v>
      </c>
      <c r="P190" t="str">
        <f t="shared" si="8"/>
        <v xml:space="preserve">N A   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44.9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0.7</v>
      </c>
      <c r="BJ190" s="3">
        <v>1.8</v>
      </c>
      <c r="BK190" s="3">
        <v>2</v>
      </c>
      <c r="BL190" s="3">
        <v>126.54</v>
      </c>
      <c r="BM190" s="3">
        <v>18.98</v>
      </c>
      <c r="BN190" s="3">
        <v>145.52000000000001</v>
      </c>
      <c r="BO190" s="3">
        <v>145.52000000000001</v>
      </c>
      <c r="BQ190" t="s">
        <v>582</v>
      </c>
      <c r="BR190" t="s">
        <v>263</v>
      </c>
      <c r="BS190" s="1">
        <v>45012</v>
      </c>
      <c r="BT190" s="2">
        <v>0.44097222222222227</v>
      </c>
      <c r="BU190" t="s">
        <v>583</v>
      </c>
      <c r="BV190" t="s">
        <v>69</v>
      </c>
      <c r="BY190">
        <v>9230.7199999999993</v>
      </c>
      <c r="BZ190" t="s">
        <v>97</v>
      </c>
      <c r="CA190" t="s">
        <v>234</v>
      </c>
      <c r="CC190" t="s">
        <v>124</v>
      </c>
      <c r="CD190">
        <v>46</v>
      </c>
      <c r="CE190" t="s">
        <v>83</v>
      </c>
      <c r="CF190" s="1">
        <v>45012</v>
      </c>
      <c r="CI190">
        <v>1</v>
      </c>
      <c r="CJ190">
        <v>1</v>
      </c>
      <c r="CK190">
        <v>31</v>
      </c>
      <c r="CL190" t="s">
        <v>72</v>
      </c>
    </row>
    <row r="191" spans="1:90" x14ac:dyDescent="0.3">
      <c r="A191" t="s">
        <v>258</v>
      </c>
      <c r="B191" t="s">
        <v>259</v>
      </c>
      <c r="C191" t="s">
        <v>61</v>
      </c>
      <c r="E191" t="str">
        <f>"009943116660"</f>
        <v>009943116660</v>
      </c>
      <c r="F191" s="4">
        <v>45009</v>
      </c>
      <c r="G191">
        <v>202312</v>
      </c>
      <c r="H191" t="s">
        <v>119</v>
      </c>
      <c r="I191" t="s">
        <v>120</v>
      </c>
      <c r="J191" t="s">
        <v>260</v>
      </c>
      <c r="K191" t="s">
        <v>64</v>
      </c>
      <c r="L191" t="s">
        <v>138</v>
      </c>
      <c r="M191" t="s">
        <v>139</v>
      </c>
      <c r="N191" t="s">
        <v>257</v>
      </c>
      <c r="O191" t="s">
        <v>203</v>
      </c>
      <c r="P191" t="str">
        <f t="shared" si="8"/>
        <v xml:space="preserve">N A   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46.4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0.6</v>
      </c>
      <c r="BJ191" s="3">
        <v>2.1</v>
      </c>
      <c r="BK191" s="3">
        <v>3</v>
      </c>
      <c r="BL191" s="3">
        <v>130.76</v>
      </c>
      <c r="BM191" s="3">
        <v>19.61</v>
      </c>
      <c r="BN191" s="3">
        <v>150.37</v>
      </c>
      <c r="BO191" s="3">
        <v>150.37</v>
      </c>
      <c r="BQ191" t="s">
        <v>584</v>
      </c>
      <c r="BR191" t="s">
        <v>263</v>
      </c>
      <c r="BS191" s="1">
        <v>45012</v>
      </c>
      <c r="BT191" s="2">
        <v>0.43402777777777773</v>
      </c>
      <c r="BU191" t="s">
        <v>585</v>
      </c>
      <c r="BV191" t="s">
        <v>69</v>
      </c>
      <c r="BY191">
        <v>10558.7</v>
      </c>
      <c r="BZ191" t="s">
        <v>97</v>
      </c>
      <c r="CA191" t="s">
        <v>140</v>
      </c>
      <c r="CC191" t="s">
        <v>139</v>
      </c>
      <c r="CD191">
        <v>2520</v>
      </c>
      <c r="CE191" t="s">
        <v>83</v>
      </c>
      <c r="CF191" s="1">
        <v>45013</v>
      </c>
      <c r="CI191">
        <v>1</v>
      </c>
      <c r="CJ191">
        <v>1</v>
      </c>
      <c r="CK191">
        <v>33</v>
      </c>
      <c r="CL191" t="s">
        <v>72</v>
      </c>
    </row>
    <row r="192" spans="1:90" x14ac:dyDescent="0.3">
      <c r="A192" t="s">
        <v>258</v>
      </c>
      <c r="B192" t="s">
        <v>259</v>
      </c>
      <c r="C192" t="s">
        <v>61</v>
      </c>
      <c r="E192" t="str">
        <f>"009941301643"</f>
        <v>009941301643</v>
      </c>
      <c r="F192" s="4">
        <v>45012</v>
      </c>
      <c r="G192">
        <v>202312</v>
      </c>
      <c r="H192" t="s">
        <v>119</v>
      </c>
      <c r="I192" t="s">
        <v>120</v>
      </c>
      <c r="J192" t="s">
        <v>390</v>
      </c>
      <c r="K192" t="s">
        <v>64</v>
      </c>
      <c r="L192" t="s">
        <v>119</v>
      </c>
      <c r="M192" t="s">
        <v>120</v>
      </c>
      <c r="N192" t="s">
        <v>272</v>
      </c>
      <c r="O192" t="s">
        <v>96</v>
      </c>
      <c r="P192" t="str">
        <f t="shared" si="8"/>
        <v xml:space="preserve">N A   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5.25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35.729999999999997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1</v>
      </c>
      <c r="BJ192" s="3">
        <v>0.2</v>
      </c>
      <c r="BK192" s="3">
        <v>1</v>
      </c>
      <c r="BL192" s="3">
        <v>105.95</v>
      </c>
      <c r="BM192" s="3">
        <v>15.89</v>
      </c>
      <c r="BN192" s="3">
        <v>121.84</v>
      </c>
      <c r="BO192" s="3">
        <v>121.84</v>
      </c>
      <c r="BQ192" t="s">
        <v>313</v>
      </c>
      <c r="BR192" t="s">
        <v>235</v>
      </c>
      <c r="BS192" s="1">
        <v>45013</v>
      </c>
      <c r="BT192" s="2">
        <v>0.5854166666666667</v>
      </c>
      <c r="BU192" t="s">
        <v>263</v>
      </c>
      <c r="BV192" t="s">
        <v>69</v>
      </c>
      <c r="BY192">
        <v>1200</v>
      </c>
      <c r="BZ192" t="s">
        <v>97</v>
      </c>
      <c r="CC192" t="s">
        <v>120</v>
      </c>
      <c r="CD192">
        <v>2013</v>
      </c>
      <c r="CE192" t="s">
        <v>83</v>
      </c>
      <c r="CF192" s="1">
        <v>45014</v>
      </c>
      <c r="CI192">
        <v>1</v>
      </c>
      <c r="CJ192">
        <v>1</v>
      </c>
      <c r="CK192">
        <v>42</v>
      </c>
      <c r="CL192" t="s">
        <v>72</v>
      </c>
    </row>
    <row r="193" spans="1:90" x14ac:dyDescent="0.3">
      <c r="A193" t="s">
        <v>258</v>
      </c>
      <c r="B193" t="s">
        <v>259</v>
      </c>
      <c r="C193" t="s">
        <v>61</v>
      </c>
      <c r="E193" t="str">
        <f>"009943336242"</f>
        <v>009943336242</v>
      </c>
      <c r="F193" s="4">
        <v>44986</v>
      </c>
      <c r="G193">
        <v>202312</v>
      </c>
      <c r="H193" t="s">
        <v>119</v>
      </c>
      <c r="I193" t="s">
        <v>120</v>
      </c>
      <c r="J193" t="s">
        <v>288</v>
      </c>
      <c r="K193" t="s">
        <v>64</v>
      </c>
      <c r="L193" t="s">
        <v>119</v>
      </c>
      <c r="M193" t="s">
        <v>120</v>
      </c>
      <c r="N193" t="s">
        <v>272</v>
      </c>
      <c r="O193" t="s">
        <v>67</v>
      </c>
      <c r="P193" t="str">
        <f t="shared" si="8"/>
        <v xml:space="preserve">N A   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18.71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1</v>
      </c>
      <c r="BJ193" s="3">
        <v>0.2</v>
      </c>
      <c r="BK193" s="3">
        <v>1</v>
      </c>
      <c r="BL193" s="3">
        <v>52.72</v>
      </c>
      <c r="BM193" s="3">
        <v>7.91</v>
      </c>
      <c r="BN193" s="3">
        <v>60.63</v>
      </c>
      <c r="BO193" s="3">
        <v>60.63</v>
      </c>
      <c r="BR193" t="s">
        <v>274</v>
      </c>
      <c r="BS193" s="1">
        <v>44987</v>
      </c>
      <c r="BT193" s="2">
        <v>0.35486111111111113</v>
      </c>
      <c r="BU193" t="s">
        <v>275</v>
      </c>
      <c r="BV193" t="s">
        <v>69</v>
      </c>
      <c r="BY193">
        <v>1200</v>
      </c>
      <c r="BZ193" t="s">
        <v>70</v>
      </c>
      <c r="CA193" t="s">
        <v>149</v>
      </c>
      <c r="CC193" t="s">
        <v>120</v>
      </c>
      <c r="CD193">
        <v>2013</v>
      </c>
      <c r="CE193" t="s">
        <v>83</v>
      </c>
      <c r="CF193" s="1">
        <v>44987</v>
      </c>
      <c r="CI193">
        <v>1</v>
      </c>
      <c r="CJ193">
        <v>1</v>
      </c>
      <c r="CK193">
        <v>22</v>
      </c>
      <c r="CL193" t="s">
        <v>72</v>
      </c>
    </row>
    <row r="194" spans="1:90" x14ac:dyDescent="0.3">
      <c r="A194" t="s">
        <v>258</v>
      </c>
      <c r="B194" t="s">
        <v>259</v>
      </c>
      <c r="C194" t="s">
        <v>61</v>
      </c>
      <c r="E194" t="str">
        <f>"009943116584"</f>
        <v>009943116584</v>
      </c>
      <c r="F194" s="4">
        <v>44986</v>
      </c>
      <c r="G194">
        <v>202312</v>
      </c>
      <c r="H194" t="s">
        <v>119</v>
      </c>
      <c r="I194" t="s">
        <v>120</v>
      </c>
      <c r="J194" t="s">
        <v>260</v>
      </c>
      <c r="K194" t="s">
        <v>64</v>
      </c>
      <c r="L194" t="s">
        <v>126</v>
      </c>
      <c r="M194" t="s">
        <v>127</v>
      </c>
      <c r="N194" t="s">
        <v>586</v>
      </c>
      <c r="O194" t="s">
        <v>203</v>
      </c>
      <c r="P194" t="str">
        <f t="shared" si="8"/>
        <v xml:space="preserve">N A  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46.4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0.7</v>
      </c>
      <c r="BJ194" s="3">
        <v>2.4</v>
      </c>
      <c r="BK194" s="3">
        <v>3</v>
      </c>
      <c r="BL194" s="3">
        <v>130.76</v>
      </c>
      <c r="BM194" s="3">
        <v>19.61</v>
      </c>
      <c r="BN194" s="3">
        <v>150.37</v>
      </c>
      <c r="BO194" s="3">
        <v>150.37</v>
      </c>
      <c r="BQ194" t="s">
        <v>214</v>
      </c>
      <c r="BR194" t="s">
        <v>263</v>
      </c>
      <c r="BS194" s="1">
        <v>44987</v>
      </c>
      <c r="BT194" s="2">
        <v>0.50972222222222219</v>
      </c>
      <c r="BU194" t="s">
        <v>147</v>
      </c>
      <c r="BV194" t="s">
        <v>69</v>
      </c>
      <c r="BY194">
        <v>12201.46</v>
      </c>
      <c r="BZ194" t="s">
        <v>97</v>
      </c>
      <c r="CA194" t="s">
        <v>250</v>
      </c>
      <c r="CC194" t="s">
        <v>127</v>
      </c>
      <c r="CD194">
        <v>7130</v>
      </c>
      <c r="CE194" t="s">
        <v>83</v>
      </c>
      <c r="CF194" s="1">
        <v>44989</v>
      </c>
      <c r="CI194">
        <v>1</v>
      </c>
      <c r="CJ194">
        <v>1</v>
      </c>
      <c r="CK194">
        <v>33</v>
      </c>
      <c r="CL194" t="s">
        <v>72</v>
      </c>
    </row>
    <row r="195" spans="1:90" x14ac:dyDescent="0.3">
      <c r="A195" t="s">
        <v>258</v>
      </c>
      <c r="B195" t="s">
        <v>259</v>
      </c>
      <c r="C195" t="s">
        <v>61</v>
      </c>
      <c r="E195" t="str">
        <f>"009943116592"</f>
        <v>009943116592</v>
      </c>
      <c r="F195" s="4">
        <v>44986</v>
      </c>
      <c r="G195">
        <v>202312</v>
      </c>
      <c r="H195" t="s">
        <v>119</v>
      </c>
      <c r="I195" t="s">
        <v>120</v>
      </c>
      <c r="J195" t="s">
        <v>260</v>
      </c>
      <c r="K195" t="s">
        <v>64</v>
      </c>
      <c r="L195" t="s">
        <v>101</v>
      </c>
      <c r="M195" t="s">
        <v>102</v>
      </c>
      <c r="N195" t="s">
        <v>587</v>
      </c>
      <c r="O195" t="s">
        <v>203</v>
      </c>
      <c r="P195" t="str">
        <f t="shared" si="8"/>
        <v xml:space="preserve">N A  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44.9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</v>
      </c>
      <c r="BJ195" s="3">
        <v>0.2</v>
      </c>
      <c r="BK195" s="3">
        <v>1</v>
      </c>
      <c r="BL195" s="3">
        <v>126.54</v>
      </c>
      <c r="BM195" s="3">
        <v>18.98</v>
      </c>
      <c r="BN195" s="3">
        <v>145.52000000000001</v>
      </c>
      <c r="BO195" s="3">
        <v>145.52000000000001</v>
      </c>
      <c r="BQ195" t="s">
        <v>214</v>
      </c>
      <c r="BR195" t="s">
        <v>263</v>
      </c>
      <c r="BS195" s="1">
        <v>44988</v>
      </c>
      <c r="BT195" s="2">
        <v>0.43124999999999997</v>
      </c>
      <c r="BU195" t="s">
        <v>588</v>
      </c>
      <c r="BV195" t="s">
        <v>72</v>
      </c>
      <c r="BW195" t="s">
        <v>153</v>
      </c>
      <c r="BX195" t="s">
        <v>104</v>
      </c>
      <c r="BY195">
        <v>1200</v>
      </c>
      <c r="BZ195" t="s">
        <v>97</v>
      </c>
      <c r="CA195" t="s">
        <v>206</v>
      </c>
      <c r="CC195" t="s">
        <v>102</v>
      </c>
      <c r="CD195">
        <v>3629</v>
      </c>
      <c r="CE195" t="s">
        <v>83</v>
      </c>
      <c r="CF195" s="1">
        <v>44992</v>
      </c>
      <c r="CI195">
        <v>1</v>
      </c>
      <c r="CJ195">
        <v>2</v>
      </c>
      <c r="CK195">
        <v>31</v>
      </c>
      <c r="CL195" t="s">
        <v>72</v>
      </c>
    </row>
    <row r="196" spans="1:90" x14ac:dyDescent="0.3">
      <c r="A196" t="s">
        <v>258</v>
      </c>
      <c r="B196" t="s">
        <v>259</v>
      </c>
      <c r="C196" t="s">
        <v>61</v>
      </c>
      <c r="E196" t="str">
        <f>"009942116027"</f>
        <v>009942116027</v>
      </c>
      <c r="F196" s="4">
        <v>44986</v>
      </c>
      <c r="G196">
        <v>202312</v>
      </c>
      <c r="H196" t="s">
        <v>65</v>
      </c>
      <c r="I196" t="s">
        <v>66</v>
      </c>
      <c r="J196" t="s">
        <v>288</v>
      </c>
      <c r="K196" t="s">
        <v>64</v>
      </c>
      <c r="L196" t="s">
        <v>119</v>
      </c>
      <c r="M196" t="s">
        <v>120</v>
      </c>
      <c r="N196" t="s">
        <v>319</v>
      </c>
      <c r="O196" t="s">
        <v>96</v>
      </c>
      <c r="P196" t="str">
        <f>"                              "</f>
        <v xml:space="preserve">     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5.25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46.31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0.5</v>
      </c>
      <c r="BJ196" s="3">
        <v>3.2</v>
      </c>
      <c r="BK196" s="3">
        <v>4</v>
      </c>
      <c r="BL196" s="3">
        <v>135.76</v>
      </c>
      <c r="BM196" s="3">
        <v>20.36</v>
      </c>
      <c r="BN196" s="3">
        <v>156.12</v>
      </c>
      <c r="BO196" s="3">
        <v>156.12</v>
      </c>
      <c r="BQ196" t="s">
        <v>187</v>
      </c>
      <c r="BR196" t="s">
        <v>409</v>
      </c>
      <c r="BS196" s="1">
        <v>44988</v>
      </c>
      <c r="BT196" s="2">
        <v>0.34027777777777773</v>
      </c>
      <c r="BU196" t="s">
        <v>275</v>
      </c>
      <c r="BV196" t="s">
        <v>69</v>
      </c>
      <c r="BY196">
        <v>15834.69</v>
      </c>
      <c r="BZ196" t="s">
        <v>97</v>
      </c>
      <c r="CA196" t="s">
        <v>149</v>
      </c>
      <c r="CC196" t="s">
        <v>120</v>
      </c>
      <c r="CD196">
        <v>2013</v>
      </c>
      <c r="CE196" t="s">
        <v>83</v>
      </c>
      <c r="CF196" s="1">
        <v>44988</v>
      </c>
      <c r="CI196">
        <v>2</v>
      </c>
      <c r="CJ196">
        <v>2</v>
      </c>
      <c r="CK196">
        <v>41</v>
      </c>
      <c r="CL196" t="s">
        <v>72</v>
      </c>
    </row>
    <row r="197" spans="1:90" x14ac:dyDescent="0.3">
      <c r="A197" t="s">
        <v>258</v>
      </c>
      <c r="B197" t="s">
        <v>259</v>
      </c>
      <c r="C197" t="s">
        <v>61</v>
      </c>
      <c r="E197" t="str">
        <f>"009942782640"</f>
        <v>009942782640</v>
      </c>
      <c r="F197" s="4">
        <v>44986</v>
      </c>
      <c r="G197">
        <v>202312</v>
      </c>
      <c r="H197" t="s">
        <v>65</v>
      </c>
      <c r="I197" t="s">
        <v>66</v>
      </c>
      <c r="J197" t="s">
        <v>272</v>
      </c>
      <c r="K197" t="s">
        <v>64</v>
      </c>
      <c r="L197" t="s">
        <v>119</v>
      </c>
      <c r="M197" t="s">
        <v>120</v>
      </c>
      <c r="N197" t="s">
        <v>272</v>
      </c>
      <c r="O197" t="s">
        <v>67</v>
      </c>
      <c r="P197" t="str">
        <f>"NA                            "</f>
        <v xml:space="preserve">NA    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29.93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0.8</v>
      </c>
      <c r="BJ197" s="3">
        <v>2.2999999999999998</v>
      </c>
      <c r="BK197" s="3">
        <v>2.5</v>
      </c>
      <c r="BL197" s="3">
        <v>84.35</v>
      </c>
      <c r="BM197" s="3">
        <v>12.65</v>
      </c>
      <c r="BN197" s="3">
        <v>97</v>
      </c>
      <c r="BO197" s="3">
        <v>97</v>
      </c>
      <c r="BQ197" t="s">
        <v>507</v>
      </c>
      <c r="BR197" t="s">
        <v>589</v>
      </c>
      <c r="BS197" s="1">
        <v>44987</v>
      </c>
      <c r="BT197" s="2">
        <v>0.39652777777777781</v>
      </c>
      <c r="BU197" t="s">
        <v>275</v>
      </c>
      <c r="BV197" t="s">
        <v>69</v>
      </c>
      <c r="BY197">
        <v>11365.2</v>
      </c>
      <c r="BZ197" t="s">
        <v>70</v>
      </c>
      <c r="CA197" t="s">
        <v>149</v>
      </c>
      <c r="CC197" t="s">
        <v>120</v>
      </c>
      <c r="CD197">
        <v>2013</v>
      </c>
      <c r="CE197" t="s">
        <v>83</v>
      </c>
      <c r="CF197" s="1">
        <v>44987</v>
      </c>
      <c r="CI197">
        <v>1</v>
      </c>
      <c r="CJ197">
        <v>1</v>
      </c>
      <c r="CK197">
        <v>21</v>
      </c>
      <c r="CL197" t="s">
        <v>72</v>
      </c>
    </row>
    <row r="198" spans="1:90" x14ac:dyDescent="0.3">
      <c r="A198" t="s">
        <v>278</v>
      </c>
      <c r="B198" t="s">
        <v>259</v>
      </c>
      <c r="C198" t="s">
        <v>61</v>
      </c>
      <c r="E198" t="str">
        <f>"009943043409"</f>
        <v>009943043409</v>
      </c>
      <c r="F198" s="4">
        <v>44986</v>
      </c>
      <c r="G198">
        <v>202312</v>
      </c>
      <c r="H198" t="s">
        <v>101</v>
      </c>
      <c r="I198" t="s">
        <v>102</v>
      </c>
      <c r="J198" t="s">
        <v>590</v>
      </c>
      <c r="K198" t="s">
        <v>64</v>
      </c>
      <c r="L198" t="s">
        <v>119</v>
      </c>
      <c r="M198" t="s">
        <v>120</v>
      </c>
      <c r="N198" t="s">
        <v>272</v>
      </c>
      <c r="O198" t="s">
        <v>96</v>
      </c>
      <c r="P198" t="str">
        <f>"                              "</f>
        <v xml:space="preserve">        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5.25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46.31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1</v>
      </c>
      <c r="BJ198" s="3">
        <v>0.2</v>
      </c>
      <c r="BK198" s="3">
        <v>1</v>
      </c>
      <c r="BL198" s="3">
        <v>135.76</v>
      </c>
      <c r="BM198" s="3">
        <v>20.36</v>
      </c>
      <c r="BN198" s="3">
        <v>156.12</v>
      </c>
      <c r="BO198" s="3">
        <v>156.12</v>
      </c>
      <c r="BS198" s="1">
        <v>44987</v>
      </c>
      <c r="BT198" s="2">
        <v>0.33333333333333331</v>
      </c>
      <c r="BU198" t="s">
        <v>281</v>
      </c>
      <c r="BV198" t="s">
        <v>69</v>
      </c>
      <c r="BY198">
        <v>1200</v>
      </c>
      <c r="BZ198" t="s">
        <v>97</v>
      </c>
      <c r="CC198" t="s">
        <v>120</v>
      </c>
      <c r="CD198">
        <v>2013</v>
      </c>
      <c r="CE198" t="s">
        <v>83</v>
      </c>
      <c r="CF198" s="1">
        <v>44987</v>
      </c>
      <c r="CI198">
        <v>1</v>
      </c>
      <c r="CJ198">
        <v>1</v>
      </c>
      <c r="CK198">
        <v>41</v>
      </c>
      <c r="CL198" t="s">
        <v>72</v>
      </c>
    </row>
    <row r="199" spans="1:90" x14ac:dyDescent="0.3">
      <c r="A199" t="s">
        <v>258</v>
      </c>
      <c r="B199" t="s">
        <v>259</v>
      </c>
      <c r="C199" t="s">
        <v>61</v>
      </c>
      <c r="E199" t="str">
        <f>"009943116590"</f>
        <v>009943116590</v>
      </c>
      <c r="F199" s="4">
        <v>44986</v>
      </c>
      <c r="G199">
        <v>202312</v>
      </c>
      <c r="H199" t="s">
        <v>119</v>
      </c>
      <c r="I199" t="s">
        <v>120</v>
      </c>
      <c r="J199" t="s">
        <v>260</v>
      </c>
      <c r="K199" t="s">
        <v>64</v>
      </c>
      <c r="L199" t="s">
        <v>101</v>
      </c>
      <c r="M199" t="s">
        <v>102</v>
      </c>
      <c r="N199" t="s">
        <v>591</v>
      </c>
      <c r="O199" t="s">
        <v>67</v>
      </c>
      <c r="P199" t="str">
        <f>"N A                           "</f>
        <v xml:space="preserve">N A  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305.2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5</v>
      </c>
      <c r="BI199" s="3">
        <v>23.8</v>
      </c>
      <c r="BJ199" s="3">
        <v>25.1</v>
      </c>
      <c r="BK199" s="3">
        <v>25.5</v>
      </c>
      <c r="BL199" s="3">
        <v>860.1</v>
      </c>
      <c r="BM199" s="3">
        <v>129.02000000000001</v>
      </c>
      <c r="BN199" s="3">
        <v>989.12</v>
      </c>
      <c r="BO199" s="3">
        <v>989.12</v>
      </c>
      <c r="BQ199" t="s">
        <v>214</v>
      </c>
      <c r="BR199" t="s">
        <v>263</v>
      </c>
      <c r="BS199" s="1">
        <v>44987</v>
      </c>
      <c r="BT199" s="2">
        <v>0.60069444444444442</v>
      </c>
      <c r="BU199" t="s">
        <v>592</v>
      </c>
      <c r="BV199" t="s">
        <v>72</v>
      </c>
      <c r="BW199" t="s">
        <v>103</v>
      </c>
      <c r="BX199" t="s">
        <v>593</v>
      </c>
      <c r="BY199">
        <v>125316.69</v>
      </c>
      <c r="BZ199" t="s">
        <v>70</v>
      </c>
      <c r="CC199" t="s">
        <v>102</v>
      </c>
      <c r="CD199">
        <v>3629</v>
      </c>
      <c r="CE199" t="s">
        <v>83</v>
      </c>
      <c r="CF199" s="1">
        <v>44992</v>
      </c>
      <c r="CI199">
        <v>1</v>
      </c>
      <c r="CJ199">
        <v>1</v>
      </c>
      <c r="CK199">
        <v>21</v>
      </c>
      <c r="CL199" t="s">
        <v>72</v>
      </c>
    </row>
    <row r="200" spans="1:90" x14ac:dyDescent="0.3">
      <c r="A200" t="s">
        <v>258</v>
      </c>
      <c r="B200" t="s">
        <v>259</v>
      </c>
      <c r="C200" t="s">
        <v>61</v>
      </c>
      <c r="E200" t="str">
        <f>"009943149850"</f>
        <v>009943149850</v>
      </c>
      <c r="F200" s="4">
        <v>44986</v>
      </c>
      <c r="G200">
        <v>202312</v>
      </c>
      <c r="H200" t="s">
        <v>119</v>
      </c>
      <c r="I200" t="s">
        <v>120</v>
      </c>
      <c r="J200" t="s">
        <v>260</v>
      </c>
      <c r="K200" t="s">
        <v>64</v>
      </c>
      <c r="L200" t="s">
        <v>123</v>
      </c>
      <c r="M200" t="s">
        <v>124</v>
      </c>
      <c r="N200" t="s">
        <v>594</v>
      </c>
      <c r="O200" t="s">
        <v>203</v>
      </c>
      <c r="P200" t="str">
        <f>"N A                           "</f>
        <v xml:space="preserve">N A   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44.9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1.1000000000000001</v>
      </c>
      <c r="BJ200" s="3">
        <v>2</v>
      </c>
      <c r="BK200" s="3">
        <v>2</v>
      </c>
      <c r="BL200" s="3">
        <v>126.54</v>
      </c>
      <c r="BM200" s="3">
        <v>18.98</v>
      </c>
      <c r="BN200" s="3">
        <v>145.52000000000001</v>
      </c>
      <c r="BO200" s="3">
        <v>145.52000000000001</v>
      </c>
      <c r="BQ200" t="s">
        <v>595</v>
      </c>
      <c r="BR200" t="s">
        <v>263</v>
      </c>
      <c r="BS200" s="1">
        <v>44987</v>
      </c>
      <c r="BT200" s="2">
        <v>0.40138888888888885</v>
      </c>
      <c r="BU200" t="s">
        <v>596</v>
      </c>
      <c r="BV200" t="s">
        <v>69</v>
      </c>
      <c r="BY200">
        <v>10021.93</v>
      </c>
      <c r="BZ200" t="s">
        <v>97</v>
      </c>
      <c r="CA200" t="s">
        <v>125</v>
      </c>
      <c r="CC200" t="s">
        <v>124</v>
      </c>
      <c r="CD200">
        <v>157</v>
      </c>
      <c r="CE200" t="s">
        <v>83</v>
      </c>
      <c r="CF200" s="1">
        <v>44987</v>
      </c>
      <c r="CI200">
        <v>1</v>
      </c>
      <c r="CJ200">
        <v>1</v>
      </c>
      <c r="CK200">
        <v>31</v>
      </c>
      <c r="CL200" t="s">
        <v>72</v>
      </c>
    </row>
    <row r="201" spans="1:90" x14ac:dyDescent="0.3">
      <c r="A201" t="s">
        <v>258</v>
      </c>
      <c r="B201" t="s">
        <v>259</v>
      </c>
      <c r="C201" t="s">
        <v>61</v>
      </c>
      <c r="E201" t="str">
        <f>"009943116596"</f>
        <v>009943116596</v>
      </c>
      <c r="F201" s="4">
        <v>44986</v>
      </c>
      <c r="G201">
        <v>202312</v>
      </c>
      <c r="H201" t="s">
        <v>119</v>
      </c>
      <c r="I201" t="s">
        <v>120</v>
      </c>
      <c r="J201" t="s">
        <v>260</v>
      </c>
      <c r="K201" t="s">
        <v>64</v>
      </c>
      <c r="L201" t="s">
        <v>65</v>
      </c>
      <c r="M201" t="s">
        <v>66</v>
      </c>
      <c r="N201" t="s">
        <v>597</v>
      </c>
      <c r="O201" t="s">
        <v>203</v>
      </c>
      <c r="P201" t="str">
        <f>"N A                           "</f>
        <v xml:space="preserve">N A     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44.9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1</v>
      </c>
      <c r="BJ201" s="3">
        <v>0.2</v>
      </c>
      <c r="BK201" s="3">
        <v>1</v>
      </c>
      <c r="BL201" s="3">
        <v>126.54</v>
      </c>
      <c r="BM201" s="3">
        <v>18.98</v>
      </c>
      <c r="BN201" s="3">
        <v>145.52000000000001</v>
      </c>
      <c r="BO201" s="3">
        <v>145.52000000000001</v>
      </c>
      <c r="BQ201" t="s">
        <v>214</v>
      </c>
      <c r="BR201" t="s">
        <v>263</v>
      </c>
      <c r="BS201" s="1">
        <v>44987</v>
      </c>
      <c r="BT201" s="2">
        <v>0.45347222222222222</v>
      </c>
      <c r="BU201" t="s">
        <v>598</v>
      </c>
      <c r="BV201" t="s">
        <v>69</v>
      </c>
      <c r="BY201">
        <v>1200</v>
      </c>
      <c r="BZ201" t="s">
        <v>97</v>
      </c>
      <c r="CA201" t="s">
        <v>371</v>
      </c>
      <c r="CC201" t="s">
        <v>66</v>
      </c>
      <c r="CD201">
        <v>7441</v>
      </c>
      <c r="CE201" t="s">
        <v>83</v>
      </c>
      <c r="CF201" s="1">
        <v>44989</v>
      </c>
      <c r="CI201">
        <v>1</v>
      </c>
      <c r="CJ201">
        <v>1</v>
      </c>
      <c r="CK201">
        <v>31</v>
      </c>
      <c r="CL201" t="s">
        <v>72</v>
      </c>
    </row>
    <row r="202" spans="1:90" x14ac:dyDescent="0.3">
      <c r="A202" t="s">
        <v>258</v>
      </c>
      <c r="B202" t="s">
        <v>259</v>
      </c>
      <c r="C202" t="s">
        <v>61</v>
      </c>
      <c r="E202" t="str">
        <f>"009943116591"</f>
        <v>009943116591</v>
      </c>
      <c r="F202" s="4">
        <v>44986</v>
      </c>
      <c r="G202">
        <v>202312</v>
      </c>
      <c r="H202" t="s">
        <v>119</v>
      </c>
      <c r="I202" t="s">
        <v>120</v>
      </c>
      <c r="J202" t="s">
        <v>260</v>
      </c>
      <c r="K202" t="s">
        <v>64</v>
      </c>
      <c r="L202" t="s">
        <v>80</v>
      </c>
      <c r="M202" t="s">
        <v>81</v>
      </c>
      <c r="N202" t="s">
        <v>599</v>
      </c>
      <c r="O202" t="s">
        <v>203</v>
      </c>
      <c r="P202" t="str">
        <f>"N A                           "</f>
        <v xml:space="preserve">N A     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22.91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2</v>
      </c>
      <c r="BJ202" s="3">
        <v>9.6</v>
      </c>
      <c r="BK202" s="3">
        <v>10</v>
      </c>
      <c r="BL202" s="3">
        <v>64.569999999999993</v>
      </c>
      <c r="BM202" s="3">
        <v>9.69</v>
      </c>
      <c r="BN202" s="3">
        <v>74.260000000000005</v>
      </c>
      <c r="BO202" s="3">
        <v>74.260000000000005</v>
      </c>
      <c r="BQ202" t="s">
        <v>214</v>
      </c>
      <c r="BR202" t="s">
        <v>263</v>
      </c>
      <c r="BS202" s="1">
        <v>44987</v>
      </c>
      <c r="BT202" s="2">
        <v>0.3979166666666667</v>
      </c>
      <c r="BU202" t="s">
        <v>600</v>
      </c>
      <c r="BV202" t="s">
        <v>69</v>
      </c>
      <c r="BY202">
        <v>48000</v>
      </c>
      <c r="BZ202" t="s">
        <v>97</v>
      </c>
      <c r="CA202" t="s">
        <v>82</v>
      </c>
      <c r="CC202" t="s">
        <v>81</v>
      </c>
      <c r="CD202">
        <v>1501</v>
      </c>
      <c r="CE202" t="s">
        <v>83</v>
      </c>
      <c r="CF202" s="1">
        <v>44987</v>
      </c>
      <c r="CI202">
        <v>1</v>
      </c>
      <c r="CJ202">
        <v>1</v>
      </c>
      <c r="CK202">
        <v>32</v>
      </c>
      <c r="CL202" t="s">
        <v>72</v>
      </c>
    </row>
    <row r="203" spans="1:90" x14ac:dyDescent="0.3">
      <c r="A203" t="s">
        <v>258</v>
      </c>
      <c r="B203" t="s">
        <v>259</v>
      </c>
      <c r="C203" t="s">
        <v>61</v>
      </c>
      <c r="E203" t="str">
        <f>"009943116588"</f>
        <v>009943116588</v>
      </c>
      <c r="F203" s="4">
        <v>44986</v>
      </c>
      <c r="G203">
        <v>202312</v>
      </c>
      <c r="H203" t="s">
        <v>119</v>
      </c>
      <c r="I203" t="s">
        <v>120</v>
      </c>
      <c r="J203" t="s">
        <v>260</v>
      </c>
      <c r="K203" t="s">
        <v>64</v>
      </c>
      <c r="L203" t="s">
        <v>236</v>
      </c>
      <c r="M203" t="s">
        <v>237</v>
      </c>
      <c r="N203" t="s">
        <v>601</v>
      </c>
      <c r="O203" t="s">
        <v>203</v>
      </c>
      <c r="P203" t="str">
        <f>"N A                           "</f>
        <v xml:space="preserve">N A   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107.2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1.7</v>
      </c>
      <c r="BJ203" s="3">
        <v>8.6999999999999993</v>
      </c>
      <c r="BK203" s="3">
        <v>9</v>
      </c>
      <c r="BL203" s="3">
        <v>302.11</v>
      </c>
      <c r="BM203" s="3">
        <v>45.32</v>
      </c>
      <c r="BN203" s="3">
        <v>347.43</v>
      </c>
      <c r="BO203" s="3">
        <v>347.43</v>
      </c>
      <c r="BQ203" t="s">
        <v>214</v>
      </c>
      <c r="BR203" t="s">
        <v>263</v>
      </c>
      <c r="BS203" s="1">
        <v>44987</v>
      </c>
      <c r="BT203" s="2">
        <v>0.54166666666666663</v>
      </c>
      <c r="BU203" t="s">
        <v>602</v>
      </c>
      <c r="BV203" t="s">
        <v>69</v>
      </c>
      <c r="BY203">
        <v>43661.09</v>
      </c>
      <c r="BZ203" t="s">
        <v>97</v>
      </c>
      <c r="CA203" t="s">
        <v>603</v>
      </c>
      <c r="CC203" t="s">
        <v>237</v>
      </c>
      <c r="CD203">
        <v>4339</v>
      </c>
      <c r="CE203" t="s">
        <v>83</v>
      </c>
      <c r="CF203" s="1">
        <v>44988</v>
      </c>
      <c r="CI203">
        <v>1</v>
      </c>
      <c r="CJ203">
        <v>1</v>
      </c>
      <c r="CK203">
        <v>33</v>
      </c>
      <c r="CL203" t="s">
        <v>72</v>
      </c>
    </row>
    <row r="204" spans="1:90" x14ac:dyDescent="0.3">
      <c r="A204" t="s">
        <v>258</v>
      </c>
      <c r="B204" t="s">
        <v>259</v>
      </c>
      <c r="C204" t="s">
        <v>61</v>
      </c>
      <c r="E204" t="str">
        <f>"009943210513"</f>
        <v>009943210513</v>
      </c>
      <c r="F204" s="4">
        <v>44986</v>
      </c>
      <c r="G204">
        <v>202312</v>
      </c>
      <c r="H204" t="s">
        <v>105</v>
      </c>
      <c r="I204" t="s">
        <v>106</v>
      </c>
      <c r="J204" t="s">
        <v>475</v>
      </c>
      <c r="K204" t="s">
        <v>64</v>
      </c>
      <c r="L204" t="s">
        <v>119</v>
      </c>
      <c r="M204" t="s">
        <v>120</v>
      </c>
      <c r="N204" t="s">
        <v>272</v>
      </c>
      <c r="O204" t="s">
        <v>96</v>
      </c>
      <c r="P204" t="str">
        <f>"NOREF                         "</f>
        <v xml:space="preserve">NOREF 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5.25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46.31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1</v>
      </c>
      <c r="BJ204" s="3">
        <v>0.2</v>
      </c>
      <c r="BK204" s="3">
        <v>1</v>
      </c>
      <c r="BL204" s="3">
        <v>135.76</v>
      </c>
      <c r="BM204" s="3">
        <v>20.36</v>
      </c>
      <c r="BN204" s="3">
        <v>156.12</v>
      </c>
      <c r="BO204" s="3">
        <v>156.12</v>
      </c>
      <c r="BQ204" t="s">
        <v>305</v>
      </c>
      <c r="BR204" t="s">
        <v>187</v>
      </c>
      <c r="BS204" s="1">
        <v>44987</v>
      </c>
      <c r="BT204" s="2">
        <v>0.3743055555555555</v>
      </c>
      <c r="BU204" t="s">
        <v>275</v>
      </c>
      <c r="BV204" t="s">
        <v>69</v>
      </c>
      <c r="BY204">
        <v>1200</v>
      </c>
      <c r="BZ204" t="s">
        <v>97</v>
      </c>
      <c r="CA204" t="s">
        <v>149</v>
      </c>
      <c r="CC204" t="s">
        <v>120</v>
      </c>
      <c r="CD204">
        <v>2013</v>
      </c>
      <c r="CE204" t="s">
        <v>83</v>
      </c>
      <c r="CF204" s="1">
        <v>44987</v>
      </c>
      <c r="CI204">
        <v>1</v>
      </c>
      <c r="CJ204">
        <v>1</v>
      </c>
      <c r="CK204">
        <v>41</v>
      </c>
      <c r="CL204" t="s">
        <v>72</v>
      </c>
    </row>
    <row r="205" spans="1:90" x14ac:dyDescent="0.3">
      <c r="A205" t="s">
        <v>258</v>
      </c>
      <c r="B205" t="s">
        <v>259</v>
      </c>
      <c r="C205" t="s">
        <v>61</v>
      </c>
      <c r="E205" t="str">
        <f>"009941950120"</f>
        <v>009941950120</v>
      </c>
      <c r="F205" s="4">
        <v>44986</v>
      </c>
      <c r="G205">
        <v>202312</v>
      </c>
      <c r="H205" t="s">
        <v>427</v>
      </c>
      <c r="I205" t="s">
        <v>428</v>
      </c>
      <c r="J205" t="s">
        <v>429</v>
      </c>
      <c r="K205" t="s">
        <v>64</v>
      </c>
      <c r="L205" t="s">
        <v>119</v>
      </c>
      <c r="M205" t="s">
        <v>120</v>
      </c>
      <c r="N205" t="s">
        <v>604</v>
      </c>
      <c r="O205" t="s">
        <v>96</v>
      </c>
      <c r="P205" t="str">
        <f>"JNX2905190235                 "</f>
        <v xml:space="preserve">JNX2905190235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5.25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46.31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1</v>
      </c>
      <c r="BJ205" s="3">
        <v>0.2</v>
      </c>
      <c r="BK205" s="3">
        <v>1</v>
      </c>
      <c r="BL205" s="3">
        <v>135.76</v>
      </c>
      <c r="BM205" s="3">
        <v>20.36</v>
      </c>
      <c r="BN205" s="3">
        <v>156.12</v>
      </c>
      <c r="BO205" s="3">
        <v>156.12</v>
      </c>
      <c r="BQ205" t="s">
        <v>605</v>
      </c>
      <c r="BR205" t="s">
        <v>431</v>
      </c>
      <c r="BS205" s="1">
        <v>44987</v>
      </c>
      <c r="BT205" s="2">
        <v>0.35416666666666669</v>
      </c>
      <c r="BU205" t="s">
        <v>275</v>
      </c>
      <c r="BV205" t="s">
        <v>69</v>
      </c>
      <c r="BY205">
        <v>1200</v>
      </c>
      <c r="BZ205" t="s">
        <v>97</v>
      </c>
      <c r="CA205" t="s">
        <v>149</v>
      </c>
      <c r="CC205" t="s">
        <v>120</v>
      </c>
      <c r="CD205">
        <v>2013</v>
      </c>
      <c r="CE205" t="s">
        <v>83</v>
      </c>
      <c r="CF205" s="1">
        <v>44987</v>
      </c>
      <c r="CI205">
        <v>1</v>
      </c>
      <c r="CJ205">
        <v>1</v>
      </c>
      <c r="CK205">
        <v>41</v>
      </c>
      <c r="CL205" t="s">
        <v>72</v>
      </c>
    </row>
    <row r="206" spans="1:90" x14ac:dyDescent="0.3">
      <c r="A206" t="s">
        <v>258</v>
      </c>
      <c r="B206" t="s">
        <v>259</v>
      </c>
      <c r="C206" t="s">
        <v>61</v>
      </c>
      <c r="E206" t="str">
        <f>"009943341920"</f>
        <v>009943341920</v>
      </c>
      <c r="F206" s="4">
        <v>44986</v>
      </c>
      <c r="G206">
        <v>202312</v>
      </c>
      <c r="H206" t="s">
        <v>119</v>
      </c>
      <c r="I206" t="s">
        <v>120</v>
      </c>
      <c r="J206" t="s">
        <v>606</v>
      </c>
      <c r="K206" t="s">
        <v>64</v>
      </c>
      <c r="L206" t="s">
        <v>119</v>
      </c>
      <c r="M206" t="s">
        <v>120</v>
      </c>
      <c r="N206" t="s">
        <v>406</v>
      </c>
      <c r="O206" t="s">
        <v>67</v>
      </c>
      <c r="P206" t="str">
        <f>"..                            "</f>
        <v xml:space="preserve">..    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18.71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1</v>
      </c>
      <c r="BJ206" s="3">
        <v>0.2</v>
      </c>
      <c r="BK206" s="3">
        <v>1</v>
      </c>
      <c r="BL206" s="3">
        <v>52.72</v>
      </c>
      <c r="BM206" s="3">
        <v>7.91</v>
      </c>
      <c r="BN206" s="3">
        <v>60.63</v>
      </c>
      <c r="BO206" s="3">
        <v>60.63</v>
      </c>
      <c r="BR206" t="s">
        <v>235</v>
      </c>
      <c r="BS206" s="1">
        <v>44987</v>
      </c>
      <c r="BT206" s="2">
        <v>0.34722222222222227</v>
      </c>
      <c r="BU206" t="s">
        <v>281</v>
      </c>
      <c r="BV206" t="s">
        <v>69</v>
      </c>
      <c r="BY206">
        <v>1200</v>
      </c>
      <c r="BZ206" t="s">
        <v>70</v>
      </c>
      <c r="CC206" t="s">
        <v>120</v>
      </c>
      <c r="CD206">
        <v>2013</v>
      </c>
      <c r="CE206" t="s">
        <v>83</v>
      </c>
      <c r="CF206" s="1">
        <v>44987</v>
      </c>
      <c r="CI206">
        <v>1</v>
      </c>
      <c r="CJ206">
        <v>1</v>
      </c>
      <c r="CK206">
        <v>22</v>
      </c>
      <c r="CL206" t="s">
        <v>72</v>
      </c>
    </row>
    <row r="207" spans="1:90" x14ac:dyDescent="0.3">
      <c r="A207" t="s">
        <v>258</v>
      </c>
      <c r="B207" t="s">
        <v>259</v>
      </c>
      <c r="C207" t="s">
        <v>61</v>
      </c>
      <c r="E207" t="str">
        <f>"009942932932"</f>
        <v>009942932932</v>
      </c>
      <c r="F207" s="4">
        <v>44986</v>
      </c>
      <c r="G207">
        <v>202312</v>
      </c>
      <c r="H207" t="s">
        <v>150</v>
      </c>
      <c r="I207" t="s">
        <v>151</v>
      </c>
      <c r="J207" t="s">
        <v>432</v>
      </c>
      <c r="K207" t="s">
        <v>64</v>
      </c>
      <c r="L207" t="s">
        <v>119</v>
      </c>
      <c r="M207" t="s">
        <v>120</v>
      </c>
      <c r="N207" t="s">
        <v>272</v>
      </c>
      <c r="O207" t="s">
        <v>67</v>
      </c>
      <c r="P207" t="str">
        <f>"                              "</f>
        <v xml:space="preserve">     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33.68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1</v>
      </c>
      <c r="BJ207" s="3">
        <v>0.2</v>
      </c>
      <c r="BK207" s="3">
        <v>1</v>
      </c>
      <c r="BL207" s="3">
        <v>94.92</v>
      </c>
      <c r="BM207" s="3">
        <v>14.24</v>
      </c>
      <c r="BN207" s="3">
        <v>109.16</v>
      </c>
      <c r="BO207" s="3">
        <v>109.16</v>
      </c>
      <c r="BQ207" t="s">
        <v>305</v>
      </c>
      <c r="BR207" t="s">
        <v>235</v>
      </c>
      <c r="BS207" s="1">
        <v>44987</v>
      </c>
      <c r="BT207" s="2">
        <v>0.39583333333333331</v>
      </c>
      <c r="BU207" t="s">
        <v>275</v>
      </c>
      <c r="BV207" t="s">
        <v>69</v>
      </c>
      <c r="BY207">
        <v>1200</v>
      </c>
      <c r="BZ207" t="s">
        <v>70</v>
      </c>
      <c r="CA207" t="s">
        <v>149</v>
      </c>
      <c r="CC207" t="s">
        <v>120</v>
      </c>
      <c r="CD207">
        <v>2013</v>
      </c>
      <c r="CE207" t="s">
        <v>83</v>
      </c>
      <c r="CF207" s="1">
        <v>44987</v>
      </c>
      <c r="CI207">
        <v>1</v>
      </c>
      <c r="CJ207">
        <v>1</v>
      </c>
      <c r="CK207">
        <v>24</v>
      </c>
      <c r="CL207" t="s">
        <v>72</v>
      </c>
    </row>
    <row r="208" spans="1:90" x14ac:dyDescent="0.3">
      <c r="A208" t="s">
        <v>258</v>
      </c>
      <c r="B208" t="s">
        <v>259</v>
      </c>
      <c r="C208" t="s">
        <v>61</v>
      </c>
      <c r="E208" t="str">
        <f>"009943149862"</f>
        <v>009943149862</v>
      </c>
      <c r="F208" s="4">
        <v>44987</v>
      </c>
      <c r="G208">
        <v>202312</v>
      </c>
      <c r="H208" t="s">
        <v>119</v>
      </c>
      <c r="I208" t="s">
        <v>120</v>
      </c>
      <c r="J208" t="s">
        <v>260</v>
      </c>
      <c r="K208" t="s">
        <v>64</v>
      </c>
      <c r="L208" t="s">
        <v>123</v>
      </c>
      <c r="M208" t="s">
        <v>124</v>
      </c>
      <c r="N208" t="s">
        <v>607</v>
      </c>
      <c r="O208" t="s">
        <v>203</v>
      </c>
      <c r="P208" t="str">
        <f>"N A                           "</f>
        <v xml:space="preserve">N A     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44.9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1</v>
      </c>
      <c r="BJ208" s="3">
        <v>0.2</v>
      </c>
      <c r="BK208" s="3">
        <v>1</v>
      </c>
      <c r="BL208" s="3">
        <v>126.54</v>
      </c>
      <c r="BM208" s="3">
        <v>18.98</v>
      </c>
      <c r="BN208" s="3">
        <v>145.52000000000001</v>
      </c>
      <c r="BO208" s="3">
        <v>145.52000000000001</v>
      </c>
      <c r="BQ208" t="s">
        <v>608</v>
      </c>
      <c r="BR208" t="s">
        <v>263</v>
      </c>
      <c r="BS208" s="1">
        <v>44988</v>
      </c>
      <c r="BT208" s="2">
        <v>0.41180555555555554</v>
      </c>
      <c r="BU208" t="s">
        <v>609</v>
      </c>
      <c r="BV208" t="s">
        <v>69</v>
      </c>
      <c r="BY208">
        <v>1200</v>
      </c>
      <c r="BZ208" t="s">
        <v>97</v>
      </c>
      <c r="CA208" t="s">
        <v>125</v>
      </c>
      <c r="CC208" t="s">
        <v>124</v>
      </c>
      <c r="CD208">
        <v>157</v>
      </c>
      <c r="CE208" t="s">
        <v>83</v>
      </c>
      <c r="CF208" s="1">
        <v>44988</v>
      </c>
      <c r="CI208">
        <v>1</v>
      </c>
      <c r="CJ208">
        <v>1</v>
      </c>
      <c r="CK208">
        <v>31</v>
      </c>
      <c r="CL208" t="s">
        <v>72</v>
      </c>
    </row>
    <row r="209" spans="1:90" x14ac:dyDescent="0.3">
      <c r="A209" t="s">
        <v>258</v>
      </c>
      <c r="B209" t="s">
        <v>259</v>
      </c>
      <c r="C209" t="s">
        <v>61</v>
      </c>
      <c r="E209" t="str">
        <f>"009943149869"</f>
        <v>009943149869</v>
      </c>
      <c r="F209" s="4">
        <v>44987</v>
      </c>
      <c r="G209">
        <v>202312</v>
      </c>
      <c r="H209" t="s">
        <v>119</v>
      </c>
      <c r="I209" t="s">
        <v>120</v>
      </c>
      <c r="J209" t="s">
        <v>260</v>
      </c>
      <c r="K209" t="s">
        <v>64</v>
      </c>
      <c r="L209" t="s">
        <v>101</v>
      </c>
      <c r="M209" t="s">
        <v>102</v>
      </c>
      <c r="N209" t="s">
        <v>610</v>
      </c>
      <c r="O209" t="s">
        <v>67</v>
      </c>
      <c r="P209" t="str">
        <f>"N A                           "</f>
        <v xml:space="preserve">N A   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59.85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2</v>
      </c>
      <c r="BJ209" s="3">
        <v>4.7</v>
      </c>
      <c r="BK209" s="3">
        <v>5</v>
      </c>
      <c r="BL209" s="3">
        <v>168.67</v>
      </c>
      <c r="BM209" s="3">
        <v>25.3</v>
      </c>
      <c r="BN209" s="3">
        <v>193.97</v>
      </c>
      <c r="BO209" s="3">
        <v>193.97</v>
      </c>
      <c r="BQ209" t="s">
        <v>611</v>
      </c>
      <c r="BR209" t="s">
        <v>263</v>
      </c>
      <c r="BS209" s="1">
        <v>44988</v>
      </c>
      <c r="BT209" s="2">
        <v>0.43194444444444446</v>
      </c>
      <c r="BU209" t="s">
        <v>588</v>
      </c>
      <c r="BV209" t="s">
        <v>69</v>
      </c>
      <c r="BY209">
        <v>23509.8</v>
      </c>
      <c r="BZ209" t="s">
        <v>70</v>
      </c>
      <c r="CA209" t="s">
        <v>206</v>
      </c>
      <c r="CC209" t="s">
        <v>102</v>
      </c>
      <c r="CD209">
        <v>3629</v>
      </c>
      <c r="CE209" t="s">
        <v>83</v>
      </c>
      <c r="CF209" s="1">
        <v>44992</v>
      </c>
      <c r="CI209">
        <v>1</v>
      </c>
      <c r="CJ209">
        <v>1</v>
      </c>
      <c r="CK209">
        <v>21</v>
      </c>
      <c r="CL209" t="s">
        <v>72</v>
      </c>
    </row>
    <row r="210" spans="1:90" x14ac:dyDescent="0.3">
      <c r="A210" t="s">
        <v>258</v>
      </c>
      <c r="B210" t="s">
        <v>259</v>
      </c>
      <c r="C210" t="s">
        <v>61</v>
      </c>
      <c r="E210" t="str">
        <f>"009943149868"</f>
        <v>009943149868</v>
      </c>
      <c r="F210" s="4">
        <v>44987</v>
      </c>
      <c r="G210">
        <v>202312</v>
      </c>
      <c r="H210" t="s">
        <v>119</v>
      </c>
      <c r="I210" t="s">
        <v>120</v>
      </c>
      <c r="J210" t="s">
        <v>260</v>
      </c>
      <c r="K210" t="s">
        <v>64</v>
      </c>
      <c r="L210" t="s">
        <v>65</v>
      </c>
      <c r="M210" t="s">
        <v>66</v>
      </c>
      <c r="N210" t="s">
        <v>272</v>
      </c>
      <c r="O210" t="s">
        <v>67</v>
      </c>
      <c r="P210" t="str">
        <f>"N A                           "</f>
        <v xml:space="preserve">N A     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59.85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2.2999999999999998</v>
      </c>
      <c r="BJ210" s="3">
        <v>4.7</v>
      </c>
      <c r="BK210" s="3">
        <v>5</v>
      </c>
      <c r="BL210" s="3">
        <v>168.67</v>
      </c>
      <c r="BM210" s="3">
        <v>25.3</v>
      </c>
      <c r="BN210" s="3">
        <v>193.97</v>
      </c>
      <c r="BO210" s="3">
        <v>193.97</v>
      </c>
      <c r="BQ210" t="s">
        <v>611</v>
      </c>
      <c r="BR210" t="s">
        <v>612</v>
      </c>
      <c r="BS210" s="1">
        <v>44988</v>
      </c>
      <c r="BT210" s="2">
        <v>0.42222222222222222</v>
      </c>
      <c r="BU210" t="s">
        <v>356</v>
      </c>
      <c r="BV210" t="s">
        <v>69</v>
      </c>
      <c r="BY210">
        <v>23667</v>
      </c>
      <c r="BZ210" t="s">
        <v>70</v>
      </c>
      <c r="CA210" t="s">
        <v>71</v>
      </c>
      <c r="CC210" t="s">
        <v>66</v>
      </c>
      <c r="CD210">
        <v>7441</v>
      </c>
      <c r="CE210" t="s">
        <v>83</v>
      </c>
      <c r="CF210" s="1">
        <v>44992</v>
      </c>
      <c r="CI210">
        <v>1</v>
      </c>
      <c r="CJ210">
        <v>1</v>
      </c>
      <c r="CK210">
        <v>21</v>
      </c>
      <c r="CL210" t="s">
        <v>72</v>
      </c>
    </row>
    <row r="211" spans="1:90" x14ac:dyDescent="0.3">
      <c r="A211" t="s">
        <v>258</v>
      </c>
      <c r="B211" t="s">
        <v>259</v>
      </c>
      <c r="C211" t="s">
        <v>61</v>
      </c>
      <c r="E211" t="str">
        <f>"009942776644"</f>
        <v>009942776644</v>
      </c>
      <c r="F211" s="4">
        <v>44987</v>
      </c>
      <c r="G211">
        <v>202312</v>
      </c>
      <c r="H211" t="s">
        <v>65</v>
      </c>
      <c r="I211" t="s">
        <v>66</v>
      </c>
      <c r="J211" t="s">
        <v>288</v>
      </c>
      <c r="K211" t="s">
        <v>64</v>
      </c>
      <c r="L211" t="s">
        <v>119</v>
      </c>
      <c r="M211" t="s">
        <v>120</v>
      </c>
      <c r="N211" t="s">
        <v>272</v>
      </c>
      <c r="O211" t="s">
        <v>67</v>
      </c>
      <c r="P211" t="str">
        <f>"                              "</f>
        <v xml:space="preserve">        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23.95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0.3</v>
      </c>
      <c r="BJ211" s="3">
        <v>1.7</v>
      </c>
      <c r="BK211" s="3">
        <v>2</v>
      </c>
      <c r="BL211" s="3">
        <v>67.489999999999995</v>
      </c>
      <c r="BM211" s="3">
        <v>10.119999999999999</v>
      </c>
      <c r="BN211" s="3">
        <v>77.61</v>
      </c>
      <c r="BO211" s="3">
        <v>77.61</v>
      </c>
      <c r="BQ211" t="s">
        <v>613</v>
      </c>
      <c r="BR211" t="s">
        <v>322</v>
      </c>
      <c r="BS211" s="1">
        <v>44988</v>
      </c>
      <c r="BT211" s="2">
        <v>0.34722222222222227</v>
      </c>
      <c r="BU211" t="s">
        <v>275</v>
      </c>
      <c r="BV211" t="s">
        <v>69</v>
      </c>
      <c r="BY211">
        <v>8653.0499999999993</v>
      </c>
      <c r="BZ211" t="s">
        <v>70</v>
      </c>
      <c r="CA211" t="s">
        <v>149</v>
      </c>
      <c r="CC211" t="s">
        <v>120</v>
      </c>
      <c r="CD211">
        <v>2016</v>
      </c>
      <c r="CE211" t="s">
        <v>83</v>
      </c>
      <c r="CF211" s="1">
        <v>44988</v>
      </c>
      <c r="CI211">
        <v>1</v>
      </c>
      <c r="CJ211">
        <v>1</v>
      </c>
      <c r="CK211">
        <v>21</v>
      </c>
      <c r="CL211" t="s">
        <v>72</v>
      </c>
    </row>
    <row r="212" spans="1:90" x14ac:dyDescent="0.3">
      <c r="A212" t="s">
        <v>258</v>
      </c>
      <c r="B212" t="s">
        <v>259</v>
      </c>
      <c r="C212" t="s">
        <v>61</v>
      </c>
      <c r="E212" t="str">
        <f>"009943078680"</f>
        <v>009943078680</v>
      </c>
      <c r="F212" s="4">
        <v>44987</v>
      </c>
      <c r="G212">
        <v>202312</v>
      </c>
      <c r="H212" t="s">
        <v>105</v>
      </c>
      <c r="I212" t="s">
        <v>106</v>
      </c>
      <c r="J212" t="s">
        <v>324</v>
      </c>
      <c r="K212" t="s">
        <v>64</v>
      </c>
      <c r="L212" t="s">
        <v>119</v>
      </c>
      <c r="M212" t="s">
        <v>120</v>
      </c>
      <c r="N212" t="s">
        <v>272</v>
      </c>
      <c r="O212" t="s">
        <v>96</v>
      </c>
      <c r="P212" t="str">
        <f>".                             "</f>
        <v xml:space="preserve">.     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5.25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46.31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1</v>
      </c>
      <c r="BJ212" s="3">
        <v>0.2</v>
      </c>
      <c r="BK212" s="3">
        <v>1</v>
      </c>
      <c r="BL212" s="3">
        <v>135.76</v>
      </c>
      <c r="BM212" s="3">
        <v>20.36</v>
      </c>
      <c r="BN212" s="3">
        <v>156.12</v>
      </c>
      <c r="BO212" s="3">
        <v>156.12</v>
      </c>
      <c r="BQ212" t="s">
        <v>313</v>
      </c>
      <c r="BR212" t="s">
        <v>187</v>
      </c>
      <c r="BS212" s="1">
        <v>44988</v>
      </c>
      <c r="BT212" s="2">
        <v>0.36458333333333331</v>
      </c>
      <c r="BU212" t="s">
        <v>275</v>
      </c>
      <c r="BV212" t="s">
        <v>69</v>
      </c>
      <c r="BY212">
        <v>1200</v>
      </c>
      <c r="BZ212" t="s">
        <v>97</v>
      </c>
      <c r="CA212" t="s">
        <v>149</v>
      </c>
      <c r="CC212" t="s">
        <v>120</v>
      </c>
      <c r="CD212">
        <v>2013</v>
      </c>
      <c r="CE212" t="s">
        <v>83</v>
      </c>
      <c r="CF212" s="1">
        <v>44988</v>
      </c>
      <c r="CI212">
        <v>1</v>
      </c>
      <c r="CJ212">
        <v>1</v>
      </c>
      <c r="CK212">
        <v>41</v>
      </c>
      <c r="CL212" t="s">
        <v>72</v>
      </c>
    </row>
    <row r="213" spans="1:90" x14ac:dyDescent="0.3">
      <c r="A213" t="s">
        <v>258</v>
      </c>
      <c r="B213" t="s">
        <v>259</v>
      </c>
      <c r="C213" t="s">
        <v>61</v>
      </c>
      <c r="E213" t="str">
        <f>"009942840100"</f>
        <v>009942840100</v>
      </c>
      <c r="F213" s="4">
        <v>44987</v>
      </c>
      <c r="G213">
        <v>202312</v>
      </c>
      <c r="H213" t="s">
        <v>208</v>
      </c>
      <c r="I213" t="s">
        <v>209</v>
      </c>
      <c r="J213" t="s">
        <v>312</v>
      </c>
      <c r="K213" t="s">
        <v>64</v>
      </c>
      <c r="L213" t="s">
        <v>119</v>
      </c>
      <c r="M213" t="s">
        <v>120</v>
      </c>
      <c r="N213" t="s">
        <v>272</v>
      </c>
      <c r="O213" t="s">
        <v>67</v>
      </c>
      <c r="P213" t="str">
        <f>"NA                            "</f>
        <v xml:space="preserve">NA    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18.71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1</v>
      </c>
      <c r="BJ213" s="3">
        <v>0.2</v>
      </c>
      <c r="BK213" s="3">
        <v>1</v>
      </c>
      <c r="BL213" s="3">
        <v>52.72</v>
      </c>
      <c r="BM213" s="3">
        <v>7.91</v>
      </c>
      <c r="BN213" s="3">
        <v>60.63</v>
      </c>
      <c r="BO213" s="3">
        <v>60.63</v>
      </c>
      <c r="BQ213" t="s">
        <v>313</v>
      </c>
      <c r="BR213" t="s">
        <v>314</v>
      </c>
      <c r="BS213" s="1">
        <v>44988</v>
      </c>
      <c r="BT213" s="2">
        <v>0.3666666666666667</v>
      </c>
      <c r="BU213" t="s">
        <v>275</v>
      </c>
      <c r="BV213" t="s">
        <v>69</v>
      </c>
      <c r="BY213">
        <v>1200</v>
      </c>
      <c r="BZ213" t="s">
        <v>70</v>
      </c>
      <c r="CA213" t="s">
        <v>149</v>
      </c>
      <c r="CC213" t="s">
        <v>120</v>
      </c>
      <c r="CD213">
        <v>2013</v>
      </c>
      <c r="CE213" t="s">
        <v>83</v>
      </c>
      <c r="CF213" s="1">
        <v>44988</v>
      </c>
      <c r="CI213">
        <v>1</v>
      </c>
      <c r="CJ213">
        <v>1</v>
      </c>
      <c r="CK213">
        <v>22</v>
      </c>
      <c r="CL213" t="s">
        <v>72</v>
      </c>
    </row>
    <row r="214" spans="1:90" x14ac:dyDescent="0.3">
      <c r="A214" t="s">
        <v>258</v>
      </c>
      <c r="B214" t="s">
        <v>259</v>
      </c>
      <c r="C214" t="s">
        <v>61</v>
      </c>
      <c r="E214" t="str">
        <f>"009943149864"</f>
        <v>009943149864</v>
      </c>
      <c r="F214" s="4">
        <v>44987</v>
      </c>
      <c r="G214">
        <v>202312</v>
      </c>
      <c r="H214" t="s">
        <v>119</v>
      </c>
      <c r="I214" t="s">
        <v>120</v>
      </c>
      <c r="J214" t="s">
        <v>260</v>
      </c>
      <c r="K214" t="s">
        <v>64</v>
      </c>
      <c r="L214" t="s">
        <v>65</v>
      </c>
      <c r="M214" t="s">
        <v>66</v>
      </c>
      <c r="N214" t="s">
        <v>614</v>
      </c>
      <c r="O214" t="s">
        <v>203</v>
      </c>
      <c r="P214" t="str">
        <f>"N A                           "</f>
        <v xml:space="preserve">N A   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213.28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3.4</v>
      </c>
      <c r="BJ214" s="3">
        <v>18.5</v>
      </c>
      <c r="BK214" s="3">
        <v>19</v>
      </c>
      <c r="BL214" s="3">
        <v>601.07000000000005</v>
      </c>
      <c r="BM214" s="3">
        <v>90.16</v>
      </c>
      <c r="BN214" s="3">
        <v>691.23</v>
      </c>
      <c r="BO214" s="3">
        <v>691.23</v>
      </c>
      <c r="BQ214" t="s">
        <v>615</v>
      </c>
      <c r="BR214" t="s">
        <v>263</v>
      </c>
      <c r="BS214" s="1">
        <v>44988</v>
      </c>
      <c r="BT214" s="2">
        <v>0.54166666666666663</v>
      </c>
      <c r="BU214" t="s">
        <v>616</v>
      </c>
      <c r="BV214" t="s">
        <v>69</v>
      </c>
      <c r="BY214">
        <v>92525.32</v>
      </c>
      <c r="BZ214" t="s">
        <v>97</v>
      </c>
      <c r="CC214" t="s">
        <v>66</v>
      </c>
      <c r="CD214">
        <v>7441</v>
      </c>
      <c r="CE214" t="s">
        <v>83</v>
      </c>
      <c r="CF214" s="1">
        <v>44991</v>
      </c>
      <c r="CI214">
        <v>1</v>
      </c>
      <c r="CJ214">
        <v>1</v>
      </c>
      <c r="CK214">
        <v>31</v>
      </c>
      <c r="CL214" t="s">
        <v>72</v>
      </c>
    </row>
    <row r="215" spans="1:90" x14ac:dyDescent="0.3">
      <c r="A215" t="s">
        <v>258</v>
      </c>
      <c r="B215" t="s">
        <v>259</v>
      </c>
      <c r="C215" t="s">
        <v>61</v>
      </c>
      <c r="E215" t="str">
        <f>"009943116595"</f>
        <v>009943116595</v>
      </c>
      <c r="F215" s="4">
        <v>44987</v>
      </c>
      <c r="G215">
        <v>202312</v>
      </c>
      <c r="H215" t="s">
        <v>119</v>
      </c>
      <c r="I215" t="s">
        <v>120</v>
      </c>
      <c r="J215" t="s">
        <v>260</v>
      </c>
      <c r="K215" t="s">
        <v>64</v>
      </c>
      <c r="L215" t="s">
        <v>119</v>
      </c>
      <c r="M215" t="s">
        <v>120</v>
      </c>
      <c r="N215" t="s">
        <v>617</v>
      </c>
      <c r="O215" t="s">
        <v>203</v>
      </c>
      <c r="P215" t="str">
        <f>"N A                           "</f>
        <v xml:space="preserve">N A     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18.71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0.5</v>
      </c>
      <c r="BJ215" s="3">
        <v>2.2000000000000002</v>
      </c>
      <c r="BK215" s="3">
        <v>3</v>
      </c>
      <c r="BL215" s="3">
        <v>52.73</v>
      </c>
      <c r="BM215" s="3">
        <v>7.91</v>
      </c>
      <c r="BN215" s="3">
        <v>60.64</v>
      </c>
      <c r="BO215" s="3">
        <v>60.64</v>
      </c>
      <c r="BQ215" t="s">
        <v>618</v>
      </c>
      <c r="BR215" t="s">
        <v>263</v>
      </c>
      <c r="BS215" s="1">
        <v>44988</v>
      </c>
      <c r="BT215" s="2">
        <v>0.66041666666666665</v>
      </c>
      <c r="BU215" t="s">
        <v>619</v>
      </c>
      <c r="BV215" t="s">
        <v>72</v>
      </c>
      <c r="BW215" t="s">
        <v>98</v>
      </c>
      <c r="BX215" t="s">
        <v>148</v>
      </c>
      <c r="BY215">
        <v>11098.62</v>
      </c>
      <c r="BZ215" t="s">
        <v>97</v>
      </c>
      <c r="CC215" t="s">
        <v>120</v>
      </c>
      <c r="CD215">
        <v>2193</v>
      </c>
      <c r="CE215" t="s">
        <v>83</v>
      </c>
      <c r="CF215" s="1">
        <v>44988</v>
      </c>
      <c r="CI215">
        <v>1</v>
      </c>
      <c r="CJ215">
        <v>1</v>
      </c>
      <c r="CK215">
        <v>32</v>
      </c>
      <c r="CL215" t="s">
        <v>72</v>
      </c>
    </row>
    <row r="216" spans="1:90" x14ac:dyDescent="0.3">
      <c r="A216" t="s">
        <v>258</v>
      </c>
      <c r="B216" t="s">
        <v>259</v>
      </c>
      <c r="C216" t="s">
        <v>61</v>
      </c>
      <c r="E216" t="str">
        <f>"009943116593"</f>
        <v>009943116593</v>
      </c>
      <c r="F216" s="4">
        <v>44987</v>
      </c>
      <c r="G216">
        <v>202312</v>
      </c>
      <c r="H216" t="s">
        <v>119</v>
      </c>
      <c r="I216" t="s">
        <v>120</v>
      </c>
      <c r="J216" t="s">
        <v>260</v>
      </c>
      <c r="K216" t="s">
        <v>64</v>
      </c>
      <c r="L216" t="s">
        <v>119</v>
      </c>
      <c r="M216" t="s">
        <v>120</v>
      </c>
      <c r="N216" t="s">
        <v>620</v>
      </c>
      <c r="O216" t="s">
        <v>67</v>
      </c>
      <c r="P216" t="str">
        <f>"N A                           "</f>
        <v xml:space="preserve">N A   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18.71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2</v>
      </c>
      <c r="BJ216" s="3">
        <v>2.4</v>
      </c>
      <c r="BK216" s="3">
        <v>2.5</v>
      </c>
      <c r="BL216" s="3">
        <v>52.72</v>
      </c>
      <c r="BM216" s="3">
        <v>7.91</v>
      </c>
      <c r="BN216" s="3">
        <v>60.63</v>
      </c>
      <c r="BO216" s="3">
        <v>60.63</v>
      </c>
      <c r="BQ216" t="s">
        <v>621</v>
      </c>
      <c r="BR216" t="s">
        <v>263</v>
      </c>
      <c r="BS216" s="1">
        <v>44988</v>
      </c>
      <c r="BT216" s="2">
        <v>0.43958333333333338</v>
      </c>
      <c r="BU216" t="s">
        <v>622</v>
      </c>
      <c r="BV216" t="s">
        <v>72</v>
      </c>
      <c r="BW216" t="s">
        <v>98</v>
      </c>
      <c r="BX216" t="s">
        <v>148</v>
      </c>
      <c r="BY216">
        <v>12046.85</v>
      </c>
      <c r="BZ216" t="s">
        <v>70</v>
      </c>
      <c r="CA216" t="s">
        <v>623</v>
      </c>
      <c r="CC216" t="s">
        <v>120</v>
      </c>
      <c r="CD216">
        <v>2149</v>
      </c>
      <c r="CE216" t="s">
        <v>83</v>
      </c>
      <c r="CF216" s="1">
        <v>44988</v>
      </c>
      <c r="CI216">
        <v>1</v>
      </c>
      <c r="CJ216">
        <v>1</v>
      </c>
      <c r="CK216">
        <v>22</v>
      </c>
      <c r="CL216" t="s">
        <v>72</v>
      </c>
    </row>
    <row r="217" spans="1:90" x14ac:dyDescent="0.3">
      <c r="A217" t="s">
        <v>258</v>
      </c>
      <c r="B217" t="s">
        <v>259</v>
      </c>
      <c r="C217" t="s">
        <v>61</v>
      </c>
      <c r="E217" t="str">
        <f>"009943116589"</f>
        <v>009943116589</v>
      </c>
      <c r="F217" s="4">
        <v>44987</v>
      </c>
      <c r="G217">
        <v>202312</v>
      </c>
      <c r="H217" t="s">
        <v>119</v>
      </c>
      <c r="I217" t="s">
        <v>120</v>
      </c>
      <c r="J217" t="s">
        <v>260</v>
      </c>
      <c r="K217" t="s">
        <v>64</v>
      </c>
      <c r="L217" t="s">
        <v>145</v>
      </c>
      <c r="M217" t="s">
        <v>146</v>
      </c>
      <c r="N217" t="s">
        <v>624</v>
      </c>
      <c r="O217" t="s">
        <v>203</v>
      </c>
      <c r="P217" t="str">
        <f>"N A                           "</f>
        <v xml:space="preserve">N A   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44.9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0.2</v>
      </c>
      <c r="BJ217" s="3">
        <v>1.4</v>
      </c>
      <c r="BK217" s="3">
        <v>2</v>
      </c>
      <c r="BL217" s="3">
        <v>126.54</v>
      </c>
      <c r="BM217" s="3">
        <v>18.98</v>
      </c>
      <c r="BN217" s="3">
        <v>145.52000000000001</v>
      </c>
      <c r="BO217" s="3">
        <v>145.52000000000001</v>
      </c>
      <c r="BQ217" t="s">
        <v>625</v>
      </c>
      <c r="BR217" t="s">
        <v>263</v>
      </c>
      <c r="BS217" s="1">
        <v>44988</v>
      </c>
      <c r="BT217" s="2">
        <v>0.38472222222222219</v>
      </c>
      <c r="BU217" t="s">
        <v>626</v>
      </c>
      <c r="BV217" t="s">
        <v>69</v>
      </c>
      <c r="BY217">
        <v>7206.05</v>
      </c>
      <c r="BZ217" t="s">
        <v>97</v>
      </c>
      <c r="CA217" t="s">
        <v>450</v>
      </c>
      <c r="CC217" t="s">
        <v>146</v>
      </c>
      <c r="CD217">
        <v>4319</v>
      </c>
      <c r="CE217" t="s">
        <v>83</v>
      </c>
      <c r="CF217" s="1">
        <v>44992</v>
      </c>
      <c r="CI217">
        <v>1</v>
      </c>
      <c r="CJ217">
        <v>1</v>
      </c>
      <c r="CK217">
        <v>31</v>
      </c>
      <c r="CL217" t="s">
        <v>72</v>
      </c>
    </row>
    <row r="218" spans="1:90" x14ac:dyDescent="0.3">
      <c r="A218" t="s">
        <v>258</v>
      </c>
      <c r="B218" t="s">
        <v>259</v>
      </c>
      <c r="C218" t="s">
        <v>61</v>
      </c>
      <c r="E218" t="str">
        <f>"009942377032"</f>
        <v>009942377032</v>
      </c>
      <c r="F218" s="4">
        <v>44987</v>
      </c>
      <c r="G218">
        <v>202312</v>
      </c>
      <c r="H218" t="s">
        <v>65</v>
      </c>
      <c r="I218" t="s">
        <v>66</v>
      </c>
      <c r="J218" t="s">
        <v>288</v>
      </c>
      <c r="K218" t="s">
        <v>64</v>
      </c>
      <c r="L218" t="s">
        <v>119</v>
      </c>
      <c r="M218" t="s">
        <v>120</v>
      </c>
      <c r="N218" t="s">
        <v>272</v>
      </c>
      <c r="O218" t="s">
        <v>96</v>
      </c>
      <c r="P218" t="str">
        <f>"                              "</f>
        <v xml:space="preserve">        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5.25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46.31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0.3</v>
      </c>
      <c r="BJ218" s="3">
        <v>2.1</v>
      </c>
      <c r="BK218" s="3">
        <v>3</v>
      </c>
      <c r="BL218" s="3">
        <v>135.76</v>
      </c>
      <c r="BM218" s="3">
        <v>20.36</v>
      </c>
      <c r="BN218" s="3">
        <v>156.12</v>
      </c>
      <c r="BO218" s="3">
        <v>156.12</v>
      </c>
      <c r="BQ218" t="s">
        <v>605</v>
      </c>
      <c r="BR218" t="s">
        <v>627</v>
      </c>
      <c r="BS218" s="1">
        <v>44991</v>
      </c>
      <c r="BT218" s="2">
        <v>0.39583333333333331</v>
      </c>
      <c r="BU218" t="s">
        <v>281</v>
      </c>
      <c r="BV218" t="s">
        <v>69</v>
      </c>
      <c r="BY218">
        <v>10280.790000000001</v>
      </c>
      <c r="BZ218" t="s">
        <v>97</v>
      </c>
      <c r="CA218" t="s">
        <v>149</v>
      </c>
      <c r="CC218" t="s">
        <v>120</v>
      </c>
      <c r="CD218">
        <v>2013</v>
      </c>
      <c r="CE218" t="s">
        <v>83</v>
      </c>
      <c r="CF218" s="1">
        <v>44991</v>
      </c>
      <c r="CI218">
        <v>2</v>
      </c>
      <c r="CJ218">
        <v>2</v>
      </c>
      <c r="CK218">
        <v>41</v>
      </c>
      <c r="CL218" t="s">
        <v>72</v>
      </c>
    </row>
    <row r="219" spans="1:90" x14ac:dyDescent="0.3">
      <c r="A219" t="s">
        <v>258</v>
      </c>
      <c r="B219" t="s">
        <v>259</v>
      </c>
      <c r="C219" t="s">
        <v>61</v>
      </c>
      <c r="E219" t="str">
        <f>"009943341932"</f>
        <v>009943341932</v>
      </c>
      <c r="F219" s="4">
        <v>44987</v>
      </c>
      <c r="G219">
        <v>202312</v>
      </c>
      <c r="H219" t="s">
        <v>119</v>
      </c>
      <c r="I219" t="s">
        <v>120</v>
      </c>
      <c r="J219" t="s">
        <v>405</v>
      </c>
      <c r="K219" t="s">
        <v>64</v>
      </c>
      <c r="L219" t="s">
        <v>119</v>
      </c>
      <c r="M219" t="s">
        <v>120</v>
      </c>
      <c r="N219" t="s">
        <v>406</v>
      </c>
      <c r="O219" t="s">
        <v>67</v>
      </c>
      <c r="P219" t="str">
        <f>"..                            "</f>
        <v xml:space="preserve">.. 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18.71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1</v>
      </c>
      <c r="BJ219" s="3">
        <v>0.2</v>
      </c>
      <c r="BK219" s="3">
        <v>1</v>
      </c>
      <c r="BL219" s="3">
        <v>52.72</v>
      </c>
      <c r="BM219" s="3">
        <v>7.91</v>
      </c>
      <c r="BN219" s="3">
        <v>60.63</v>
      </c>
      <c r="BO219" s="3">
        <v>60.63</v>
      </c>
      <c r="BQ219" t="s">
        <v>214</v>
      </c>
      <c r="BR219" t="s">
        <v>235</v>
      </c>
      <c r="BS219" s="1">
        <v>44988</v>
      </c>
      <c r="BT219" s="2">
        <v>0.3611111111111111</v>
      </c>
      <c r="BU219" t="s">
        <v>275</v>
      </c>
      <c r="BV219" t="s">
        <v>69</v>
      </c>
      <c r="BY219">
        <v>1200</v>
      </c>
      <c r="BZ219" t="s">
        <v>70</v>
      </c>
      <c r="CA219" t="s">
        <v>149</v>
      </c>
      <c r="CC219" t="s">
        <v>120</v>
      </c>
      <c r="CD219">
        <v>2013</v>
      </c>
      <c r="CE219" t="s">
        <v>83</v>
      </c>
      <c r="CF219" s="1">
        <v>44988</v>
      </c>
      <c r="CI219">
        <v>1</v>
      </c>
      <c r="CJ219">
        <v>1</v>
      </c>
      <c r="CK219">
        <v>22</v>
      </c>
      <c r="CL219" t="s">
        <v>72</v>
      </c>
    </row>
    <row r="220" spans="1:90" x14ac:dyDescent="0.3">
      <c r="A220" t="s">
        <v>258</v>
      </c>
      <c r="B220" t="s">
        <v>259</v>
      </c>
      <c r="C220" t="s">
        <v>61</v>
      </c>
      <c r="E220" t="str">
        <f>"009943149874"</f>
        <v>009943149874</v>
      </c>
      <c r="F220" s="4">
        <v>44988</v>
      </c>
      <c r="G220">
        <v>202312</v>
      </c>
      <c r="H220" t="s">
        <v>119</v>
      </c>
      <c r="I220" t="s">
        <v>120</v>
      </c>
      <c r="J220" t="s">
        <v>260</v>
      </c>
      <c r="K220" t="s">
        <v>64</v>
      </c>
      <c r="L220" t="s">
        <v>62</v>
      </c>
      <c r="M220" t="s">
        <v>63</v>
      </c>
      <c r="N220" t="s">
        <v>628</v>
      </c>
      <c r="O220" t="s">
        <v>203</v>
      </c>
      <c r="P220" t="str">
        <f>"N A                           "</f>
        <v xml:space="preserve">N A  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18.71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0.2</v>
      </c>
      <c r="BK220" s="3">
        <v>1</v>
      </c>
      <c r="BL220" s="3">
        <v>52.73</v>
      </c>
      <c r="BM220" s="3">
        <v>7.91</v>
      </c>
      <c r="BN220" s="3">
        <v>60.64</v>
      </c>
      <c r="BO220" s="3">
        <v>60.64</v>
      </c>
      <c r="BQ220" t="s">
        <v>214</v>
      </c>
      <c r="BR220" t="s">
        <v>263</v>
      </c>
      <c r="BS220" s="1">
        <v>44991</v>
      </c>
      <c r="BT220" s="2">
        <v>0.52083333333333337</v>
      </c>
      <c r="BU220" t="s">
        <v>629</v>
      </c>
      <c r="BV220" t="s">
        <v>69</v>
      </c>
      <c r="BY220">
        <v>1200</v>
      </c>
      <c r="BZ220" t="s">
        <v>97</v>
      </c>
      <c r="CA220" t="s">
        <v>233</v>
      </c>
      <c r="CC220" t="s">
        <v>63</v>
      </c>
      <c r="CD220">
        <v>1609</v>
      </c>
      <c r="CE220" t="s">
        <v>83</v>
      </c>
      <c r="CF220" s="1">
        <v>44991</v>
      </c>
      <c r="CI220">
        <v>1</v>
      </c>
      <c r="CJ220">
        <v>1</v>
      </c>
      <c r="CK220">
        <v>32</v>
      </c>
      <c r="CL220" t="s">
        <v>72</v>
      </c>
    </row>
    <row r="221" spans="1:90" x14ac:dyDescent="0.3">
      <c r="A221" t="s">
        <v>258</v>
      </c>
      <c r="B221" t="s">
        <v>259</v>
      </c>
      <c r="C221" t="s">
        <v>61</v>
      </c>
      <c r="E221" t="str">
        <f>"009942953481"</f>
        <v>009942953481</v>
      </c>
      <c r="F221" s="4">
        <v>44988</v>
      </c>
      <c r="G221">
        <v>202312</v>
      </c>
      <c r="H221" t="s">
        <v>145</v>
      </c>
      <c r="I221" t="s">
        <v>146</v>
      </c>
      <c r="J221" t="s">
        <v>492</v>
      </c>
      <c r="K221" t="s">
        <v>64</v>
      </c>
      <c r="L221" t="s">
        <v>119</v>
      </c>
      <c r="M221" t="s">
        <v>120</v>
      </c>
      <c r="N221" t="s">
        <v>543</v>
      </c>
      <c r="O221" t="s">
        <v>67</v>
      </c>
      <c r="P221" t="str">
        <f>"                              "</f>
        <v xml:space="preserve">      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23.95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1</v>
      </c>
      <c r="BJ221" s="3">
        <v>0.2</v>
      </c>
      <c r="BK221" s="3">
        <v>1</v>
      </c>
      <c r="BL221" s="3">
        <v>67.489999999999995</v>
      </c>
      <c r="BM221" s="3">
        <v>10.119999999999999</v>
      </c>
      <c r="BN221" s="3">
        <v>77.61</v>
      </c>
      <c r="BO221" s="3">
        <v>77.61</v>
      </c>
      <c r="BQ221" t="s">
        <v>305</v>
      </c>
      <c r="BR221" t="s">
        <v>177</v>
      </c>
      <c r="BS221" s="1">
        <v>44991</v>
      </c>
      <c r="BT221" s="2">
        <v>0.39583333333333331</v>
      </c>
      <c r="BU221" t="s">
        <v>281</v>
      </c>
      <c r="BV221" t="s">
        <v>69</v>
      </c>
      <c r="BY221">
        <v>1200</v>
      </c>
      <c r="BZ221" t="s">
        <v>70</v>
      </c>
      <c r="CA221" t="s">
        <v>149</v>
      </c>
      <c r="CC221" t="s">
        <v>120</v>
      </c>
      <c r="CD221">
        <v>2001</v>
      </c>
      <c r="CE221" t="s">
        <v>83</v>
      </c>
      <c r="CF221" s="1">
        <v>44991</v>
      </c>
      <c r="CI221">
        <v>1</v>
      </c>
      <c r="CJ221">
        <v>1</v>
      </c>
      <c r="CK221">
        <v>21</v>
      </c>
      <c r="CL221" t="s">
        <v>72</v>
      </c>
    </row>
    <row r="222" spans="1:90" x14ac:dyDescent="0.3">
      <c r="A222" t="s">
        <v>258</v>
      </c>
      <c r="B222" t="s">
        <v>259</v>
      </c>
      <c r="C222" t="s">
        <v>61</v>
      </c>
      <c r="E222" t="str">
        <f>"009943149871"</f>
        <v>009943149871</v>
      </c>
      <c r="F222" s="4">
        <v>44988</v>
      </c>
      <c r="G222">
        <v>202312</v>
      </c>
      <c r="H222" t="s">
        <v>119</v>
      </c>
      <c r="I222" t="s">
        <v>120</v>
      </c>
      <c r="J222" t="s">
        <v>260</v>
      </c>
      <c r="K222" t="s">
        <v>64</v>
      </c>
      <c r="L222" t="s">
        <v>119</v>
      </c>
      <c r="M222" t="s">
        <v>120</v>
      </c>
      <c r="N222" t="s">
        <v>630</v>
      </c>
      <c r="O222" t="s">
        <v>203</v>
      </c>
      <c r="P222" t="str">
        <f t="shared" ref="P222:P236" si="9">"N A                           "</f>
        <v xml:space="preserve">N A  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29.22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3.6</v>
      </c>
      <c r="BJ222" s="3">
        <v>12.3</v>
      </c>
      <c r="BK222" s="3">
        <v>13</v>
      </c>
      <c r="BL222" s="3">
        <v>82.34</v>
      </c>
      <c r="BM222" s="3">
        <v>12.35</v>
      </c>
      <c r="BN222" s="3">
        <v>94.69</v>
      </c>
      <c r="BO222" s="3">
        <v>94.69</v>
      </c>
      <c r="BQ222" t="s">
        <v>214</v>
      </c>
      <c r="BR222" t="s">
        <v>263</v>
      </c>
      <c r="BS222" s="1">
        <v>44991</v>
      </c>
      <c r="BT222" s="2">
        <v>0.70624999999999993</v>
      </c>
      <c r="BU222" t="s">
        <v>631</v>
      </c>
      <c r="BV222" t="s">
        <v>72</v>
      </c>
      <c r="BW222" t="s">
        <v>98</v>
      </c>
      <c r="BX222" t="s">
        <v>207</v>
      </c>
      <c r="BY222">
        <v>61478.26</v>
      </c>
      <c r="BZ222" t="s">
        <v>97</v>
      </c>
      <c r="CA222" t="s">
        <v>632</v>
      </c>
      <c r="CC222" t="s">
        <v>120</v>
      </c>
      <c r="CD222">
        <v>2091</v>
      </c>
      <c r="CE222" t="s">
        <v>83</v>
      </c>
      <c r="CF222" s="1">
        <v>44992</v>
      </c>
      <c r="CI222">
        <v>1</v>
      </c>
      <c r="CJ222">
        <v>1</v>
      </c>
      <c r="CK222">
        <v>32</v>
      </c>
      <c r="CL222" t="s">
        <v>72</v>
      </c>
    </row>
    <row r="223" spans="1:90" x14ac:dyDescent="0.3">
      <c r="A223" t="s">
        <v>258</v>
      </c>
      <c r="B223" t="s">
        <v>259</v>
      </c>
      <c r="C223" t="s">
        <v>61</v>
      </c>
      <c r="E223" t="str">
        <f>"009943285285"</f>
        <v>009943285285</v>
      </c>
      <c r="F223" s="4">
        <v>44988</v>
      </c>
      <c r="G223">
        <v>202312</v>
      </c>
      <c r="H223" t="s">
        <v>119</v>
      </c>
      <c r="I223" t="s">
        <v>120</v>
      </c>
      <c r="J223" t="s">
        <v>260</v>
      </c>
      <c r="K223" t="s">
        <v>64</v>
      </c>
      <c r="L223" t="s">
        <v>65</v>
      </c>
      <c r="M223" t="s">
        <v>66</v>
      </c>
      <c r="N223" t="s">
        <v>633</v>
      </c>
      <c r="O223" t="s">
        <v>96</v>
      </c>
      <c r="P223" t="str">
        <f t="shared" si="9"/>
        <v xml:space="preserve">N A  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5.25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55.85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8.5</v>
      </c>
      <c r="BJ223" s="3">
        <v>19.399999999999999</v>
      </c>
      <c r="BK223" s="3">
        <v>20</v>
      </c>
      <c r="BL223" s="3">
        <v>162.65</v>
      </c>
      <c r="BM223" s="3">
        <v>24.4</v>
      </c>
      <c r="BN223" s="3">
        <v>187.05</v>
      </c>
      <c r="BO223" s="3">
        <v>187.05</v>
      </c>
      <c r="BQ223" t="s">
        <v>634</v>
      </c>
      <c r="BR223" t="s">
        <v>635</v>
      </c>
      <c r="BS223" s="1">
        <v>44991</v>
      </c>
      <c r="BT223" s="2">
        <v>0.41666666666666669</v>
      </c>
      <c r="BU223" t="s">
        <v>636</v>
      </c>
      <c r="BV223" t="s">
        <v>69</v>
      </c>
      <c r="BY223">
        <v>96950.78</v>
      </c>
      <c r="BZ223" t="s">
        <v>97</v>
      </c>
      <c r="CC223" t="s">
        <v>66</v>
      </c>
      <c r="CD223">
        <v>7806</v>
      </c>
      <c r="CE223" t="s">
        <v>83</v>
      </c>
      <c r="CF223" s="1">
        <v>44992</v>
      </c>
      <c r="CI223">
        <v>2</v>
      </c>
      <c r="CJ223">
        <v>1</v>
      </c>
      <c r="CK223">
        <v>41</v>
      </c>
      <c r="CL223" t="s">
        <v>72</v>
      </c>
    </row>
    <row r="224" spans="1:90" x14ac:dyDescent="0.3">
      <c r="A224" t="s">
        <v>258</v>
      </c>
      <c r="B224" t="s">
        <v>259</v>
      </c>
      <c r="C224" t="s">
        <v>61</v>
      </c>
      <c r="E224" t="str">
        <f>"009943149870"</f>
        <v>009943149870</v>
      </c>
      <c r="F224" s="4">
        <v>44988</v>
      </c>
      <c r="G224">
        <v>202312</v>
      </c>
      <c r="H224" t="s">
        <v>119</v>
      </c>
      <c r="I224" t="s">
        <v>120</v>
      </c>
      <c r="J224" t="s">
        <v>260</v>
      </c>
      <c r="K224" t="s">
        <v>64</v>
      </c>
      <c r="L224" t="s">
        <v>65</v>
      </c>
      <c r="M224" t="s">
        <v>66</v>
      </c>
      <c r="N224" t="s">
        <v>637</v>
      </c>
      <c r="O224" t="s">
        <v>203</v>
      </c>
      <c r="P224" t="str">
        <f t="shared" si="9"/>
        <v xml:space="preserve">N A  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44.9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0.2</v>
      </c>
      <c r="BJ224" s="3">
        <v>2.4</v>
      </c>
      <c r="BK224" s="3">
        <v>3</v>
      </c>
      <c r="BL224" s="3">
        <v>126.54</v>
      </c>
      <c r="BM224" s="3">
        <v>18.98</v>
      </c>
      <c r="BN224" s="3">
        <v>145.52000000000001</v>
      </c>
      <c r="BO224" s="3">
        <v>145.52000000000001</v>
      </c>
      <c r="BQ224" t="s">
        <v>214</v>
      </c>
      <c r="BR224" t="s">
        <v>263</v>
      </c>
      <c r="BS224" s="1">
        <v>44992</v>
      </c>
      <c r="BT224" s="2">
        <v>0.40416666666666662</v>
      </c>
      <c r="BU224" t="s">
        <v>638</v>
      </c>
      <c r="BV224" t="s">
        <v>72</v>
      </c>
      <c r="BW224" t="s">
        <v>86</v>
      </c>
      <c r="BX224" t="s">
        <v>176</v>
      </c>
      <c r="BY224">
        <v>12101.76</v>
      </c>
      <c r="BZ224" t="s">
        <v>97</v>
      </c>
      <c r="CA224" t="s">
        <v>185</v>
      </c>
      <c r="CC224" t="s">
        <v>66</v>
      </c>
      <c r="CD224">
        <v>8000</v>
      </c>
      <c r="CE224" t="s">
        <v>83</v>
      </c>
      <c r="CF224" s="1">
        <v>44993</v>
      </c>
      <c r="CI224">
        <v>1</v>
      </c>
      <c r="CJ224">
        <v>2</v>
      </c>
      <c r="CK224">
        <v>31</v>
      </c>
      <c r="CL224" t="s">
        <v>72</v>
      </c>
    </row>
    <row r="225" spans="1:90" x14ac:dyDescent="0.3">
      <c r="A225" t="s">
        <v>258</v>
      </c>
      <c r="B225" t="s">
        <v>259</v>
      </c>
      <c r="C225" t="s">
        <v>61</v>
      </c>
      <c r="E225" t="str">
        <f>"009943116594"</f>
        <v>009943116594</v>
      </c>
      <c r="F225" s="4">
        <v>44988</v>
      </c>
      <c r="G225">
        <v>202312</v>
      </c>
      <c r="H225" t="s">
        <v>119</v>
      </c>
      <c r="I225" t="s">
        <v>120</v>
      </c>
      <c r="J225" t="s">
        <v>260</v>
      </c>
      <c r="K225" t="s">
        <v>64</v>
      </c>
      <c r="L225" t="s">
        <v>119</v>
      </c>
      <c r="M225" t="s">
        <v>120</v>
      </c>
      <c r="N225" t="s">
        <v>639</v>
      </c>
      <c r="O225" t="s">
        <v>203</v>
      </c>
      <c r="P225" t="str">
        <f t="shared" si="9"/>
        <v xml:space="preserve">N A   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29.22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3</v>
      </c>
      <c r="BJ225" s="3">
        <v>12.3</v>
      </c>
      <c r="BK225" s="3">
        <v>13</v>
      </c>
      <c r="BL225" s="3">
        <v>82.34</v>
      </c>
      <c r="BM225" s="3">
        <v>12.35</v>
      </c>
      <c r="BN225" s="3">
        <v>94.69</v>
      </c>
      <c r="BO225" s="3">
        <v>94.69</v>
      </c>
      <c r="BQ225" t="s">
        <v>214</v>
      </c>
      <c r="BR225" t="s">
        <v>263</v>
      </c>
      <c r="BS225" s="1">
        <v>44991</v>
      </c>
      <c r="BT225" s="2">
        <v>0.3263888888888889</v>
      </c>
      <c r="BU225" t="s">
        <v>640</v>
      </c>
      <c r="BV225" t="s">
        <v>69</v>
      </c>
      <c r="BY225">
        <v>61589.64</v>
      </c>
      <c r="BZ225" t="s">
        <v>97</v>
      </c>
      <c r="CA225" t="s">
        <v>641</v>
      </c>
      <c r="CC225" t="s">
        <v>120</v>
      </c>
      <c r="CD225">
        <v>2007</v>
      </c>
      <c r="CE225" t="s">
        <v>83</v>
      </c>
      <c r="CF225" s="1">
        <v>44991</v>
      </c>
      <c r="CI225">
        <v>1</v>
      </c>
      <c r="CJ225">
        <v>1</v>
      </c>
      <c r="CK225">
        <v>32</v>
      </c>
      <c r="CL225" t="s">
        <v>72</v>
      </c>
    </row>
    <row r="226" spans="1:90" x14ac:dyDescent="0.3">
      <c r="A226" t="s">
        <v>258</v>
      </c>
      <c r="B226" t="s">
        <v>259</v>
      </c>
      <c r="C226" t="s">
        <v>61</v>
      </c>
      <c r="E226" t="str">
        <f>"009943149873"</f>
        <v>009943149873</v>
      </c>
      <c r="F226" s="4">
        <v>44988</v>
      </c>
      <c r="G226">
        <v>202312</v>
      </c>
      <c r="H226" t="s">
        <v>119</v>
      </c>
      <c r="I226" t="s">
        <v>120</v>
      </c>
      <c r="J226" t="s">
        <v>260</v>
      </c>
      <c r="K226" t="s">
        <v>64</v>
      </c>
      <c r="L226" t="s">
        <v>119</v>
      </c>
      <c r="M226" t="s">
        <v>120</v>
      </c>
      <c r="N226" t="s">
        <v>642</v>
      </c>
      <c r="O226" t="s">
        <v>203</v>
      </c>
      <c r="P226" t="str">
        <f t="shared" si="9"/>
        <v xml:space="preserve">N A   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18.71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1</v>
      </c>
      <c r="BJ226" s="3">
        <v>0.2</v>
      </c>
      <c r="BK226" s="3">
        <v>1</v>
      </c>
      <c r="BL226" s="3">
        <v>52.73</v>
      </c>
      <c r="BM226" s="3">
        <v>7.91</v>
      </c>
      <c r="BN226" s="3">
        <v>60.64</v>
      </c>
      <c r="BO226" s="3">
        <v>60.64</v>
      </c>
      <c r="BQ226" t="s">
        <v>214</v>
      </c>
      <c r="BR226" t="s">
        <v>263</v>
      </c>
      <c r="BS226" s="1">
        <v>44991</v>
      </c>
      <c r="BT226" s="2">
        <v>0.38472222222222219</v>
      </c>
      <c r="BU226" t="s">
        <v>643</v>
      </c>
      <c r="BV226" t="s">
        <v>69</v>
      </c>
      <c r="BY226">
        <v>1200</v>
      </c>
      <c r="BZ226" t="s">
        <v>97</v>
      </c>
      <c r="CA226" t="s">
        <v>342</v>
      </c>
      <c r="CC226" t="s">
        <v>120</v>
      </c>
      <c r="CD226">
        <v>1724</v>
      </c>
      <c r="CE226" t="s">
        <v>83</v>
      </c>
      <c r="CF226" s="1">
        <v>44991</v>
      </c>
      <c r="CI226">
        <v>1</v>
      </c>
      <c r="CJ226">
        <v>1</v>
      </c>
      <c r="CK226">
        <v>32</v>
      </c>
      <c r="CL226" t="s">
        <v>72</v>
      </c>
    </row>
    <row r="227" spans="1:90" x14ac:dyDescent="0.3">
      <c r="A227" t="s">
        <v>258</v>
      </c>
      <c r="B227" t="s">
        <v>259</v>
      </c>
      <c r="C227" t="s">
        <v>61</v>
      </c>
      <c r="E227" t="str">
        <f>"009941301635"</f>
        <v>009941301635</v>
      </c>
      <c r="F227" s="4">
        <v>44991</v>
      </c>
      <c r="G227">
        <v>202312</v>
      </c>
      <c r="H227" t="s">
        <v>119</v>
      </c>
      <c r="I227" t="s">
        <v>120</v>
      </c>
      <c r="J227" t="s">
        <v>390</v>
      </c>
      <c r="K227" t="s">
        <v>64</v>
      </c>
      <c r="L227" t="s">
        <v>119</v>
      </c>
      <c r="M227" t="s">
        <v>120</v>
      </c>
      <c r="N227" t="s">
        <v>272</v>
      </c>
      <c r="O227" t="s">
        <v>96</v>
      </c>
      <c r="P227" t="str">
        <f t="shared" si="9"/>
        <v xml:space="preserve">N A   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5.25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35.729999999999997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1</v>
      </c>
      <c r="BJ227" s="3">
        <v>0.2</v>
      </c>
      <c r="BK227" s="3">
        <v>1</v>
      </c>
      <c r="BL227" s="3">
        <v>105.95</v>
      </c>
      <c r="BM227" s="3">
        <v>15.89</v>
      </c>
      <c r="BN227" s="3">
        <v>121.84</v>
      </c>
      <c r="BO227" s="3">
        <v>121.84</v>
      </c>
      <c r="BQ227" t="s">
        <v>313</v>
      </c>
      <c r="BR227" t="s">
        <v>235</v>
      </c>
      <c r="BS227" s="1">
        <v>44992</v>
      </c>
      <c r="BT227" s="2">
        <v>0.34375</v>
      </c>
      <c r="BU227" t="s">
        <v>281</v>
      </c>
      <c r="BV227" t="s">
        <v>69</v>
      </c>
      <c r="BY227">
        <v>1200</v>
      </c>
      <c r="BZ227" t="s">
        <v>97</v>
      </c>
      <c r="CA227" t="s">
        <v>149</v>
      </c>
      <c r="CC227" t="s">
        <v>120</v>
      </c>
      <c r="CD227">
        <v>2013</v>
      </c>
      <c r="CE227" t="s">
        <v>83</v>
      </c>
      <c r="CF227" s="1">
        <v>44992</v>
      </c>
      <c r="CI227">
        <v>1</v>
      </c>
      <c r="CJ227">
        <v>1</v>
      </c>
      <c r="CK227">
        <v>42</v>
      </c>
      <c r="CL227" t="s">
        <v>72</v>
      </c>
    </row>
    <row r="228" spans="1:90" x14ac:dyDescent="0.3">
      <c r="A228" t="s">
        <v>258</v>
      </c>
      <c r="B228" t="s">
        <v>259</v>
      </c>
      <c r="C228" t="s">
        <v>61</v>
      </c>
      <c r="E228" t="str">
        <f>"R009943149946"</f>
        <v>R009943149946</v>
      </c>
      <c r="F228" s="4">
        <v>44991</v>
      </c>
      <c r="G228">
        <v>202312</v>
      </c>
      <c r="H228" t="s">
        <v>119</v>
      </c>
      <c r="I228" t="s">
        <v>120</v>
      </c>
      <c r="J228" t="s">
        <v>644</v>
      </c>
      <c r="K228" t="s">
        <v>64</v>
      </c>
      <c r="L228" t="s">
        <v>119</v>
      </c>
      <c r="M228" t="s">
        <v>120</v>
      </c>
      <c r="N228" t="s">
        <v>645</v>
      </c>
      <c r="O228" t="s">
        <v>96</v>
      </c>
      <c r="P228" t="str">
        <f t="shared" si="9"/>
        <v xml:space="preserve">N A    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5.25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35.729999999999997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0.2</v>
      </c>
      <c r="BJ228" s="3">
        <v>2.1</v>
      </c>
      <c r="BK228" s="3">
        <v>3</v>
      </c>
      <c r="BL228" s="3">
        <v>105.95</v>
      </c>
      <c r="BM228" s="3">
        <v>15.89</v>
      </c>
      <c r="BN228" s="3">
        <v>121.84</v>
      </c>
      <c r="BO228" s="3">
        <v>121.84</v>
      </c>
      <c r="BQ228">
        <v>714672727</v>
      </c>
      <c r="BR228" t="s">
        <v>214</v>
      </c>
      <c r="BS228" s="1">
        <v>44992</v>
      </c>
      <c r="BT228" s="2">
        <v>0.55972222222222223</v>
      </c>
      <c r="BU228" t="s">
        <v>646</v>
      </c>
      <c r="BV228" t="s">
        <v>69</v>
      </c>
      <c r="BY228">
        <v>10499.86</v>
      </c>
      <c r="CA228" t="s">
        <v>230</v>
      </c>
      <c r="CC228" t="s">
        <v>120</v>
      </c>
      <c r="CD228">
        <v>2001</v>
      </c>
      <c r="CE228" t="s">
        <v>83</v>
      </c>
      <c r="CF228" s="1">
        <v>44993</v>
      </c>
      <c r="CI228">
        <v>1</v>
      </c>
      <c r="CJ228">
        <v>1</v>
      </c>
      <c r="CK228">
        <v>42</v>
      </c>
      <c r="CL228" t="s">
        <v>72</v>
      </c>
    </row>
    <row r="229" spans="1:90" x14ac:dyDescent="0.3">
      <c r="A229" t="s">
        <v>258</v>
      </c>
      <c r="B229" t="s">
        <v>259</v>
      </c>
      <c r="C229" t="s">
        <v>61</v>
      </c>
      <c r="E229" t="str">
        <f>"009943149878"</f>
        <v>009943149878</v>
      </c>
      <c r="F229" s="4">
        <v>44991</v>
      </c>
      <c r="G229">
        <v>202312</v>
      </c>
      <c r="H229" t="s">
        <v>119</v>
      </c>
      <c r="I229" t="s">
        <v>120</v>
      </c>
      <c r="J229" t="s">
        <v>260</v>
      </c>
      <c r="K229" t="s">
        <v>64</v>
      </c>
      <c r="L229" t="s">
        <v>101</v>
      </c>
      <c r="M229" t="s">
        <v>102</v>
      </c>
      <c r="N229" t="s">
        <v>551</v>
      </c>
      <c r="O229" t="s">
        <v>67</v>
      </c>
      <c r="P229" t="str">
        <f t="shared" si="9"/>
        <v xml:space="preserve">N A   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29.93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1.1000000000000001</v>
      </c>
      <c r="BJ229" s="3">
        <v>2.2999999999999998</v>
      </c>
      <c r="BK229" s="3">
        <v>2.5</v>
      </c>
      <c r="BL229" s="3">
        <v>84.35</v>
      </c>
      <c r="BM229" s="3">
        <v>12.65</v>
      </c>
      <c r="BN229" s="3">
        <v>97</v>
      </c>
      <c r="BO229" s="3">
        <v>97</v>
      </c>
      <c r="BQ229" t="s">
        <v>647</v>
      </c>
      <c r="BR229" t="s">
        <v>648</v>
      </c>
      <c r="BS229" s="1">
        <v>44992</v>
      </c>
      <c r="BT229" s="2">
        <v>0.49374999999999997</v>
      </c>
      <c r="BU229" t="s">
        <v>588</v>
      </c>
      <c r="BV229" t="s">
        <v>72</v>
      </c>
      <c r="BW229" t="s">
        <v>153</v>
      </c>
      <c r="BX229" t="s">
        <v>154</v>
      </c>
      <c r="BY229">
        <v>11337.3</v>
      </c>
      <c r="BZ229" t="s">
        <v>70</v>
      </c>
      <c r="CA229" t="s">
        <v>206</v>
      </c>
      <c r="CC229" t="s">
        <v>102</v>
      </c>
      <c r="CD229">
        <v>3629</v>
      </c>
      <c r="CE229" t="s">
        <v>83</v>
      </c>
      <c r="CF229" s="1">
        <v>44993</v>
      </c>
      <c r="CI229">
        <v>1</v>
      </c>
      <c r="CJ229">
        <v>1</v>
      </c>
      <c r="CK229">
        <v>21</v>
      </c>
      <c r="CL229" t="s">
        <v>72</v>
      </c>
    </row>
    <row r="230" spans="1:90" x14ac:dyDescent="0.3">
      <c r="A230" t="s">
        <v>258</v>
      </c>
      <c r="B230" t="s">
        <v>259</v>
      </c>
      <c r="C230" t="s">
        <v>61</v>
      </c>
      <c r="E230" t="str">
        <f>"009943149877"</f>
        <v>009943149877</v>
      </c>
      <c r="F230" s="4">
        <v>44991</v>
      </c>
      <c r="G230">
        <v>202312</v>
      </c>
      <c r="H230" t="s">
        <v>119</v>
      </c>
      <c r="I230" t="s">
        <v>120</v>
      </c>
      <c r="J230" t="s">
        <v>260</v>
      </c>
      <c r="K230" t="s">
        <v>64</v>
      </c>
      <c r="L230" t="s">
        <v>65</v>
      </c>
      <c r="M230" t="s">
        <v>66</v>
      </c>
      <c r="N230" t="s">
        <v>272</v>
      </c>
      <c r="O230" t="s">
        <v>67</v>
      </c>
      <c r="P230" t="str">
        <f t="shared" si="9"/>
        <v xml:space="preserve">N A    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29.93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2.4</v>
      </c>
      <c r="BK230" s="3">
        <v>2.5</v>
      </c>
      <c r="BL230" s="3">
        <v>84.35</v>
      </c>
      <c r="BM230" s="3">
        <v>12.65</v>
      </c>
      <c r="BN230" s="3">
        <v>97</v>
      </c>
      <c r="BO230" s="3">
        <v>97</v>
      </c>
      <c r="BQ230" t="s">
        <v>214</v>
      </c>
      <c r="BR230" t="s">
        <v>649</v>
      </c>
      <c r="BS230" s="1">
        <v>44992</v>
      </c>
      <c r="BT230" s="2">
        <v>0.41319444444444442</v>
      </c>
      <c r="BU230" t="s">
        <v>356</v>
      </c>
      <c r="BV230" t="s">
        <v>69</v>
      </c>
      <c r="BY230">
        <v>12027.84</v>
      </c>
      <c r="BZ230" t="s">
        <v>70</v>
      </c>
      <c r="CA230" t="s">
        <v>71</v>
      </c>
      <c r="CC230" t="s">
        <v>66</v>
      </c>
      <c r="CD230">
        <v>7441</v>
      </c>
      <c r="CE230" t="s">
        <v>83</v>
      </c>
      <c r="CF230" s="1">
        <v>44993</v>
      </c>
      <c r="CI230">
        <v>1</v>
      </c>
      <c r="CJ230">
        <v>1</v>
      </c>
      <c r="CK230">
        <v>21</v>
      </c>
      <c r="CL230" t="s">
        <v>72</v>
      </c>
    </row>
    <row r="231" spans="1:90" x14ac:dyDescent="0.3">
      <c r="A231" t="s">
        <v>258</v>
      </c>
      <c r="B231" t="s">
        <v>259</v>
      </c>
      <c r="C231" t="s">
        <v>61</v>
      </c>
      <c r="E231" t="str">
        <f>"009943149879"</f>
        <v>009943149879</v>
      </c>
      <c r="F231" s="4">
        <v>44991</v>
      </c>
      <c r="G231">
        <v>202312</v>
      </c>
      <c r="H231" t="s">
        <v>119</v>
      </c>
      <c r="I231" t="s">
        <v>120</v>
      </c>
      <c r="J231" t="s">
        <v>260</v>
      </c>
      <c r="K231" t="s">
        <v>64</v>
      </c>
      <c r="L231" t="s">
        <v>65</v>
      </c>
      <c r="M231" t="s">
        <v>66</v>
      </c>
      <c r="N231" t="s">
        <v>650</v>
      </c>
      <c r="O231" t="s">
        <v>67</v>
      </c>
      <c r="P231" t="str">
        <f t="shared" si="9"/>
        <v xml:space="preserve">N A     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23.95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1</v>
      </c>
      <c r="BJ231" s="3">
        <v>0.2</v>
      </c>
      <c r="BK231" s="3">
        <v>1</v>
      </c>
      <c r="BL231" s="3">
        <v>67.489999999999995</v>
      </c>
      <c r="BM231" s="3">
        <v>10.119999999999999</v>
      </c>
      <c r="BN231" s="3">
        <v>77.61</v>
      </c>
      <c r="BO231" s="3">
        <v>77.61</v>
      </c>
      <c r="BQ231" t="s">
        <v>214</v>
      </c>
      <c r="BR231" t="s">
        <v>263</v>
      </c>
      <c r="BS231" s="1">
        <v>44992</v>
      </c>
      <c r="BT231" s="2">
        <v>0.54236111111111118</v>
      </c>
      <c r="BU231" t="s">
        <v>651</v>
      </c>
      <c r="BV231" t="s">
        <v>72</v>
      </c>
      <c r="BW231" t="s">
        <v>103</v>
      </c>
      <c r="BX231" t="s">
        <v>107</v>
      </c>
      <c r="BY231">
        <v>1200</v>
      </c>
      <c r="BZ231" t="s">
        <v>70</v>
      </c>
      <c r="CA231" t="s">
        <v>165</v>
      </c>
      <c r="CC231" t="s">
        <v>66</v>
      </c>
      <c r="CD231">
        <v>7441</v>
      </c>
      <c r="CE231" t="s">
        <v>83</v>
      </c>
      <c r="CF231" s="1">
        <v>44993</v>
      </c>
      <c r="CI231">
        <v>1</v>
      </c>
      <c r="CJ231">
        <v>1</v>
      </c>
      <c r="CK231">
        <v>21</v>
      </c>
      <c r="CL231" t="s">
        <v>72</v>
      </c>
    </row>
    <row r="232" spans="1:90" x14ac:dyDescent="0.3">
      <c r="A232" t="s">
        <v>258</v>
      </c>
      <c r="B232" t="s">
        <v>259</v>
      </c>
      <c r="C232" t="s">
        <v>61</v>
      </c>
      <c r="E232" t="str">
        <f>"009943116610"</f>
        <v>009943116610</v>
      </c>
      <c r="F232" s="4">
        <v>44991</v>
      </c>
      <c r="G232">
        <v>202312</v>
      </c>
      <c r="H232" t="s">
        <v>119</v>
      </c>
      <c r="I232" t="s">
        <v>120</v>
      </c>
      <c r="J232" t="s">
        <v>260</v>
      </c>
      <c r="K232" t="s">
        <v>64</v>
      </c>
      <c r="L232" t="s">
        <v>101</v>
      </c>
      <c r="M232" t="s">
        <v>102</v>
      </c>
      <c r="N232" t="s">
        <v>652</v>
      </c>
      <c r="O232" t="s">
        <v>203</v>
      </c>
      <c r="P232" t="str">
        <f t="shared" si="9"/>
        <v xml:space="preserve">N A     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44.9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0.5</v>
      </c>
      <c r="BJ232" s="3">
        <v>2.6</v>
      </c>
      <c r="BK232" s="3">
        <v>3</v>
      </c>
      <c r="BL232" s="3">
        <v>126.54</v>
      </c>
      <c r="BM232" s="3">
        <v>18.98</v>
      </c>
      <c r="BN232" s="3">
        <v>145.52000000000001</v>
      </c>
      <c r="BO232" s="3">
        <v>145.52000000000001</v>
      </c>
      <c r="BQ232" t="s">
        <v>214</v>
      </c>
      <c r="BR232" t="s">
        <v>263</v>
      </c>
      <c r="BS232" s="1">
        <v>44992</v>
      </c>
      <c r="BT232" s="2">
        <v>0.44513888888888892</v>
      </c>
      <c r="BU232" t="s">
        <v>653</v>
      </c>
      <c r="BV232" t="s">
        <v>69</v>
      </c>
      <c r="BY232">
        <v>13228.28</v>
      </c>
      <c r="BZ232" t="s">
        <v>97</v>
      </c>
      <c r="CA232" t="s">
        <v>192</v>
      </c>
      <c r="CC232" t="s">
        <v>102</v>
      </c>
      <c r="CD232">
        <v>4000</v>
      </c>
      <c r="CE232" t="s">
        <v>83</v>
      </c>
      <c r="CF232" s="1">
        <v>44993</v>
      </c>
      <c r="CI232">
        <v>1</v>
      </c>
      <c r="CJ232">
        <v>1</v>
      </c>
      <c r="CK232">
        <v>31</v>
      </c>
      <c r="CL232" t="s">
        <v>72</v>
      </c>
    </row>
    <row r="233" spans="1:90" x14ac:dyDescent="0.3">
      <c r="A233" t="s">
        <v>258</v>
      </c>
      <c r="B233" t="s">
        <v>259</v>
      </c>
      <c r="C233" t="s">
        <v>61</v>
      </c>
      <c r="E233" t="str">
        <f>"009943116607"</f>
        <v>009943116607</v>
      </c>
      <c r="F233" s="4">
        <v>44991</v>
      </c>
      <c r="G233">
        <v>202312</v>
      </c>
      <c r="H233" t="s">
        <v>119</v>
      </c>
      <c r="I233" t="s">
        <v>120</v>
      </c>
      <c r="J233" t="s">
        <v>260</v>
      </c>
      <c r="K233" t="s">
        <v>64</v>
      </c>
      <c r="L233" t="s">
        <v>119</v>
      </c>
      <c r="M233" t="s">
        <v>120</v>
      </c>
      <c r="N233" t="s">
        <v>654</v>
      </c>
      <c r="O233" t="s">
        <v>203</v>
      </c>
      <c r="P233" t="str">
        <f t="shared" si="9"/>
        <v xml:space="preserve">N A     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69.14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2</v>
      </c>
      <c r="BI233" s="3">
        <v>8.1999999999999993</v>
      </c>
      <c r="BJ233" s="3">
        <v>31.8</v>
      </c>
      <c r="BK233" s="3">
        <v>32</v>
      </c>
      <c r="BL233" s="3">
        <v>194.84</v>
      </c>
      <c r="BM233" s="3">
        <v>29.23</v>
      </c>
      <c r="BN233" s="3">
        <v>224.07</v>
      </c>
      <c r="BO233" s="3">
        <v>224.07</v>
      </c>
      <c r="BQ233" t="s">
        <v>214</v>
      </c>
      <c r="BR233" t="s">
        <v>263</v>
      </c>
      <c r="BS233" s="1">
        <v>44992</v>
      </c>
      <c r="BT233" s="2">
        <v>0.61041666666666672</v>
      </c>
      <c r="BU233" t="s">
        <v>655</v>
      </c>
      <c r="BV233" t="s">
        <v>72</v>
      </c>
      <c r="BW233" t="s">
        <v>98</v>
      </c>
      <c r="BX233" t="s">
        <v>148</v>
      </c>
      <c r="BY233">
        <v>159082.15</v>
      </c>
      <c r="BZ233" t="s">
        <v>97</v>
      </c>
      <c r="CA233" t="s">
        <v>161</v>
      </c>
      <c r="CC233" t="s">
        <v>120</v>
      </c>
      <c r="CD233">
        <v>2040</v>
      </c>
      <c r="CE233" t="s">
        <v>83</v>
      </c>
      <c r="CF233" s="1">
        <v>44993</v>
      </c>
      <c r="CI233">
        <v>1</v>
      </c>
      <c r="CJ233">
        <v>1</v>
      </c>
      <c r="CK233">
        <v>32</v>
      </c>
      <c r="CL233" t="s">
        <v>72</v>
      </c>
    </row>
    <row r="234" spans="1:90" x14ac:dyDescent="0.3">
      <c r="A234" t="s">
        <v>258</v>
      </c>
      <c r="B234" t="s">
        <v>259</v>
      </c>
      <c r="C234" t="s">
        <v>61</v>
      </c>
      <c r="E234" t="str">
        <f>"009943116611"</f>
        <v>009943116611</v>
      </c>
      <c r="F234" s="4">
        <v>44991</v>
      </c>
      <c r="G234">
        <v>202312</v>
      </c>
      <c r="H234" t="s">
        <v>119</v>
      </c>
      <c r="I234" t="s">
        <v>120</v>
      </c>
      <c r="J234" t="s">
        <v>260</v>
      </c>
      <c r="K234" t="s">
        <v>64</v>
      </c>
      <c r="L234" t="s">
        <v>65</v>
      </c>
      <c r="M234" t="s">
        <v>66</v>
      </c>
      <c r="N234" t="s">
        <v>652</v>
      </c>
      <c r="O234" t="s">
        <v>203</v>
      </c>
      <c r="P234" t="str">
        <f t="shared" si="9"/>
        <v xml:space="preserve">N A     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44.9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1.6</v>
      </c>
      <c r="BJ234" s="3">
        <v>2.4</v>
      </c>
      <c r="BK234" s="3">
        <v>3</v>
      </c>
      <c r="BL234" s="3">
        <v>126.54</v>
      </c>
      <c r="BM234" s="3">
        <v>18.98</v>
      </c>
      <c r="BN234" s="3">
        <v>145.52000000000001</v>
      </c>
      <c r="BO234" s="3">
        <v>145.52000000000001</v>
      </c>
      <c r="BQ234" t="s">
        <v>214</v>
      </c>
      <c r="BR234" t="s">
        <v>263</v>
      </c>
      <c r="BS234" s="1">
        <v>44992</v>
      </c>
      <c r="BT234" s="2">
        <v>0.59027777777777779</v>
      </c>
      <c r="BU234" t="s">
        <v>656</v>
      </c>
      <c r="BV234" t="s">
        <v>72</v>
      </c>
      <c r="BW234" t="s">
        <v>86</v>
      </c>
      <c r="BX234" t="s">
        <v>176</v>
      </c>
      <c r="BY234">
        <v>11953.93</v>
      </c>
      <c r="BZ234" t="s">
        <v>97</v>
      </c>
      <c r="CA234" t="s">
        <v>121</v>
      </c>
      <c r="CC234" t="s">
        <v>66</v>
      </c>
      <c r="CD234">
        <v>7560</v>
      </c>
      <c r="CE234" t="s">
        <v>83</v>
      </c>
      <c r="CF234" s="1">
        <v>44993</v>
      </c>
      <c r="CI234">
        <v>1</v>
      </c>
      <c r="CJ234">
        <v>1</v>
      </c>
      <c r="CK234">
        <v>31</v>
      </c>
      <c r="CL234" t="s">
        <v>72</v>
      </c>
    </row>
    <row r="235" spans="1:90" x14ac:dyDescent="0.3">
      <c r="A235" t="s">
        <v>258</v>
      </c>
      <c r="B235" t="s">
        <v>259</v>
      </c>
      <c r="C235" t="s">
        <v>61</v>
      </c>
      <c r="E235" t="str">
        <f>"009943116609"</f>
        <v>009943116609</v>
      </c>
      <c r="F235" s="4">
        <v>44991</v>
      </c>
      <c r="G235">
        <v>202312</v>
      </c>
      <c r="H235" t="s">
        <v>119</v>
      </c>
      <c r="I235" t="s">
        <v>120</v>
      </c>
      <c r="J235" t="s">
        <v>260</v>
      </c>
      <c r="K235" t="s">
        <v>64</v>
      </c>
      <c r="L235" t="s">
        <v>101</v>
      </c>
      <c r="M235" t="s">
        <v>102</v>
      </c>
      <c r="N235" t="s">
        <v>657</v>
      </c>
      <c r="O235" t="s">
        <v>203</v>
      </c>
      <c r="P235" t="str">
        <f t="shared" si="9"/>
        <v xml:space="preserve">N A   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112.26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2.2999999999999998</v>
      </c>
      <c r="BJ235" s="3">
        <v>9.3000000000000007</v>
      </c>
      <c r="BK235" s="3">
        <v>10</v>
      </c>
      <c r="BL235" s="3">
        <v>316.36</v>
      </c>
      <c r="BM235" s="3">
        <v>47.45</v>
      </c>
      <c r="BN235" s="3">
        <v>363.81</v>
      </c>
      <c r="BO235" s="3">
        <v>363.81</v>
      </c>
      <c r="BQ235" t="s">
        <v>214</v>
      </c>
      <c r="BR235" t="s">
        <v>263</v>
      </c>
      <c r="BS235" s="1">
        <v>44992</v>
      </c>
      <c r="BT235" s="2">
        <v>0.41666666666666669</v>
      </c>
      <c r="BU235" t="s">
        <v>658</v>
      </c>
      <c r="BV235" t="s">
        <v>69</v>
      </c>
      <c r="BY235">
        <v>46284.35</v>
      </c>
      <c r="BZ235" t="s">
        <v>97</v>
      </c>
      <c r="CA235" t="s">
        <v>134</v>
      </c>
      <c r="CC235" t="s">
        <v>102</v>
      </c>
      <c r="CD235">
        <v>4093</v>
      </c>
      <c r="CE235" t="s">
        <v>83</v>
      </c>
      <c r="CF235" s="1">
        <v>44993</v>
      </c>
      <c r="CI235">
        <v>1</v>
      </c>
      <c r="CJ235">
        <v>1</v>
      </c>
      <c r="CK235">
        <v>31</v>
      </c>
      <c r="CL235" t="s">
        <v>72</v>
      </c>
    </row>
    <row r="236" spans="1:90" x14ac:dyDescent="0.3">
      <c r="A236" t="s">
        <v>258</v>
      </c>
      <c r="B236" t="s">
        <v>259</v>
      </c>
      <c r="C236" t="s">
        <v>61</v>
      </c>
      <c r="E236" t="str">
        <f>"009943116608"</f>
        <v>009943116608</v>
      </c>
      <c r="F236" s="4">
        <v>44991</v>
      </c>
      <c r="G236">
        <v>202312</v>
      </c>
      <c r="H236" t="s">
        <v>119</v>
      </c>
      <c r="I236" t="s">
        <v>120</v>
      </c>
      <c r="J236" t="s">
        <v>260</v>
      </c>
      <c r="K236" t="s">
        <v>64</v>
      </c>
      <c r="L236" t="s">
        <v>80</v>
      </c>
      <c r="M236" t="s">
        <v>81</v>
      </c>
      <c r="N236" t="s">
        <v>659</v>
      </c>
      <c r="O236" t="s">
        <v>203</v>
      </c>
      <c r="P236" t="str">
        <f t="shared" si="9"/>
        <v xml:space="preserve">N A     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20.81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1</v>
      </c>
      <c r="BI236" s="3">
        <v>2</v>
      </c>
      <c r="BJ236" s="3">
        <v>8.9</v>
      </c>
      <c r="BK236" s="3">
        <v>9</v>
      </c>
      <c r="BL236" s="3">
        <v>58.65</v>
      </c>
      <c r="BM236" s="3">
        <v>8.8000000000000007</v>
      </c>
      <c r="BN236" s="3">
        <v>67.45</v>
      </c>
      <c r="BO236" s="3">
        <v>67.45</v>
      </c>
      <c r="BQ236" t="s">
        <v>214</v>
      </c>
      <c r="BR236" t="s">
        <v>263</v>
      </c>
      <c r="BS236" s="1">
        <v>44992</v>
      </c>
      <c r="BT236" s="2">
        <v>0.28888888888888892</v>
      </c>
      <c r="BU236" t="s">
        <v>660</v>
      </c>
      <c r="BV236" t="s">
        <v>69</v>
      </c>
      <c r="BY236">
        <v>44423.28</v>
      </c>
      <c r="BZ236" t="s">
        <v>97</v>
      </c>
      <c r="CA236" t="s">
        <v>92</v>
      </c>
      <c r="CC236" t="s">
        <v>81</v>
      </c>
      <c r="CD236">
        <v>1501</v>
      </c>
      <c r="CE236" t="s">
        <v>83</v>
      </c>
      <c r="CF236" s="1">
        <v>44993</v>
      </c>
      <c r="CI236">
        <v>1</v>
      </c>
      <c r="CJ236">
        <v>1</v>
      </c>
      <c r="CK236">
        <v>32</v>
      </c>
      <c r="CL236" t="s">
        <v>72</v>
      </c>
    </row>
    <row r="237" spans="1:90" x14ac:dyDescent="0.3">
      <c r="A237" t="s">
        <v>258</v>
      </c>
      <c r="B237" t="s">
        <v>259</v>
      </c>
      <c r="C237" t="s">
        <v>61</v>
      </c>
      <c r="E237" t="str">
        <f>"009941520402"</f>
        <v>009941520402</v>
      </c>
      <c r="F237" s="4">
        <v>44992</v>
      </c>
      <c r="G237">
        <v>202312</v>
      </c>
      <c r="H237" t="s">
        <v>101</v>
      </c>
      <c r="I237" t="s">
        <v>102</v>
      </c>
      <c r="J237" t="s">
        <v>272</v>
      </c>
      <c r="K237" t="s">
        <v>64</v>
      </c>
      <c r="L237" t="s">
        <v>119</v>
      </c>
      <c r="M237" t="s">
        <v>120</v>
      </c>
      <c r="N237" t="s">
        <v>272</v>
      </c>
      <c r="O237" t="s">
        <v>67</v>
      </c>
      <c r="P237" t="str">
        <f>"                              "</f>
        <v xml:space="preserve">        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23.95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1</v>
      </c>
      <c r="BJ237" s="3">
        <v>1</v>
      </c>
      <c r="BK237" s="3">
        <v>1</v>
      </c>
      <c r="BL237" s="3">
        <v>67.489999999999995</v>
      </c>
      <c r="BM237" s="3">
        <v>10.119999999999999</v>
      </c>
      <c r="BN237" s="3">
        <v>77.61</v>
      </c>
      <c r="BO237" s="3">
        <v>77.61</v>
      </c>
      <c r="BQ237" t="s">
        <v>661</v>
      </c>
      <c r="BR237" t="s">
        <v>501</v>
      </c>
      <c r="BS237" s="1">
        <v>44993</v>
      </c>
      <c r="BT237" s="2">
        <v>0.36874999999999997</v>
      </c>
      <c r="BU237" t="s">
        <v>281</v>
      </c>
      <c r="BV237" t="s">
        <v>69</v>
      </c>
      <c r="BY237">
        <v>4800</v>
      </c>
      <c r="BZ237" t="s">
        <v>70</v>
      </c>
      <c r="CA237" t="s">
        <v>149</v>
      </c>
      <c r="CC237" t="s">
        <v>120</v>
      </c>
      <c r="CD237">
        <v>2013</v>
      </c>
      <c r="CE237" t="s">
        <v>83</v>
      </c>
      <c r="CF237" s="1">
        <v>44993</v>
      </c>
      <c r="CI237">
        <v>1</v>
      </c>
      <c r="CJ237">
        <v>1</v>
      </c>
      <c r="CK237">
        <v>21</v>
      </c>
      <c r="CL237" t="s">
        <v>72</v>
      </c>
    </row>
    <row r="238" spans="1:90" x14ac:dyDescent="0.3">
      <c r="A238" t="s">
        <v>258</v>
      </c>
      <c r="B238" t="s">
        <v>259</v>
      </c>
      <c r="C238" t="s">
        <v>61</v>
      </c>
      <c r="E238" t="str">
        <f>"009942844537"</f>
        <v>009942844537</v>
      </c>
      <c r="F238" s="4">
        <v>44992</v>
      </c>
      <c r="G238">
        <v>202312</v>
      </c>
      <c r="H238" t="s">
        <v>114</v>
      </c>
      <c r="I238" t="s">
        <v>115</v>
      </c>
      <c r="J238" t="s">
        <v>541</v>
      </c>
      <c r="K238" t="s">
        <v>64</v>
      </c>
      <c r="L238" t="s">
        <v>119</v>
      </c>
      <c r="M238" t="s">
        <v>120</v>
      </c>
      <c r="N238" t="s">
        <v>272</v>
      </c>
      <c r="O238" t="s">
        <v>96</v>
      </c>
      <c r="P238" t="str">
        <f>"..                            "</f>
        <v xml:space="preserve">..      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5.25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35.729999999999997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1</v>
      </c>
      <c r="BI238" s="3">
        <v>1</v>
      </c>
      <c r="BJ238" s="3">
        <v>0.2</v>
      </c>
      <c r="BK238" s="3">
        <v>1</v>
      </c>
      <c r="BL238" s="3">
        <v>105.95</v>
      </c>
      <c r="BM238" s="3">
        <v>15.89</v>
      </c>
      <c r="BN238" s="3">
        <v>121.84</v>
      </c>
      <c r="BO238" s="3">
        <v>121.84</v>
      </c>
      <c r="BQ238" t="s">
        <v>249</v>
      </c>
      <c r="BR238" t="s">
        <v>214</v>
      </c>
      <c r="BS238" s="1">
        <v>44993</v>
      </c>
      <c r="BT238" s="2">
        <v>0.36805555555555558</v>
      </c>
      <c r="BU238" t="s">
        <v>281</v>
      </c>
      <c r="BV238" t="s">
        <v>69</v>
      </c>
      <c r="BY238">
        <v>1200</v>
      </c>
      <c r="BZ238" t="s">
        <v>97</v>
      </c>
      <c r="CA238" t="s">
        <v>149</v>
      </c>
      <c r="CC238" t="s">
        <v>120</v>
      </c>
      <c r="CD238">
        <v>2013</v>
      </c>
      <c r="CE238" t="s">
        <v>83</v>
      </c>
      <c r="CF238" s="1">
        <v>44993</v>
      </c>
      <c r="CI238">
        <v>1</v>
      </c>
      <c r="CJ238">
        <v>1</v>
      </c>
      <c r="CK238">
        <v>42</v>
      </c>
      <c r="CL238" t="s">
        <v>72</v>
      </c>
    </row>
    <row r="239" spans="1:90" x14ac:dyDescent="0.3">
      <c r="A239" t="s">
        <v>258</v>
      </c>
      <c r="B239" t="s">
        <v>259</v>
      </c>
      <c r="C239" t="s">
        <v>61</v>
      </c>
      <c r="E239" t="str">
        <f>"009943149881"</f>
        <v>009943149881</v>
      </c>
      <c r="F239" s="4">
        <v>44992</v>
      </c>
      <c r="G239">
        <v>202312</v>
      </c>
      <c r="H239" t="s">
        <v>119</v>
      </c>
      <c r="I239" t="s">
        <v>120</v>
      </c>
      <c r="J239" t="s">
        <v>260</v>
      </c>
      <c r="K239" t="s">
        <v>64</v>
      </c>
      <c r="L239" t="s">
        <v>65</v>
      </c>
      <c r="M239" t="s">
        <v>66</v>
      </c>
      <c r="N239" t="s">
        <v>662</v>
      </c>
      <c r="O239" t="s">
        <v>203</v>
      </c>
      <c r="P239" t="str">
        <f>"N A                           "</f>
        <v xml:space="preserve">N A                           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44.9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1</v>
      </c>
      <c r="BI239" s="3">
        <v>1</v>
      </c>
      <c r="BJ239" s="3">
        <v>0.2</v>
      </c>
      <c r="BK239" s="3">
        <v>1</v>
      </c>
      <c r="BL239" s="3">
        <v>126.54</v>
      </c>
      <c r="BM239" s="3">
        <v>18.98</v>
      </c>
      <c r="BN239" s="3">
        <v>145.52000000000001</v>
      </c>
      <c r="BO239" s="3">
        <v>145.52000000000001</v>
      </c>
      <c r="BQ239" t="s">
        <v>214</v>
      </c>
      <c r="BR239" t="s">
        <v>263</v>
      </c>
      <c r="BS239" s="1">
        <v>44993</v>
      </c>
      <c r="BT239" s="2">
        <v>0.53125</v>
      </c>
      <c r="BU239" t="s">
        <v>663</v>
      </c>
      <c r="BV239" t="s">
        <v>69</v>
      </c>
      <c r="BY239">
        <v>1200</v>
      </c>
      <c r="BZ239" t="s">
        <v>97</v>
      </c>
      <c r="CC239" t="s">
        <v>66</v>
      </c>
      <c r="CD239">
        <v>7945</v>
      </c>
      <c r="CE239" t="s">
        <v>83</v>
      </c>
      <c r="CF239" s="1">
        <v>44994</v>
      </c>
      <c r="CI239">
        <v>1</v>
      </c>
      <c r="CJ239">
        <v>1</v>
      </c>
      <c r="CK239">
        <v>31</v>
      </c>
      <c r="CL239" t="s">
        <v>72</v>
      </c>
    </row>
    <row r="240" spans="1:90" x14ac:dyDescent="0.3">
      <c r="A240" t="s">
        <v>258</v>
      </c>
      <c r="B240" t="s">
        <v>259</v>
      </c>
      <c r="C240" t="s">
        <v>61</v>
      </c>
      <c r="E240" t="str">
        <f>"009943149882"</f>
        <v>009943149882</v>
      </c>
      <c r="F240" s="4">
        <v>44992</v>
      </c>
      <c r="G240">
        <v>202312</v>
      </c>
      <c r="H240" t="s">
        <v>119</v>
      </c>
      <c r="I240" t="s">
        <v>120</v>
      </c>
      <c r="J240" t="s">
        <v>260</v>
      </c>
      <c r="K240" t="s">
        <v>64</v>
      </c>
      <c r="L240" t="s">
        <v>75</v>
      </c>
      <c r="M240" t="s">
        <v>76</v>
      </c>
      <c r="N240" t="s">
        <v>664</v>
      </c>
      <c r="O240" t="s">
        <v>203</v>
      </c>
      <c r="P240" t="str">
        <f>"N A                           "</f>
        <v xml:space="preserve">N A                           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44.9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1</v>
      </c>
      <c r="BI240" s="3">
        <v>0.7</v>
      </c>
      <c r="BJ240" s="3">
        <v>2.5</v>
      </c>
      <c r="BK240" s="3">
        <v>3</v>
      </c>
      <c r="BL240" s="3">
        <v>126.54</v>
      </c>
      <c r="BM240" s="3">
        <v>18.98</v>
      </c>
      <c r="BN240" s="3">
        <v>145.52000000000001</v>
      </c>
      <c r="BO240" s="3">
        <v>145.52000000000001</v>
      </c>
      <c r="BQ240" t="s">
        <v>214</v>
      </c>
      <c r="BR240" t="s">
        <v>263</v>
      </c>
      <c r="BS240" s="1">
        <v>44993</v>
      </c>
      <c r="BT240" s="2">
        <v>0.5229166666666667</v>
      </c>
      <c r="BU240" t="s">
        <v>665</v>
      </c>
      <c r="BV240" t="s">
        <v>69</v>
      </c>
      <c r="BY240">
        <v>12257.62</v>
      </c>
      <c r="BZ240" t="s">
        <v>97</v>
      </c>
      <c r="CA240" t="s">
        <v>252</v>
      </c>
      <c r="CC240" t="s">
        <v>76</v>
      </c>
      <c r="CD240">
        <v>6024</v>
      </c>
      <c r="CE240" t="s">
        <v>83</v>
      </c>
      <c r="CF240" s="1">
        <v>44994</v>
      </c>
      <c r="CI240">
        <v>1</v>
      </c>
      <c r="CJ240">
        <v>1</v>
      </c>
      <c r="CK240">
        <v>31</v>
      </c>
      <c r="CL240" t="s">
        <v>72</v>
      </c>
    </row>
    <row r="241" spans="1:90" x14ac:dyDescent="0.3">
      <c r="A241" t="s">
        <v>258</v>
      </c>
      <c r="B241" t="s">
        <v>259</v>
      </c>
      <c r="C241" t="s">
        <v>61</v>
      </c>
      <c r="E241" t="str">
        <f>"009943056419"</f>
        <v>009943056419</v>
      </c>
      <c r="F241" s="4">
        <v>44992</v>
      </c>
      <c r="G241">
        <v>202312</v>
      </c>
      <c r="H241" t="s">
        <v>90</v>
      </c>
      <c r="I241" t="s">
        <v>91</v>
      </c>
      <c r="J241" t="s">
        <v>405</v>
      </c>
      <c r="K241" t="s">
        <v>64</v>
      </c>
      <c r="L241" t="s">
        <v>119</v>
      </c>
      <c r="M241" t="s">
        <v>120</v>
      </c>
      <c r="N241" t="s">
        <v>272</v>
      </c>
      <c r="O241" t="s">
        <v>67</v>
      </c>
      <c r="P241" t="str">
        <f>"..                            "</f>
        <v xml:space="preserve">..                            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18.71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1</v>
      </c>
      <c r="BI241" s="3">
        <v>1</v>
      </c>
      <c r="BJ241" s="3">
        <v>2.7</v>
      </c>
      <c r="BK241" s="3">
        <v>3</v>
      </c>
      <c r="BL241" s="3">
        <v>52.72</v>
      </c>
      <c r="BM241" s="3">
        <v>7.91</v>
      </c>
      <c r="BN241" s="3">
        <v>60.63</v>
      </c>
      <c r="BO241" s="3">
        <v>60.63</v>
      </c>
      <c r="BQ241" t="s">
        <v>214</v>
      </c>
      <c r="BR241" t="s">
        <v>274</v>
      </c>
      <c r="BS241" s="1">
        <v>44993</v>
      </c>
      <c r="BT241" s="2">
        <v>0.36874999999999997</v>
      </c>
      <c r="BU241" t="s">
        <v>281</v>
      </c>
      <c r="BV241" t="s">
        <v>69</v>
      </c>
      <c r="BY241">
        <v>13357.3</v>
      </c>
      <c r="BZ241" t="s">
        <v>70</v>
      </c>
      <c r="CA241" t="s">
        <v>149</v>
      </c>
      <c r="CC241" t="s">
        <v>120</v>
      </c>
      <c r="CD241">
        <v>2013</v>
      </c>
      <c r="CE241" t="s">
        <v>83</v>
      </c>
      <c r="CF241" s="1">
        <v>44993</v>
      </c>
      <c r="CI241">
        <v>1</v>
      </c>
      <c r="CJ241">
        <v>1</v>
      </c>
      <c r="CK241">
        <v>22</v>
      </c>
      <c r="CL241" t="s">
        <v>72</v>
      </c>
    </row>
    <row r="242" spans="1:90" x14ac:dyDescent="0.3">
      <c r="A242" t="s">
        <v>258</v>
      </c>
      <c r="B242" t="s">
        <v>259</v>
      </c>
      <c r="C242" t="s">
        <v>61</v>
      </c>
      <c r="E242" t="str">
        <f>"009943116606"</f>
        <v>009943116606</v>
      </c>
      <c r="F242" s="4">
        <v>44992</v>
      </c>
      <c r="G242">
        <v>202312</v>
      </c>
      <c r="H242" t="s">
        <v>119</v>
      </c>
      <c r="I242" t="s">
        <v>120</v>
      </c>
      <c r="J242" t="s">
        <v>260</v>
      </c>
      <c r="K242" t="s">
        <v>64</v>
      </c>
      <c r="L242" t="s">
        <v>110</v>
      </c>
      <c r="M242" t="s">
        <v>111</v>
      </c>
      <c r="N242" t="s">
        <v>666</v>
      </c>
      <c r="O242" t="s">
        <v>203</v>
      </c>
      <c r="P242" t="str">
        <f>"NA                            "</f>
        <v xml:space="preserve">NA                            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78.58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1</v>
      </c>
      <c r="BI242" s="3">
        <v>3.8</v>
      </c>
      <c r="BJ242" s="3">
        <v>6.7</v>
      </c>
      <c r="BK242" s="3">
        <v>7</v>
      </c>
      <c r="BL242" s="3">
        <v>221.45</v>
      </c>
      <c r="BM242" s="3">
        <v>33.22</v>
      </c>
      <c r="BN242" s="3">
        <v>254.67</v>
      </c>
      <c r="BO242" s="3">
        <v>254.67</v>
      </c>
      <c r="BQ242" t="s">
        <v>214</v>
      </c>
      <c r="BR242" t="s">
        <v>263</v>
      </c>
      <c r="BS242" s="1">
        <v>44993</v>
      </c>
      <c r="BT242" s="2">
        <v>0.53472222222222221</v>
      </c>
      <c r="BU242" t="s">
        <v>667</v>
      </c>
      <c r="BV242" t="s">
        <v>69</v>
      </c>
      <c r="BY242">
        <v>33695.01</v>
      </c>
      <c r="BZ242" t="s">
        <v>97</v>
      </c>
      <c r="CA242" t="s">
        <v>349</v>
      </c>
      <c r="CC242" t="s">
        <v>111</v>
      </c>
      <c r="CD242">
        <v>3610</v>
      </c>
      <c r="CE242" t="s">
        <v>83</v>
      </c>
      <c r="CF242" s="1">
        <v>44994</v>
      </c>
      <c r="CI242">
        <v>1</v>
      </c>
      <c r="CJ242">
        <v>1</v>
      </c>
      <c r="CK242">
        <v>31</v>
      </c>
      <c r="CL242" t="s">
        <v>72</v>
      </c>
    </row>
    <row r="243" spans="1:90" x14ac:dyDescent="0.3">
      <c r="A243" t="s">
        <v>258</v>
      </c>
      <c r="B243" t="s">
        <v>259</v>
      </c>
      <c r="C243" t="s">
        <v>61</v>
      </c>
      <c r="E243" t="str">
        <f>"009943149880"</f>
        <v>009943149880</v>
      </c>
      <c r="F243" s="4">
        <v>44992</v>
      </c>
      <c r="G243">
        <v>202312</v>
      </c>
      <c r="H243" t="s">
        <v>119</v>
      </c>
      <c r="I243" t="s">
        <v>120</v>
      </c>
      <c r="J243" t="s">
        <v>260</v>
      </c>
      <c r="K243" t="s">
        <v>64</v>
      </c>
      <c r="L243" t="s">
        <v>77</v>
      </c>
      <c r="M243" t="s">
        <v>78</v>
      </c>
      <c r="N243" t="s">
        <v>668</v>
      </c>
      <c r="O243" t="s">
        <v>203</v>
      </c>
      <c r="P243" t="str">
        <f t="shared" ref="P243:P248" si="10">"N A                           "</f>
        <v xml:space="preserve">N A                           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107.2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1</v>
      </c>
      <c r="BI243" s="3">
        <v>1.5</v>
      </c>
      <c r="BJ243" s="3">
        <v>9</v>
      </c>
      <c r="BK243" s="3">
        <v>9</v>
      </c>
      <c r="BL243" s="3">
        <v>302.11</v>
      </c>
      <c r="BM243" s="3">
        <v>45.32</v>
      </c>
      <c r="BN243" s="3">
        <v>347.43</v>
      </c>
      <c r="BO243" s="3">
        <v>347.43</v>
      </c>
      <c r="BQ243" t="s">
        <v>214</v>
      </c>
      <c r="BR243" t="s">
        <v>263</v>
      </c>
      <c r="BS243" s="1">
        <v>44993</v>
      </c>
      <c r="BT243" s="2">
        <v>0.54861111111111105</v>
      </c>
      <c r="BU243" t="s">
        <v>669</v>
      </c>
      <c r="BV243" t="s">
        <v>72</v>
      </c>
      <c r="BW243" t="s">
        <v>103</v>
      </c>
      <c r="BX243" t="s">
        <v>107</v>
      </c>
      <c r="BY243">
        <v>44976.59</v>
      </c>
      <c r="BZ243" t="s">
        <v>97</v>
      </c>
      <c r="CA243" t="s">
        <v>79</v>
      </c>
      <c r="CC243" t="s">
        <v>78</v>
      </c>
      <c r="CD243">
        <v>7300</v>
      </c>
      <c r="CE243" t="s">
        <v>83</v>
      </c>
      <c r="CF243" s="1">
        <v>44994</v>
      </c>
      <c r="CI243">
        <v>1</v>
      </c>
      <c r="CJ243">
        <v>1</v>
      </c>
      <c r="CK243">
        <v>33</v>
      </c>
      <c r="CL243" t="s">
        <v>72</v>
      </c>
    </row>
    <row r="244" spans="1:90" x14ac:dyDescent="0.3">
      <c r="A244" t="s">
        <v>258</v>
      </c>
      <c r="B244" t="s">
        <v>259</v>
      </c>
      <c r="C244" t="s">
        <v>61</v>
      </c>
      <c r="E244" t="str">
        <f>"009943149886"</f>
        <v>009943149886</v>
      </c>
      <c r="F244" s="4">
        <v>44992</v>
      </c>
      <c r="G244">
        <v>202312</v>
      </c>
      <c r="H244" t="s">
        <v>119</v>
      </c>
      <c r="I244" t="s">
        <v>120</v>
      </c>
      <c r="J244" t="s">
        <v>260</v>
      </c>
      <c r="K244" t="s">
        <v>64</v>
      </c>
      <c r="L244" t="s">
        <v>105</v>
      </c>
      <c r="M244" t="s">
        <v>106</v>
      </c>
      <c r="N244" t="s">
        <v>670</v>
      </c>
      <c r="O244" t="s">
        <v>203</v>
      </c>
      <c r="P244" t="str">
        <f t="shared" si="10"/>
        <v xml:space="preserve">N A                           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44.9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1</v>
      </c>
      <c r="BI244" s="3">
        <v>0.6</v>
      </c>
      <c r="BJ244" s="3">
        <v>2.2000000000000002</v>
      </c>
      <c r="BK244" s="3">
        <v>3</v>
      </c>
      <c r="BL244" s="3">
        <v>126.54</v>
      </c>
      <c r="BM244" s="3">
        <v>18.98</v>
      </c>
      <c r="BN244" s="3">
        <v>145.52000000000001</v>
      </c>
      <c r="BO244" s="3">
        <v>145.52000000000001</v>
      </c>
      <c r="BQ244" t="s">
        <v>214</v>
      </c>
      <c r="BR244" t="s">
        <v>263</v>
      </c>
      <c r="BS244" s="1">
        <v>44993</v>
      </c>
      <c r="BT244" s="2">
        <v>0.5180555555555556</v>
      </c>
      <c r="BU244" t="s">
        <v>671</v>
      </c>
      <c r="BV244" t="s">
        <v>69</v>
      </c>
      <c r="BY244">
        <v>10751.21</v>
      </c>
      <c r="BZ244" t="s">
        <v>97</v>
      </c>
      <c r="CA244" t="s">
        <v>232</v>
      </c>
      <c r="CC244" t="s">
        <v>106</v>
      </c>
      <c r="CD244">
        <v>181</v>
      </c>
      <c r="CE244" t="s">
        <v>83</v>
      </c>
      <c r="CF244" s="1">
        <v>44993</v>
      </c>
      <c r="CI244">
        <v>1</v>
      </c>
      <c r="CJ244">
        <v>1</v>
      </c>
      <c r="CK244">
        <v>31</v>
      </c>
      <c r="CL244" t="s">
        <v>72</v>
      </c>
    </row>
    <row r="245" spans="1:90" x14ac:dyDescent="0.3">
      <c r="A245" t="s">
        <v>258</v>
      </c>
      <c r="B245" t="s">
        <v>259</v>
      </c>
      <c r="C245" t="s">
        <v>61</v>
      </c>
      <c r="E245" t="str">
        <f>"009943149883"</f>
        <v>009943149883</v>
      </c>
      <c r="F245" s="4">
        <v>44992</v>
      </c>
      <c r="G245">
        <v>202312</v>
      </c>
      <c r="H245" t="s">
        <v>119</v>
      </c>
      <c r="I245" t="s">
        <v>120</v>
      </c>
      <c r="J245" t="s">
        <v>260</v>
      </c>
      <c r="K245" t="s">
        <v>64</v>
      </c>
      <c r="L245" t="s">
        <v>672</v>
      </c>
      <c r="M245" t="s">
        <v>673</v>
      </c>
      <c r="N245" t="s">
        <v>674</v>
      </c>
      <c r="O245" t="s">
        <v>203</v>
      </c>
      <c r="P245" t="str">
        <f t="shared" si="10"/>
        <v xml:space="preserve">N A                           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119.36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1</v>
      </c>
      <c r="BI245" s="3">
        <v>1.1000000000000001</v>
      </c>
      <c r="BJ245" s="3">
        <v>9.1999999999999993</v>
      </c>
      <c r="BK245" s="3">
        <v>10</v>
      </c>
      <c r="BL245" s="3">
        <v>336.38</v>
      </c>
      <c r="BM245" s="3">
        <v>50.46</v>
      </c>
      <c r="BN245" s="3">
        <v>386.84</v>
      </c>
      <c r="BO245" s="3">
        <v>386.84</v>
      </c>
      <c r="BQ245" t="s">
        <v>214</v>
      </c>
      <c r="BR245" t="s">
        <v>263</v>
      </c>
      <c r="BS245" s="1">
        <v>44993</v>
      </c>
      <c r="BT245" s="2">
        <v>0.3833333333333333</v>
      </c>
      <c r="BU245" t="s">
        <v>675</v>
      </c>
      <c r="BV245" t="s">
        <v>69</v>
      </c>
      <c r="BY245">
        <v>45956.29</v>
      </c>
      <c r="BZ245" t="s">
        <v>97</v>
      </c>
      <c r="CA245" t="s">
        <v>676</v>
      </c>
      <c r="CC245" t="s">
        <v>673</v>
      </c>
      <c r="CD245">
        <v>2940</v>
      </c>
      <c r="CE245" t="s">
        <v>83</v>
      </c>
      <c r="CF245" s="1">
        <v>44994</v>
      </c>
      <c r="CI245">
        <v>1</v>
      </c>
      <c r="CJ245">
        <v>1</v>
      </c>
      <c r="CK245">
        <v>33</v>
      </c>
      <c r="CL245" t="s">
        <v>72</v>
      </c>
    </row>
    <row r="246" spans="1:90" x14ac:dyDescent="0.3">
      <c r="A246" t="s">
        <v>258</v>
      </c>
      <c r="B246" t="s">
        <v>259</v>
      </c>
      <c r="C246" t="s">
        <v>61</v>
      </c>
      <c r="E246" t="str">
        <f>"009943149885"</f>
        <v>009943149885</v>
      </c>
      <c r="F246" s="4">
        <v>44992</v>
      </c>
      <c r="G246">
        <v>202312</v>
      </c>
      <c r="H246" t="s">
        <v>119</v>
      </c>
      <c r="I246" t="s">
        <v>120</v>
      </c>
      <c r="J246" t="s">
        <v>260</v>
      </c>
      <c r="K246" t="s">
        <v>64</v>
      </c>
      <c r="L246" t="s">
        <v>101</v>
      </c>
      <c r="M246" t="s">
        <v>102</v>
      </c>
      <c r="N246" t="s">
        <v>272</v>
      </c>
      <c r="O246" t="s">
        <v>67</v>
      </c>
      <c r="P246" t="str">
        <f t="shared" si="10"/>
        <v xml:space="preserve">N A                           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251.34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2</v>
      </c>
      <c r="BI246" s="3">
        <v>6</v>
      </c>
      <c r="BJ246" s="3">
        <v>21</v>
      </c>
      <c r="BK246" s="3">
        <v>21</v>
      </c>
      <c r="BL246" s="3">
        <v>708.32</v>
      </c>
      <c r="BM246" s="3">
        <v>106.25</v>
      </c>
      <c r="BN246" s="3">
        <v>814.57</v>
      </c>
      <c r="BO246" s="3">
        <v>814.57</v>
      </c>
      <c r="BQ246" t="s">
        <v>214</v>
      </c>
      <c r="BR246" t="s">
        <v>619</v>
      </c>
      <c r="BS246" s="1">
        <v>44993</v>
      </c>
      <c r="BT246" s="2">
        <v>0.54166666666666663</v>
      </c>
      <c r="BU246" t="s">
        <v>677</v>
      </c>
      <c r="BV246" t="s">
        <v>72</v>
      </c>
      <c r="BW246" t="s">
        <v>103</v>
      </c>
      <c r="BX246" t="s">
        <v>141</v>
      </c>
      <c r="BY246">
        <v>104807.78</v>
      </c>
      <c r="BZ246" t="s">
        <v>70</v>
      </c>
      <c r="CA246" t="s">
        <v>112</v>
      </c>
      <c r="CC246" t="s">
        <v>102</v>
      </c>
      <c r="CD246">
        <v>3629</v>
      </c>
      <c r="CE246" t="s">
        <v>83</v>
      </c>
      <c r="CF246" s="1">
        <v>44994</v>
      </c>
      <c r="CI246">
        <v>1</v>
      </c>
      <c r="CJ246">
        <v>1</v>
      </c>
      <c r="CK246">
        <v>21</v>
      </c>
      <c r="CL246" t="s">
        <v>72</v>
      </c>
    </row>
    <row r="247" spans="1:90" x14ac:dyDescent="0.3">
      <c r="A247" t="s">
        <v>258</v>
      </c>
      <c r="B247" t="s">
        <v>259</v>
      </c>
      <c r="C247" t="s">
        <v>61</v>
      </c>
      <c r="E247" t="str">
        <f>"009943149884"</f>
        <v>009943149884</v>
      </c>
      <c r="F247" s="4">
        <v>44992</v>
      </c>
      <c r="G247">
        <v>202312</v>
      </c>
      <c r="H247" t="s">
        <v>119</v>
      </c>
      <c r="I247" t="s">
        <v>120</v>
      </c>
      <c r="J247" t="s">
        <v>260</v>
      </c>
      <c r="K247" t="s">
        <v>64</v>
      </c>
      <c r="L247" t="s">
        <v>62</v>
      </c>
      <c r="M247" t="s">
        <v>63</v>
      </c>
      <c r="N247" t="s">
        <v>678</v>
      </c>
      <c r="O247" t="s">
        <v>203</v>
      </c>
      <c r="P247" t="str">
        <f t="shared" si="10"/>
        <v xml:space="preserve">N A                           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18.71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1</v>
      </c>
      <c r="BI247" s="3">
        <v>1</v>
      </c>
      <c r="BJ247" s="3">
        <v>0.2</v>
      </c>
      <c r="BK247" s="3">
        <v>1</v>
      </c>
      <c r="BL247" s="3">
        <v>52.73</v>
      </c>
      <c r="BM247" s="3">
        <v>7.91</v>
      </c>
      <c r="BN247" s="3">
        <v>60.64</v>
      </c>
      <c r="BO247" s="3">
        <v>60.64</v>
      </c>
      <c r="BQ247" t="s">
        <v>214</v>
      </c>
      <c r="BR247" t="s">
        <v>263</v>
      </c>
      <c r="BS247" s="1">
        <v>44993</v>
      </c>
      <c r="BT247" s="2">
        <v>0.39513888888888887</v>
      </c>
      <c r="BU247" t="s">
        <v>679</v>
      </c>
      <c r="BV247" t="s">
        <v>69</v>
      </c>
      <c r="BY247">
        <v>1200</v>
      </c>
      <c r="BZ247" t="s">
        <v>97</v>
      </c>
      <c r="CA247" t="s">
        <v>160</v>
      </c>
      <c r="CC247" t="s">
        <v>63</v>
      </c>
      <c r="CD247">
        <v>1686</v>
      </c>
      <c r="CE247" t="s">
        <v>83</v>
      </c>
      <c r="CF247" s="1">
        <v>44993</v>
      </c>
      <c r="CI247">
        <v>1</v>
      </c>
      <c r="CJ247">
        <v>1</v>
      </c>
      <c r="CK247">
        <v>32</v>
      </c>
      <c r="CL247" t="s">
        <v>72</v>
      </c>
    </row>
    <row r="248" spans="1:90" x14ac:dyDescent="0.3">
      <c r="A248" t="s">
        <v>258</v>
      </c>
      <c r="B248" t="s">
        <v>259</v>
      </c>
      <c r="C248" t="s">
        <v>61</v>
      </c>
      <c r="E248" t="str">
        <f>"009941300047"</f>
        <v>009941300047</v>
      </c>
      <c r="F248" s="4">
        <v>44992</v>
      </c>
      <c r="G248">
        <v>202312</v>
      </c>
      <c r="H248" t="s">
        <v>119</v>
      </c>
      <c r="I248" t="s">
        <v>120</v>
      </c>
      <c r="J248" t="s">
        <v>390</v>
      </c>
      <c r="K248" t="s">
        <v>64</v>
      </c>
      <c r="L248" t="s">
        <v>119</v>
      </c>
      <c r="M248" t="s">
        <v>120</v>
      </c>
      <c r="N248" t="s">
        <v>272</v>
      </c>
      <c r="O248" t="s">
        <v>96</v>
      </c>
      <c r="P248" t="str">
        <f t="shared" si="10"/>
        <v xml:space="preserve">N A                           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5.25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35.729999999999997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1</v>
      </c>
      <c r="BI248" s="3">
        <v>1</v>
      </c>
      <c r="BJ248" s="3">
        <v>0.2</v>
      </c>
      <c r="BK248" s="3">
        <v>1</v>
      </c>
      <c r="BL248" s="3">
        <v>105.95</v>
      </c>
      <c r="BM248" s="3">
        <v>15.89</v>
      </c>
      <c r="BN248" s="3">
        <v>121.84</v>
      </c>
      <c r="BO248" s="3">
        <v>121.84</v>
      </c>
      <c r="BQ248" t="s">
        <v>214</v>
      </c>
      <c r="BR248" t="s">
        <v>214</v>
      </c>
      <c r="BS248" s="1">
        <v>44993</v>
      </c>
      <c r="BT248" s="2">
        <v>0.36874999999999997</v>
      </c>
      <c r="BU248" t="s">
        <v>281</v>
      </c>
      <c r="BV248" t="s">
        <v>69</v>
      </c>
      <c r="BY248">
        <v>1200</v>
      </c>
      <c r="BZ248" t="s">
        <v>97</v>
      </c>
      <c r="CA248" t="s">
        <v>149</v>
      </c>
      <c r="CC248" t="s">
        <v>120</v>
      </c>
      <c r="CD248">
        <v>2013</v>
      </c>
      <c r="CE248" t="s">
        <v>83</v>
      </c>
      <c r="CF248" s="1">
        <v>44993</v>
      </c>
      <c r="CI248">
        <v>1</v>
      </c>
      <c r="CJ248">
        <v>1</v>
      </c>
      <c r="CK248">
        <v>42</v>
      </c>
      <c r="CL248" t="s">
        <v>72</v>
      </c>
    </row>
    <row r="249" spans="1:90" x14ac:dyDescent="0.3">
      <c r="A249" t="s">
        <v>258</v>
      </c>
      <c r="B249" t="s">
        <v>259</v>
      </c>
      <c r="C249" t="s">
        <v>61</v>
      </c>
      <c r="E249" t="str">
        <f>"009943048004"</f>
        <v>009943048004</v>
      </c>
      <c r="F249" s="4">
        <v>44992</v>
      </c>
      <c r="G249">
        <v>202312</v>
      </c>
      <c r="H249" t="s">
        <v>101</v>
      </c>
      <c r="I249" t="s">
        <v>102</v>
      </c>
      <c r="J249" t="s">
        <v>288</v>
      </c>
      <c r="K249" t="s">
        <v>64</v>
      </c>
      <c r="L249" t="s">
        <v>119</v>
      </c>
      <c r="M249" t="s">
        <v>120</v>
      </c>
      <c r="N249" t="s">
        <v>406</v>
      </c>
      <c r="O249" t="s">
        <v>67</v>
      </c>
      <c r="P249" t="str">
        <f>"                              "</f>
        <v xml:space="preserve">                              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23.95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1</v>
      </c>
      <c r="BI249" s="3">
        <v>1</v>
      </c>
      <c r="BJ249" s="3">
        <v>0.2</v>
      </c>
      <c r="BK249" s="3">
        <v>1</v>
      </c>
      <c r="BL249" s="3">
        <v>67.489999999999995</v>
      </c>
      <c r="BM249" s="3">
        <v>10.119999999999999</v>
      </c>
      <c r="BN249" s="3">
        <v>77.61</v>
      </c>
      <c r="BO249" s="3">
        <v>77.61</v>
      </c>
      <c r="BR249" t="s">
        <v>539</v>
      </c>
      <c r="BS249" s="1">
        <v>44993</v>
      </c>
      <c r="BT249" s="2">
        <v>0.36805555555555558</v>
      </c>
      <c r="BU249" t="s">
        <v>281</v>
      </c>
      <c r="BV249" t="s">
        <v>69</v>
      </c>
      <c r="BY249">
        <v>1200</v>
      </c>
      <c r="BZ249" t="s">
        <v>70</v>
      </c>
      <c r="CA249" t="s">
        <v>149</v>
      </c>
      <c r="CC249" t="s">
        <v>120</v>
      </c>
      <c r="CD249">
        <v>2190</v>
      </c>
      <c r="CE249" t="s">
        <v>83</v>
      </c>
      <c r="CF249" s="1">
        <v>44993</v>
      </c>
      <c r="CI249">
        <v>1</v>
      </c>
      <c r="CJ249">
        <v>1</v>
      </c>
      <c r="CK249">
        <v>21</v>
      </c>
      <c r="CL249" t="s">
        <v>72</v>
      </c>
    </row>
    <row r="250" spans="1:90" x14ac:dyDescent="0.3">
      <c r="A250" t="s">
        <v>258</v>
      </c>
      <c r="B250" t="s">
        <v>259</v>
      </c>
      <c r="C250" t="s">
        <v>61</v>
      </c>
      <c r="E250" t="str">
        <f>"009943276880"</f>
        <v>009943276880</v>
      </c>
      <c r="F250" s="4">
        <v>44992</v>
      </c>
      <c r="G250">
        <v>202312</v>
      </c>
      <c r="H250" t="s">
        <v>158</v>
      </c>
      <c r="I250" t="s">
        <v>159</v>
      </c>
      <c r="J250" t="s">
        <v>325</v>
      </c>
      <c r="K250" t="s">
        <v>64</v>
      </c>
      <c r="L250" t="s">
        <v>119</v>
      </c>
      <c r="M250" t="s">
        <v>120</v>
      </c>
      <c r="N250" t="s">
        <v>272</v>
      </c>
      <c r="O250" t="s">
        <v>96</v>
      </c>
      <c r="P250" t="str">
        <f>"                              "</f>
        <v xml:space="preserve">                              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5.25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35.729999999999997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1</v>
      </c>
      <c r="BI250" s="3">
        <v>1</v>
      </c>
      <c r="BJ250" s="3">
        <v>0.2</v>
      </c>
      <c r="BK250" s="3">
        <v>1</v>
      </c>
      <c r="BL250" s="3">
        <v>105.95</v>
      </c>
      <c r="BM250" s="3">
        <v>15.89</v>
      </c>
      <c r="BN250" s="3">
        <v>121.84</v>
      </c>
      <c r="BO250" s="3">
        <v>121.84</v>
      </c>
      <c r="BQ250" t="s">
        <v>313</v>
      </c>
      <c r="BR250" t="s">
        <v>680</v>
      </c>
      <c r="BS250" s="1">
        <v>44993</v>
      </c>
      <c r="BT250" s="2">
        <v>0.36874999999999997</v>
      </c>
      <c r="BU250" t="s">
        <v>281</v>
      </c>
      <c r="BV250" t="s">
        <v>69</v>
      </c>
      <c r="BY250">
        <v>1200</v>
      </c>
      <c r="BZ250" t="s">
        <v>97</v>
      </c>
      <c r="CA250" t="s">
        <v>149</v>
      </c>
      <c r="CC250" t="s">
        <v>120</v>
      </c>
      <c r="CD250">
        <v>2016</v>
      </c>
      <c r="CE250" t="s">
        <v>83</v>
      </c>
      <c r="CF250" s="1">
        <v>44993</v>
      </c>
      <c r="CI250">
        <v>1</v>
      </c>
      <c r="CJ250">
        <v>1</v>
      </c>
      <c r="CK250">
        <v>42</v>
      </c>
      <c r="CL250" t="s">
        <v>72</v>
      </c>
    </row>
    <row r="251" spans="1:90" x14ac:dyDescent="0.3">
      <c r="A251" t="s">
        <v>258</v>
      </c>
      <c r="B251" t="s">
        <v>259</v>
      </c>
      <c r="C251" t="s">
        <v>61</v>
      </c>
      <c r="E251" t="str">
        <f>"009943245423"</f>
        <v>009943245423</v>
      </c>
      <c r="F251" s="4">
        <v>44992</v>
      </c>
      <c r="G251">
        <v>202312</v>
      </c>
      <c r="H251" t="s">
        <v>101</v>
      </c>
      <c r="I251" t="s">
        <v>102</v>
      </c>
      <c r="J251" t="s">
        <v>272</v>
      </c>
      <c r="K251" t="s">
        <v>64</v>
      </c>
      <c r="L251" t="s">
        <v>119</v>
      </c>
      <c r="M251" t="s">
        <v>120</v>
      </c>
      <c r="N251" t="s">
        <v>406</v>
      </c>
      <c r="O251" t="s">
        <v>96</v>
      </c>
      <c r="P251" t="str">
        <f>"                              "</f>
        <v xml:space="preserve">                              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5.25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46.31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1</v>
      </c>
      <c r="BI251" s="3">
        <v>1</v>
      </c>
      <c r="BJ251" s="3">
        <v>0.2</v>
      </c>
      <c r="BK251" s="3">
        <v>1</v>
      </c>
      <c r="BL251" s="3">
        <v>135.76</v>
      </c>
      <c r="BM251" s="3">
        <v>20.36</v>
      </c>
      <c r="BN251" s="3">
        <v>156.12</v>
      </c>
      <c r="BO251" s="3">
        <v>156.12</v>
      </c>
      <c r="BQ251" t="s">
        <v>681</v>
      </c>
      <c r="BR251" t="s">
        <v>682</v>
      </c>
      <c r="BS251" s="1">
        <v>44993</v>
      </c>
      <c r="BT251" s="2">
        <v>0.36805555555555558</v>
      </c>
      <c r="BU251" t="s">
        <v>281</v>
      </c>
      <c r="BV251" t="s">
        <v>69</v>
      </c>
      <c r="BY251">
        <v>1200</v>
      </c>
      <c r="BZ251" t="s">
        <v>97</v>
      </c>
      <c r="CA251" t="s">
        <v>149</v>
      </c>
      <c r="CC251" t="s">
        <v>120</v>
      </c>
      <c r="CD251">
        <v>2190</v>
      </c>
      <c r="CE251" t="s">
        <v>83</v>
      </c>
      <c r="CF251" s="1">
        <v>44993</v>
      </c>
      <c r="CI251">
        <v>1</v>
      </c>
      <c r="CJ251">
        <v>1</v>
      </c>
      <c r="CK251">
        <v>41</v>
      </c>
      <c r="CL251" t="s">
        <v>72</v>
      </c>
    </row>
    <row r="252" spans="1:90" x14ac:dyDescent="0.3">
      <c r="A252" t="s">
        <v>258</v>
      </c>
      <c r="B252" t="s">
        <v>259</v>
      </c>
      <c r="C252" t="s">
        <v>61</v>
      </c>
      <c r="E252" t="str">
        <f>"009943251612"</f>
        <v>009943251612</v>
      </c>
      <c r="F252" s="4">
        <v>44992</v>
      </c>
      <c r="G252">
        <v>202312</v>
      </c>
      <c r="H252" t="s">
        <v>200</v>
      </c>
      <c r="I252" t="s">
        <v>201</v>
      </c>
      <c r="J252" t="s">
        <v>288</v>
      </c>
      <c r="K252" t="s">
        <v>64</v>
      </c>
      <c r="L252" t="s">
        <v>119</v>
      </c>
      <c r="M252" t="s">
        <v>120</v>
      </c>
      <c r="N252" t="s">
        <v>319</v>
      </c>
      <c r="O252" t="s">
        <v>67</v>
      </c>
      <c r="P252" t="str">
        <f>"                              "</f>
        <v xml:space="preserve">                              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23.95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1</v>
      </c>
      <c r="BI252" s="3">
        <v>1</v>
      </c>
      <c r="BJ252" s="3">
        <v>0.2</v>
      </c>
      <c r="BK252" s="3">
        <v>1</v>
      </c>
      <c r="BL252" s="3">
        <v>67.489999999999995</v>
      </c>
      <c r="BM252" s="3">
        <v>10.119999999999999</v>
      </c>
      <c r="BN252" s="3">
        <v>77.61</v>
      </c>
      <c r="BO252" s="3">
        <v>77.61</v>
      </c>
      <c r="BS252" s="1">
        <v>44993</v>
      </c>
      <c r="BT252" s="2">
        <v>0.36874999999999997</v>
      </c>
      <c r="BU252" t="s">
        <v>281</v>
      </c>
      <c r="BV252" t="s">
        <v>69</v>
      </c>
      <c r="BY252">
        <v>1200</v>
      </c>
      <c r="BZ252" t="s">
        <v>70</v>
      </c>
      <c r="CA252" t="s">
        <v>149</v>
      </c>
      <c r="CC252" t="s">
        <v>120</v>
      </c>
      <c r="CD252">
        <v>2001</v>
      </c>
      <c r="CE252" t="s">
        <v>83</v>
      </c>
      <c r="CF252" s="1">
        <v>44993</v>
      </c>
      <c r="CI252">
        <v>1</v>
      </c>
      <c r="CJ252">
        <v>1</v>
      </c>
      <c r="CK252">
        <v>21</v>
      </c>
      <c r="CL252" t="s">
        <v>72</v>
      </c>
    </row>
    <row r="253" spans="1:90" x14ac:dyDescent="0.3">
      <c r="A253" t="s">
        <v>258</v>
      </c>
      <c r="B253" t="s">
        <v>259</v>
      </c>
      <c r="C253" t="s">
        <v>61</v>
      </c>
      <c r="E253" t="str">
        <f>"009943081951"</f>
        <v>009943081951</v>
      </c>
      <c r="F253" s="4">
        <v>44992</v>
      </c>
      <c r="G253">
        <v>202312</v>
      </c>
      <c r="H253" t="s">
        <v>119</v>
      </c>
      <c r="I253" t="s">
        <v>120</v>
      </c>
      <c r="J253" t="s">
        <v>476</v>
      </c>
      <c r="K253" t="s">
        <v>64</v>
      </c>
      <c r="L253" t="s">
        <v>119</v>
      </c>
      <c r="M253" t="s">
        <v>120</v>
      </c>
      <c r="N253" t="s">
        <v>272</v>
      </c>
      <c r="O253" t="s">
        <v>96</v>
      </c>
      <c r="P253" t="str">
        <f>"..                            "</f>
        <v xml:space="preserve">..                            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5.25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35.729999999999997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1</v>
      </c>
      <c r="BI253" s="3">
        <v>0.2</v>
      </c>
      <c r="BJ253" s="3">
        <v>2.7</v>
      </c>
      <c r="BK253" s="3">
        <v>3</v>
      </c>
      <c r="BL253" s="3">
        <v>105.95</v>
      </c>
      <c r="BM253" s="3">
        <v>15.89</v>
      </c>
      <c r="BN253" s="3">
        <v>121.84</v>
      </c>
      <c r="BO253" s="3">
        <v>121.84</v>
      </c>
      <c r="BQ253" t="s">
        <v>249</v>
      </c>
      <c r="BR253" t="s">
        <v>274</v>
      </c>
      <c r="BS253" s="1">
        <v>44993</v>
      </c>
      <c r="BT253" s="2">
        <v>0.36874999999999997</v>
      </c>
      <c r="BU253" t="s">
        <v>281</v>
      </c>
      <c r="BV253" t="s">
        <v>69</v>
      </c>
      <c r="BY253">
        <v>13345.15</v>
      </c>
      <c r="BZ253" t="s">
        <v>97</v>
      </c>
      <c r="CA253" t="s">
        <v>149</v>
      </c>
      <c r="CC253" t="s">
        <v>120</v>
      </c>
      <c r="CD253">
        <v>2013</v>
      </c>
      <c r="CE253" t="s">
        <v>83</v>
      </c>
      <c r="CF253" s="1">
        <v>44993</v>
      </c>
      <c r="CI253">
        <v>1</v>
      </c>
      <c r="CJ253">
        <v>1</v>
      </c>
      <c r="CK253">
        <v>42</v>
      </c>
      <c r="CL253" t="s">
        <v>72</v>
      </c>
    </row>
    <row r="254" spans="1:90" x14ac:dyDescent="0.3">
      <c r="A254" t="s">
        <v>278</v>
      </c>
      <c r="B254" t="s">
        <v>259</v>
      </c>
      <c r="C254" t="s">
        <v>61</v>
      </c>
      <c r="E254" t="str">
        <f>"009943044853"</f>
        <v>009943044853</v>
      </c>
      <c r="F254" s="4">
        <v>44993</v>
      </c>
      <c r="G254">
        <v>202312</v>
      </c>
      <c r="H254" t="s">
        <v>101</v>
      </c>
      <c r="I254" t="s">
        <v>102</v>
      </c>
      <c r="J254" t="s">
        <v>683</v>
      </c>
      <c r="K254" t="s">
        <v>64</v>
      </c>
      <c r="L254" t="s">
        <v>65</v>
      </c>
      <c r="M254" t="s">
        <v>66</v>
      </c>
      <c r="N254" t="s">
        <v>683</v>
      </c>
      <c r="O254" t="s">
        <v>67</v>
      </c>
      <c r="P254" t="str">
        <f>"                              "</f>
        <v xml:space="preserve">                              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23.95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1</v>
      </c>
      <c r="BI254" s="3">
        <v>1</v>
      </c>
      <c r="BJ254" s="3">
        <v>0.2</v>
      </c>
      <c r="BK254" s="3">
        <v>1</v>
      </c>
      <c r="BL254" s="3">
        <v>67.489999999999995</v>
      </c>
      <c r="BM254" s="3">
        <v>10.119999999999999</v>
      </c>
      <c r="BN254" s="3">
        <v>77.61</v>
      </c>
      <c r="BO254" s="3">
        <v>77.61</v>
      </c>
      <c r="BQ254" t="s">
        <v>684</v>
      </c>
      <c r="BR254" t="s">
        <v>685</v>
      </c>
      <c r="BS254" s="1">
        <v>44995</v>
      </c>
      <c r="BT254" s="2">
        <v>0.47638888888888892</v>
      </c>
      <c r="BU254" t="s">
        <v>686</v>
      </c>
      <c r="BV254" t="s">
        <v>72</v>
      </c>
      <c r="BW254" t="s">
        <v>103</v>
      </c>
      <c r="BX254" t="s">
        <v>164</v>
      </c>
      <c r="BY254">
        <v>1200</v>
      </c>
      <c r="BZ254" t="s">
        <v>70</v>
      </c>
      <c r="CA254" t="s">
        <v>108</v>
      </c>
      <c r="CC254" t="s">
        <v>66</v>
      </c>
      <c r="CD254">
        <v>8001</v>
      </c>
      <c r="CE254" t="s">
        <v>83</v>
      </c>
      <c r="CF254" s="1">
        <v>44998</v>
      </c>
      <c r="CI254">
        <v>1</v>
      </c>
      <c r="CJ254">
        <v>2</v>
      </c>
      <c r="CK254">
        <v>21</v>
      </c>
      <c r="CL254" t="s">
        <v>72</v>
      </c>
    </row>
    <row r="255" spans="1:90" x14ac:dyDescent="0.3">
      <c r="A255" t="s">
        <v>258</v>
      </c>
      <c r="B255" t="s">
        <v>259</v>
      </c>
      <c r="C255" t="s">
        <v>61</v>
      </c>
      <c r="E255" t="str">
        <f>"009943340478"</f>
        <v>009943340478</v>
      </c>
      <c r="F255" s="4">
        <v>44993</v>
      </c>
      <c r="G255">
        <v>202312</v>
      </c>
      <c r="H255" t="s">
        <v>119</v>
      </c>
      <c r="I255" t="s">
        <v>120</v>
      </c>
      <c r="J255" t="s">
        <v>405</v>
      </c>
      <c r="K255" t="s">
        <v>64</v>
      </c>
      <c r="L255" t="s">
        <v>119</v>
      </c>
      <c r="M255" t="s">
        <v>120</v>
      </c>
      <c r="N255" t="s">
        <v>406</v>
      </c>
      <c r="O255" t="s">
        <v>96</v>
      </c>
      <c r="P255" t="str">
        <f>"JNX2905231376                 "</f>
        <v xml:space="preserve">JNX2905231376                 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5.25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35.729999999999997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1</v>
      </c>
      <c r="BI255" s="3">
        <v>1</v>
      </c>
      <c r="BJ255" s="3">
        <v>0.2</v>
      </c>
      <c r="BK255" s="3">
        <v>1</v>
      </c>
      <c r="BL255" s="3">
        <v>105.95</v>
      </c>
      <c r="BM255" s="3">
        <v>15.89</v>
      </c>
      <c r="BN255" s="3">
        <v>121.84</v>
      </c>
      <c r="BO255" s="3">
        <v>121.84</v>
      </c>
      <c r="BQ255" t="s">
        <v>214</v>
      </c>
      <c r="BR255" t="s">
        <v>235</v>
      </c>
      <c r="BS255" s="1">
        <v>44994</v>
      </c>
      <c r="BT255" s="2">
        <v>0.33333333333333331</v>
      </c>
      <c r="BU255" t="s">
        <v>275</v>
      </c>
      <c r="BV255" t="s">
        <v>69</v>
      </c>
      <c r="BY255">
        <v>1200</v>
      </c>
      <c r="BZ255" t="s">
        <v>97</v>
      </c>
      <c r="CA255" t="s">
        <v>149</v>
      </c>
      <c r="CC255" t="s">
        <v>120</v>
      </c>
      <c r="CD255">
        <v>2013</v>
      </c>
      <c r="CE255" t="s">
        <v>83</v>
      </c>
      <c r="CF255" s="1">
        <v>44994</v>
      </c>
      <c r="CI255">
        <v>1</v>
      </c>
      <c r="CJ255">
        <v>1</v>
      </c>
      <c r="CK255">
        <v>42</v>
      </c>
      <c r="CL255" t="s">
        <v>72</v>
      </c>
    </row>
    <row r="256" spans="1:90" x14ac:dyDescent="0.3">
      <c r="A256" t="s">
        <v>258</v>
      </c>
      <c r="B256" t="s">
        <v>259</v>
      </c>
      <c r="C256" t="s">
        <v>61</v>
      </c>
      <c r="E256" t="str">
        <f>"009941950130"</f>
        <v>009941950130</v>
      </c>
      <c r="F256" s="4">
        <v>44993</v>
      </c>
      <c r="G256">
        <v>202312</v>
      </c>
      <c r="H256" t="s">
        <v>427</v>
      </c>
      <c r="I256" t="s">
        <v>428</v>
      </c>
      <c r="J256" t="s">
        <v>429</v>
      </c>
      <c r="K256" t="s">
        <v>64</v>
      </c>
      <c r="L256" t="s">
        <v>119</v>
      </c>
      <c r="M256" t="s">
        <v>120</v>
      </c>
      <c r="N256" t="s">
        <v>288</v>
      </c>
      <c r="O256" t="s">
        <v>96</v>
      </c>
      <c r="P256" t="str">
        <f>"                              "</f>
        <v xml:space="preserve">                              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5.25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46.31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1</v>
      </c>
      <c r="BI256" s="3">
        <v>1</v>
      </c>
      <c r="BJ256" s="3">
        <v>0.2</v>
      </c>
      <c r="BK256" s="3">
        <v>1</v>
      </c>
      <c r="BL256" s="3">
        <v>135.76</v>
      </c>
      <c r="BM256" s="3">
        <v>20.36</v>
      </c>
      <c r="BN256" s="3">
        <v>156.12</v>
      </c>
      <c r="BO256" s="3">
        <v>156.12</v>
      </c>
      <c r="BQ256" t="s">
        <v>305</v>
      </c>
      <c r="BR256" t="s">
        <v>431</v>
      </c>
      <c r="BS256" s="1">
        <v>44994</v>
      </c>
      <c r="BT256" s="2">
        <v>0.33194444444444443</v>
      </c>
      <c r="BU256" t="s">
        <v>275</v>
      </c>
      <c r="BV256" t="s">
        <v>69</v>
      </c>
      <c r="BY256">
        <v>1200</v>
      </c>
      <c r="BZ256" t="s">
        <v>97</v>
      </c>
      <c r="CA256" t="s">
        <v>149</v>
      </c>
      <c r="CC256" t="s">
        <v>120</v>
      </c>
      <c r="CD256">
        <v>2000</v>
      </c>
      <c r="CE256" t="s">
        <v>83</v>
      </c>
      <c r="CF256" s="1">
        <v>44994</v>
      </c>
      <c r="CI256">
        <v>1</v>
      </c>
      <c r="CJ256">
        <v>1</v>
      </c>
      <c r="CK256">
        <v>41</v>
      </c>
      <c r="CL256" t="s">
        <v>72</v>
      </c>
    </row>
    <row r="257" spans="1:90" x14ac:dyDescent="0.3">
      <c r="A257" t="s">
        <v>258</v>
      </c>
      <c r="B257" t="s">
        <v>259</v>
      </c>
      <c r="C257" t="s">
        <v>61</v>
      </c>
      <c r="E257" t="str">
        <f>"009942932933"</f>
        <v>009942932933</v>
      </c>
      <c r="F257" s="4">
        <v>44993</v>
      </c>
      <c r="G257">
        <v>202312</v>
      </c>
      <c r="H257" t="s">
        <v>150</v>
      </c>
      <c r="I257" t="s">
        <v>151</v>
      </c>
      <c r="J257" t="s">
        <v>432</v>
      </c>
      <c r="K257" t="s">
        <v>64</v>
      </c>
      <c r="L257" t="s">
        <v>119</v>
      </c>
      <c r="M257" t="s">
        <v>120</v>
      </c>
      <c r="N257" t="s">
        <v>272</v>
      </c>
      <c r="O257" t="s">
        <v>96</v>
      </c>
      <c r="P257" t="str">
        <f>"                              "</f>
        <v xml:space="preserve">                              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5.25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51.14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1</v>
      </c>
      <c r="BI257" s="3">
        <v>1</v>
      </c>
      <c r="BJ257" s="3">
        <v>0.2</v>
      </c>
      <c r="BK257" s="3">
        <v>1</v>
      </c>
      <c r="BL257" s="3">
        <v>149.38</v>
      </c>
      <c r="BM257" s="3">
        <v>22.41</v>
      </c>
      <c r="BN257" s="3">
        <v>171.79</v>
      </c>
      <c r="BO257" s="3">
        <v>171.79</v>
      </c>
      <c r="BQ257" t="s">
        <v>273</v>
      </c>
      <c r="BR257" t="s">
        <v>235</v>
      </c>
      <c r="BS257" s="1">
        <v>44994</v>
      </c>
      <c r="BT257" s="2">
        <v>0.3347222222222222</v>
      </c>
      <c r="BU257" t="s">
        <v>275</v>
      </c>
      <c r="BV257" t="s">
        <v>69</v>
      </c>
      <c r="BY257">
        <v>1200</v>
      </c>
      <c r="BZ257" t="s">
        <v>97</v>
      </c>
      <c r="CA257" t="s">
        <v>149</v>
      </c>
      <c r="CC257" t="s">
        <v>120</v>
      </c>
      <c r="CD257">
        <v>2013</v>
      </c>
      <c r="CE257" t="s">
        <v>83</v>
      </c>
      <c r="CF257" s="1">
        <v>44994</v>
      </c>
      <c r="CI257">
        <v>1</v>
      </c>
      <c r="CJ257">
        <v>1</v>
      </c>
      <c r="CK257">
        <v>44</v>
      </c>
      <c r="CL257" t="s">
        <v>72</v>
      </c>
    </row>
    <row r="258" spans="1:90" x14ac:dyDescent="0.3">
      <c r="A258" t="s">
        <v>258</v>
      </c>
      <c r="B258" t="s">
        <v>259</v>
      </c>
      <c r="C258" t="s">
        <v>61</v>
      </c>
      <c r="E258" t="str">
        <f>"009943340458"</f>
        <v>009943340458</v>
      </c>
      <c r="F258" s="4">
        <v>44993</v>
      </c>
      <c r="G258">
        <v>202312</v>
      </c>
      <c r="H258" t="s">
        <v>119</v>
      </c>
      <c r="I258" t="s">
        <v>120</v>
      </c>
      <c r="J258" t="s">
        <v>687</v>
      </c>
      <c r="K258" t="s">
        <v>64</v>
      </c>
      <c r="L258" t="s">
        <v>119</v>
      </c>
      <c r="M258" t="s">
        <v>120</v>
      </c>
      <c r="N258" t="s">
        <v>406</v>
      </c>
      <c r="O258" t="s">
        <v>96</v>
      </c>
      <c r="P258" t="str">
        <f>"JNX2905220933                 "</f>
        <v xml:space="preserve">JNX2905220933                 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5.25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35.729999999999997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1</v>
      </c>
      <c r="BI258" s="3">
        <v>1</v>
      </c>
      <c r="BJ258" s="3">
        <v>9.6</v>
      </c>
      <c r="BK258" s="3">
        <v>10</v>
      </c>
      <c r="BL258" s="3">
        <v>105.95</v>
      </c>
      <c r="BM258" s="3">
        <v>15.89</v>
      </c>
      <c r="BN258" s="3">
        <v>121.84</v>
      </c>
      <c r="BO258" s="3">
        <v>121.84</v>
      </c>
      <c r="BR258" t="s">
        <v>235</v>
      </c>
      <c r="BS258" s="1">
        <v>44994</v>
      </c>
      <c r="BT258" s="2">
        <v>0.33402777777777781</v>
      </c>
      <c r="BU258" t="s">
        <v>275</v>
      </c>
      <c r="BV258" t="s">
        <v>69</v>
      </c>
      <c r="BY258">
        <v>48000</v>
      </c>
      <c r="BZ258" t="s">
        <v>97</v>
      </c>
      <c r="CA258" t="s">
        <v>149</v>
      </c>
      <c r="CC258" t="s">
        <v>120</v>
      </c>
      <c r="CD258">
        <v>2013</v>
      </c>
      <c r="CE258" t="s">
        <v>83</v>
      </c>
      <c r="CF258" s="1">
        <v>44994</v>
      </c>
      <c r="CI258">
        <v>1</v>
      </c>
      <c r="CJ258">
        <v>1</v>
      </c>
      <c r="CK258">
        <v>42</v>
      </c>
      <c r="CL258" t="s">
        <v>72</v>
      </c>
    </row>
    <row r="259" spans="1:90" x14ac:dyDescent="0.3">
      <c r="A259" t="s">
        <v>258</v>
      </c>
      <c r="B259" t="s">
        <v>259</v>
      </c>
      <c r="C259" t="s">
        <v>61</v>
      </c>
      <c r="E259" t="str">
        <f>"009942116032"</f>
        <v>009942116032</v>
      </c>
      <c r="F259" s="4">
        <v>44993</v>
      </c>
      <c r="G259">
        <v>202312</v>
      </c>
      <c r="H259" t="s">
        <v>65</v>
      </c>
      <c r="I259" t="s">
        <v>66</v>
      </c>
      <c r="J259" t="s">
        <v>288</v>
      </c>
      <c r="K259" t="s">
        <v>64</v>
      </c>
      <c r="L259" t="s">
        <v>119</v>
      </c>
      <c r="M259" t="s">
        <v>120</v>
      </c>
      <c r="N259" t="s">
        <v>272</v>
      </c>
      <c r="O259" t="s">
        <v>67</v>
      </c>
      <c r="P259" t="str">
        <f>"                              "</f>
        <v xml:space="preserve">                              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119.69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1</v>
      </c>
      <c r="BI259" s="3">
        <v>1</v>
      </c>
      <c r="BJ259" s="3">
        <v>9.6</v>
      </c>
      <c r="BK259" s="3">
        <v>10</v>
      </c>
      <c r="BL259" s="3">
        <v>337.31</v>
      </c>
      <c r="BM259" s="3">
        <v>50.6</v>
      </c>
      <c r="BN259" s="3">
        <v>387.91</v>
      </c>
      <c r="BO259" s="3">
        <v>387.91</v>
      </c>
      <c r="BR259" t="s">
        <v>409</v>
      </c>
      <c r="BS259" s="1">
        <v>44994</v>
      </c>
      <c r="BT259" s="2">
        <v>0.33402777777777781</v>
      </c>
      <c r="BU259" t="s">
        <v>275</v>
      </c>
      <c r="BV259" t="s">
        <v>69</v>
      </c>
      <c r="BY259">
        <v>48000</v>
      </c>
      <c r="BZ259" t="s">
        <v>70</v>
      </c>
      <c r="CA259" t="s">
        <v>149</v>
      </c>
      <c r="CC259" t="s">
        <v>120</v>
      </c>
      <c r="CD259">
        <v>2013</v>
      </c>
      <c r="CE259" t="s">
        <v>83</v>
      </c>
      <c r="CF259" s="1">
        <v>44994</v>
      </c>
      <c r="CI259">
        <v>1</v>
      </c>
      <c r="CJ259">
        <v>1</v>
      </c>
      <c r="CK259">
        <v>21</v>
      </c>
      <c r="CL259" t="s">
        <v>72</v>
      </c>
    </row>
    <row r="260" spans="1:90" x14ac:dyDescent="0.3">
      <c r="A260" t="s">
        <v>258</v>
      </c>
      <c r="B260" t="s">
        <v>259</v>
      </c>
      <c r="C260" t="s">
        <v>61</v>
      </c>
      <c r="E260" t="str">
        <f>"009943103554"</f>
        <v>009943103554</v>
      </c>
      <c r="F260" s="4">
        <v>44993</v>
      </c>
      <c r="G260">
        <v>202312</v>
      </c>
      <c r="H260" t="s">
        <v>119</v>
      </c>
      <c r="I260" t="s">
        <v>120</v>
      </c>
      <c r="J260" t="s">
        <v>288</v>
      </c>
      <c r="K260" t="s">
        <v>64</v>
      </c>
      <c r="L260" t="s">
        <v>119</v>
      </c>
      <c r="M260" t="s">
        <v>120</v>
      </c>
      <c r="N260" t="s">
        <v>272</v>
      </c>
      <c r="O260" t="s">
        <v>67</v>
      </c>
      <c r="P260" t="str">
        <f>"N A                           "</f>
        <v xml:space="preserve">N A                           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27.68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1</v>
      </c>
      <c r="BI260" s="3">
        <v>1</v>
      </c>
      <c r="BJ260" s="3">
        <v>9.6</v>
      </c>
      <c r="BK260" s="3">
        <v>10</v>
      </c>
      <c r="BL260" s="3">
        <v>78.010000000000005</v>
      </c>
      <c r="BM260" s="3">
        <v>11.7</v>
      </c>
      <c r="BN260" s="3">
        <v>89.71</v>
      </c>
      <c r="BO260" s="3">
        <v>89.71</v>
      </c>
      <c r="BR260" t="s">
        <v>274</v>
      </c>
      <c r="BS260" s="1">
        <v>44994</v>
      </c>
      <c r="BT260" s="2">
        <v>0.33124999999999999</v>
      </c>
      <c r="BU260" t="s">
        <v>275</v>
      </c>
      <c r="BV260" t="s">
        <v>69</v>
      </c>
      <c r="BY260">
        <v>48000</v>
      </c>
      <c r="BZ260" t="s">
        <v>70</v>
      </c>
      <c r="CA260" t="s">
        <v>149</v>
      </c>
      <c r="CC260" t="s">
        <v>120</v>
      </c>
      <c r="CD260">
        <v>2013</v>
      </c>
      <c r="CE260" t="s">
        <v>83</v>
      </c>
      <c r="CF260" s="1">
        <v>44994</v>
      </c>
      <c r="CI260">
        <v>1</v>
      </c>
      <c r="CJ260">
        <v>1</v>
      </c>
      <c r="CK260">
        <v>22</v>
      </c>
      <c r="CL260" t="s">
        <v>72</v>
      </c>
    </row>
    <row r="261" spans="1:90" x14ac:dyDescent="0.3">
      <c r="A261" t="s">
        <v>258</v>
      </c>
      <c r="B261" t="s">
        <v>259</v>
      </c>
      <c r="C261" t="s">
        <v>61</v>
      </c>
      <c r="E261" t="str">
        <f>"009942953480"</f>
        <v>009942953480</v>
      </c>
      <c r="F261" s="4">
        <v>44994</v>
      </c>
      <c r="G261">
        <v>202312</v>
      </c>
      <c r="H261" t="s">
        <v>145</v>
      </c>
      <c r="I261" t="s">
        <v>146</v>
      </c>
      <c r="J261" t="s">
        <v>492</v>
      </c>
      <c r="K261" t="s">
        <v>64</v>
      </c>
      <c r="L261" t="s">
        <v>119</v>
      </c>
      <c r="M261" t="s">
        <v>120</v>
      </c>
      <c r="N261" t="s">
        <v>272</v>
      </c>
      <c r="O261" t="s">
        <v>67</v>
      </c>
      <c r="P261" t="str">
        <f>"                              "</f>
        <v xml:space="preserve">                              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23.95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1</v>
      </c>
      <c r="BI261" s="3">
        <v>1</v>
      </c>
      <c r="BJ261" s="3">
        <v>0.5</v>
      </c>
      <c r="BK261" s="3">
        <v>1</v>
      </c>
      <c r="BL261" s="3">
        <v>67.489999999999995</v>
      </c>
      <c r="BM261" s="3">
        <v>10.119999999999999</v>
      </c>
      <c r="BN261" s="3">
        <v>77.61</v>
      </c>
      <c r="BO261" s="3">
        <v>77.61</v>
      </c>
      <c r="BQ261" t="s">
        <v>305</v>
      </c>
      <c r="BR261" t="s">
        <v>177</v>
      </c>
      <c r="BS261" s="1">
        <v>44995</v>
      </c>
      <c r="BT261" s="2">
        <v>0.44930555555555557</v>
      </c>
      <c r="BU261" t="s">
        <v>281</v>
      </c>
      <c r="BV261" t="s">
        <v>72</v>
      </c>
      <c r="BW261" t="s">
        <v>98</v>
      </c>
      <c r="BX261" t="s">
        <v>148</v>
      </c>
      <c r="BY261">
        <v>2400</v>
      </c>
      <c r="BZ261" t="s">
        <v>70</v>
      </c>
      <c r="CA261" t="s">
        <v>149</v>
      </c>
      <c r="CC261" t="s">
        <v>120</v>
      </c>
      <c r="CD261">
        <v>2001</v>
      </c>
      <c r="CE261" t="s">
        <v>83</v>
      </c>
      <c r="CF261" s="1">
        <v>44995</v>
      </c>
      <c r="CI261">
        <v>1</v>
      </c>
      <c r="CJ261">
        <v>1</v>
      </c>
      <c r="CK261">
        <v>21</v>
      </c>
      <c r="CL261" t="s">
        <v>72</v>
      </c>
    </row>
    <row r="262" spans="1:90" x14ac:dyDescent="0.3">
      <c r="A262" t="s">
        <v>258</v>
      </c>
      <c r="B262" t="s">
        <v>259</v>
      </c>
      <c r="C262" t="s">
        <v>61</v>
      </c>
      <c r="E262" t="str">
        <f>"080010764932"</f>
        <v>080010764932</v>
      </c>
      <c r="F262" s="4">
        <v>44994</v>
      </c>
      <c r="G262">
        <v>202312</v>
      </c>
      <c r="H262" t="s">
        <v>119</v>
      </c>
      <c r="I262" t="s">
        <v>120</v>
      </c>
      <c r="J262" t="s">
        <v>688</v>
      </c>
      <c r="K262" t="s">
        <v>64</v>
      </c>
      <c r="N262" t="s">
        <v>272</v>
      </c>
      <c r="O262" t="s">
        <v>96</v>
      </c>
      <c r="P262" t="str">
        <f>"-                             "</f>
        <v xml:space="preserve">-                             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5.25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46.31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1</v>
      </c>
      <c r="BI262" s="3">
        <v>6.1</v>
      </c>
      <c r="BJ262" s="3">
        <v>8.8000000000000007</v>
      </c>
      <c r="BK262" s="3">
        <v>9</v>
      </c>
      <c r="BL262" s="3">
        <v>135.76</v>
      </c>
      <c r="BM262" s="3">
        <v>20.36</v>
      </c>
      <c r="BN262" s="3">
        <v>156.12</v>
      </c>
      <c r="BO262" s="3">
        <v>156.12</v>
      </c>
      <c r="BP262" t="s">
        <v>157</v>
      </c>
      <c r="BQ262" t="s">
        <v>689</v>
      </c>
      <c r="BR262" t="s">
        <v>690</v>
      </c>
      <c r="BS262" s="1">
        <v>44998</v>
      </c>
      <c r="BT262" s="2">
        <v>0.66666666666666663</v>
      </c>
      <c r="BU262" t="s">
        <v>691</v>
      </c>
      <c r="BV262" t="s">
        <v>72</v>
      </c>
      <c r="BW262" t="s">
        <v>182</v>
      </c>
      <c r="BX262" t="s">
        <v>104</v>
      </c>
      <c r="BY262">
        <v>43866.58</v>
      </c>
      <c r="CD262">
        <v>3624</v>
      </c>
      <c r="CE262" t="s">
        <v>558</v>
      </c>
      <c r="CF262" s="1">
        <v>44999</v>
      </c>
      <c r="CI262">
        <v>1</v>
      </c>
      <c r="CJ262">
        <v>2</v>
      </c>
      <c r="CK262">
        <v>41</v>
      </c>
      <c r="CL262" t="s">
        <v>72</v>
      </c>
    </row>
    <row r="263" spans="1:90" x14ac:dyDescent="0.3">
      <c r="A263" t="s">
        <v>258</v>
      </c>
      <c r="B263" t="s">
        <v>259</v>
      </c>
      <c r="C263" t="s">
        <v>61</v>
      </c>
      <c r="E263" t="str">
        <f>"080010764937"</f>
        <v>080010764937</v>
      </c>
      <c r="F263" s="4">
        <v>44994</v>
      </c>
      <c r="G263">
        <v>202312</v>
      </c>
      <c r="H263" t="s">
        <v>119</v>
      </c>
      <c r="I263" t="s">
        <v>120</v>
      </c>
      <c r="J263" t="s">
        <v>688</v>
      </c>
      <c r="K263" t="s">
        <v>64</v>
      </c>
      <c r="N263" t="s">
        <v>272</v>
      </c>
      <c r="O263" t="s">
        <v>96</v>
      </c>
      <c r="P263" t="str">
        <f>"-                             "</f>
        <v xml:space="preserve">-                             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5.25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48.27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21.1</v>
      </c>
      <c r="BJ263" s="3">
        <v>26.3</v>
      </c>
      <c r="BK263" s="3">
        <v>27</v>
      </c>
      <c r="BL263" s="3">
        <v>141.29</v>
      </c>
      <c r="BM263" s="3">
        <v>21.19</v>
      </c>
      <c r="BN263" s="3">
        <v>162.47999999999999</v>
      </c>
      <c r="BO263" s="3">
        <v>162.47999999999999</v>
      </c>
      <c r="BP263" t="s">
        <v>157</v>
      </c>
      <c r="BQ263" t="s">
        <v>692</v>
      </c>
      <c r="BR263" t="s">
        <v>690</v>
      </c>
      <c r="BS263" s="1">
        <v>44995</v>
      </c>
      <c r="BT263" s="2">
        <v>0.44930555555555557</v>
      </c>
      <c r="BU263" t="s">
        <v>281</v>
      </c>
      <c r="BV263" t="s">
        <v>69</v>
      </c>
      <c r="BY263">
        <v>131637.79</v>
      </c>
      <c r="CA263" t="s">
        <v>149</v>
      </c>
      <c r="CD263">
        <v>2013</v>
      </c>
      <c r="CE263" t="s">
        <v>558</v>
      </c>
      <c r="CF263" s="1">
        <v>44995</v>
      </c>
      <c r="CI263">
        <v>1</v>
      </c>
      <c r="CJ263">
        <v>1</v>
      </c>
      <c r="CK263">
        <v>42</v>
      </c>
      <c r="CL263" t="s">
        <v>72</v>
      </c>
    </row>
    <row r="264" spans="1:90" x14ac:dyDescent="0.3">
      <c r="A264" t="s">
        <v>258</v>
      </c>
      <c r="B264" t="s">
        <v>259</v>
      </c>
      <c r="C264" t="s">
        <v>61</v>
      </c>
      <c r="E264" t="str">
        <f>"009941520401"</f>
        <v>009941520401</v>
      </c>
      <c r="F264" s="4">
        <v>44994</v>
      </c>
      <c r="G264">
        <v>202312</v>
      </c>
      <c r="H264" t="s">
        <v>101</v>
      </c>
      <c r="I264" t="s">
        <v>102</v>
      </c>
      <c r="J264" t="s">
        <v>272</v>
      </c>
      <c r="K264" t="s">
        <v>64</v>
      </c>
      <c r="L264" t="s">
        <v>119</v>
      </c>
      <c r="M264" t="s">
        <v>120</v>
      </c>
      <c r="N264" t="s">
        <v>272</v>
      </c>
      <c r="O264" t="s">
        <v>67</v>
      </c>
      <c r="P264" t="str">
        <f>"                              "</f>
        <v xml:space="preserve">                              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23.95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1</v>
      </c>
      <c r="BI264" s="3">
        <v>1</v>
      </c>
      <c r="BJ264" s="3">
        <v>0.2</v>
      </c>
      <c r="BK264" s="3">
        <v>1</v>
      </c>
      <c r="BL264" s="3">
        <v>67.489999999999995</v>
      </c>
      <c r="BM264" s="3">
        <v>10.119999999999999</v>
      </c>
      <c r="BN264" s="3">
        <v>77.61</v>
      </c>
      <c r="BO264" s="3">
        <v>77.61</v>
      </c>
      <c r="BQ264" t="s">
        <v>693</v>
      </c>
      <c r="BR264" t="s">
        <v>280</v>
      </c>
      <c r="BS264" s="1">
        <v>44995</v>
      </c>
      <c r="BT264" s="2">
        <v>0.44861111111111113</v>
      </c>
      <c r="BU264" t="s">
        <v>281</v>
      </c>
      <c r="BV264" t="s">
        <v>72</v>
      </c>
      <c r="BW264" t="s">
        <v>98</v>
      </c>
      <c r="BX264" t="s">
        <v>148</v>
      </c>
      <c r="BY264">
        <v>1200</v>
      </c>
      <c r="BZ264" t="s">
        <v>70</v>
      </c>
      <c r="CA264" t="s">
        <v>149</v>
      </c>
      <c r="CC264" t="s">
        <v>120</v>
      </c>
      <c r="CD264">
        <v>2190</v>
      </c>
      <c r="CE264" t="s">
        <v>83</v>
      </c>
      <c r="CF264" s="1">
        <v>44995</v>
      </c>
      <c r="CI264">
        <v>1</v>
      </c>
      <c r="CJ264">
        <v>1</v>
      </c>
      <c r="CK264">
        <v>21</v>
      </c>
      <c r="CL264" t="s">
        <v>72</v>
      </c>
    </row>
    <row r="265" spans="1:90" x14ac:dyDescent="0.3">
      <c r="A265" t="s">
        <v>258</v>
      </c>
      <c r="B265" t="s">
        <v>259</v>
      </c>
      <c r="C265" t="s">
        <v>61</v>
      </c>
      <c r="E265" t="str">
        <f>"009943285290"</f>
        <v>009943285290</v>
      </c>
      <c r="F265" s="4">
        <v>44994</v>
      </c>
      <c r="G265">
        <v>202312</v>
      </c>
      <c r="H265" t="s">
        <v>119</v>
      </c>
      <c r="I265" t="s">
        <v>120</v>
      </c>
      <c r="J265" t="s">
        <v>260</v>
      </c>
      <c r="K265" t="s">
        <v>64</v>
      </c>
      <c r="L265" t="s">
        <v>427</v>
      </c>
      <c r="M265" t="s">
        <v>428</v>
      </c>
      <c r="N265" t="s">
        <v>694</v>
      </c>
      <c r="O265" t="s">
        <v>96</v>
      </c>
      <c r="P265" t="str">
        <f t="shared" ref="P265:P273" si="11">"N A                           "</f>
        <v xml:space="preserve">N A                           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5.25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65.31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1</v>
      </c>
      <c r="BI265" s="3">
        <v>0.5</v>
      </c>
      <c r="BJ265" s="3">
        <v>1.5</v>
      </c>
      <c r="BK265" s="3">
        <v>2</v>
      </c>
      <c r="BL265" s="3">
        <v>189.31</v>
      </c>
      <c r="BM265" s="3">
        <v>28.4</v>
      </c>
      <c r="BN265" s="3">
        <v>217.71</v>
      </c>
      <c r="BO265" s="3">
        <v>217.71</v>
      </c>
      <c r="BQ265" t="s">
        <v>214</v>
      </c>
      <c r="BR265" t="s">
        <v>415</v>
      </c>
      <c r="BS265" s="1">
        <v>44998</v>
      </c>
      <c r="BT265" s="2">
        <v>0.50486111111111109</v>
      </c>
      <c r="BU265" t="s">
        <v>695</v>
      </c>
      <c r="BV265" t="s">
        <v>69</v>
      </c>
      <c r="BY265">
        <v>7283.52</v>
      </c>
      <c r="BZ265" t="s">
        <v>97</v>
      </c>
      <c r="CC265" t="s">
        <v>428</v>
      </c>
      <c r="CD265">
        <v>4265</v>
      </c>
      <c r="CE265" t="s">
        <v>83</v>
      </c>
      <c r="CF265" s="1">
        <v>45000</v>
      </c>
      <c r="CI265">
        <v>2</v>
      </c>
      <c r="CJ265">
        <v>2</v>
      </c>
      <c r="CK265">
        <v>43</v>
      </c>
      <c r="CL265" t="s">
        <v>72</v>
      </c>
    </row>
    <row r="266" spans="1:90" x14ac:dyDescent="0.3">
      <c r="A266" t="s">
        <v>258</v>
      </c>
      <c r="B266" t="s">
        <v>259</v>
      </c>
      <c r="C266" t="s">
        <v>61</v>
      </c>
      <c r="E266" t="str">
        <f>"009943285288"</f>
        <v>009943285288</v>
      </c>
      <c r="F266" s="4">
        <v>44994</v>
      </c>
      <c r="G266">
        <v>202312</v>
      </c>
      <c r="H266" t="s">
        <v>119</v>
      </c>
      <c r="I266" t="s">
        <v>120</v>
      </c>
      <c r="J266" t="s">
        <v>260</v>
      </c>
      <c r="K266" t="s">
        <v>64</v>
      </c>
      <c r="L266" t="s">
        <v>145</v>
      </c>
      <c r="M266" t="s">
        <v>146</v>
      </c>
      <c r="N266" t="s">
        <v>696</v>
      </c>
      <c r="O266" t="s">
        <v>96</v>
      </c>
      <c r="P266" t="str">
        <f t="shared" si="11"/>
        <v xml:space="preserve">N A                           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5.25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46.31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1</v>
      </c>
      <c r="BI266" s="3">
        <v>0.2</v>
      </c>
      <c r="BJ266" s="3">
        <v>1.1000000000000001</v>
      </c>
      <c r="BK266" s="3">
        <v>2</v>
      </c>
      <c r="BL266" s="3">
        <v>135.76</v>
      </c>
      <c r="BM266" s="3">
        <v>20.36</v>
      </c>
      <c r="BN266" s="3">
        <v>156.12</v>
      </c>
      <c r="BO266" s="3">
        <v>156.12</v>
      </c>
      <c r="BQ266" t="s">
        <v>214</v>
      </c>
      <c r="BR266" t="s">
        <v>415</v>
      </c>
      <c r="BS266" s="1">
        <v>44995</v>
      </c>
      <c r="BT266" s="2">
        <v>0.53402777777777777</v>
      </c>
      <c r="BU266" t="s">
        <v>697</v>
      </c>
      <c r="BV266" t="s">
        <v>69</v>
      </c>
      <c r="BY266">
        <v>5668.99</v>
      </c>
      <c r="BZ266" t="s">
        <v>97</v>
      </c>
      <c r="CA266" t="s">
        <v>450</v>
      </c>
      <c r="CC266" t="s">
        <v>146</v>
      </c>
      <c r="CD266">
        <v>4320</v>
      </c>
      <c r="CE266" t="s">
        <v>83</v>
      </c>
      <c r="CF266" s="1">
        <v>44998</v>
      </c>
      <c r="CI266">
        <v>1</v>
      </c>
      <c r="CJ266">
        <v>1</v>
      </c>
      <c r="CK266">
        <v>41</v>
      </c>
      <c r="CL266" t="s">
        <v>72</v>
      </c>
    </row>
    <row r="267" spans="1:90" x14ac:dyDescent="0.3">
      <c r="A267" t="s">
        <v>258</v>
      </c>
      <c r="B267" t="s">
        <v>259</v>
      </c>
      <c r="C267" t="s">
        <v>61</v>
      </c>
      <c r="E267" t="str">
        <f>"009943116621"</f>
        <v>009943116621</v>
      </c>
      <c r="F267" s="4">
        <v>44994</v>
      </c>
      <c r="G267">
        <v>202312</v>
      </c>
      <c r="H267" t="s">
        <v>119</v>
      </c>
      <c r="I267" t="s">
        <v>120</v>
      </c>
      <c r="J267" t="s">
        <v>260</v>
      </c>
      <c r="K267" t="s">
        <v>64</v>
      </c>
      <c r="L267" t="s">
        <v>119</v>
      </c>
      <c r="M267" t="s">
        <v>120</v>
      </c>
      <c r="N267" t="s">
        <v>698</v>
      </c>
      <c r="O267" t="s">
        <v>203</v>
      </c>
      <c r="P267" t="str">
        <f t="shared" si="11"/>
        <v xml:space="preserve">N A                           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20.81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1</v>
      </c>
      <c r="BI267" s="3">
        <v>1.2</v>
      </c>
      <c r="BJ267" s="3">
        <v>8.6999999999999993</v>
      </c>
      <c r="BK267" s="3">
        <v>9</v>
      </c>
      <c r="BL267" s="3">
        <v>58.65</v>
      </c>
      <c r="BM267" s="3">
        <v>8.8000000000000007</v>
      </c>
      <c r="BN267" s="3">
        <v>67.45</v>
      </c>
      <c r="BO267" s="3">
        <v>67.45</v>
      </c>
      <c r="BQ267" t="s">
        <v>214</v>
      </c>
      <c r="BR267" t="s">
        <v>263</v>
      </c>
      <c r="BS267" s="1">
        <v>44995</v>
      </c>
      <c r="BT267" s="2">
        <v>0.28402777777777777</v>
      </c>
      <c r="BU267" t="s">
        <v>699</v>
      </c>
      <c r="BV267" t="s">
        <v>69</v>
      </c>
      <c r="BY267">
        <v>43339.72</v>
      </c>
      <c r="BZ267" t="s">
        <v>97</v>
      </c>
      <c r="CA267" t="s">
        <v>166</v>
      </c>
      <c r="CC267" t="s">
        <v>120</v>
      </c>
      <c r="CD267">
        <v>2055</v>
      </c>
      <c r="CE267" t="s">
        <v>83</v>
      </c>
      <c r="CF267" s="1">
        <v>44995</v>
      </c>
      <c r="CI267">
        <v>1</v>
      </c>
      <c r="CJ267">
        <v>1</v>
      </c>
      <c r="CK267">
        <v>32</v>
      </c>
      <c r="CL267" t="s">
        <v>72</v>
      </c>
    </row>
    <row r="268" spans="1:90" x14ac:dyDescent="0.3">
      <c r="A268" t="s">
        <v>258</v>
      </c>
      <c r="B268" t="s">
        <v>259</v>
      </c>
      <c r="C268" t="s">
        <v>61</v>
      </c>
      <c r="E268" t="str">
        <f>"009943285296"</f>
        <v>009943285296</v>
      </c>
      <c r="F268" s="4">
        <v>44994</v>
      </c>
      <c r="G268">
        <v>202312</v>
      </c>
      <c r="H268" t="s">
        <v>119</v>
      </c>
      <c r="I268" t="s">
        <v>120</v>
      </c>
      <c r="J268" t="s">
        <v>260</v>
      </c>
      <c r="K268" t="s">
        <v>64</v>
      </c>
      <c r="L268" t="s">
        <v>65</v>
      </c>
      <c r="M268" t="s">
        <v>66</v>
      </c>
      <c r="N268" t="s">
        <v>288</v>
      </c>
      <c r="O268" t="s">
        <v>96</v>
      </c>
      <c r="P268" t="str">
        <f t="shared" si="11"/>
        <v xml:space="preserve">N A                           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5.25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46.31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1</v>
      </c>
      <c r="BI268" s="3">
        <v>0.6</v>
      </c>
      <c r="BJ268" s="3">
        <v>1.6</v>
      </c>
      <c r="BK268" s="3">
        <v>2</v>
      </c>
      <c r="BL268" s="3">
        <v>135.76</v>
      </c>
      <c r="BM268" s="3">
        <v>20.36</v>
      </c>
      <c r="BN268" s="3">
        <v>156.12</v>
      </c>
      <c r="BO268" s="3">
        <v>156.12</v>
      </c>
      <c r="BQ268" t="s">
        <v>214</v>
      </c>
      <c r="BR268" t="s">
        <v>263</v>
      </c>
      <c r="BS268" s="1">
        <v>44998</v>
      </c>
      <c r="BT268" s="2">
        <v>0.45833333333333331</v>
      </c>
      <c r="BU268" t="s">
        <v>700</v>
      </c>
      <c r="BV268" t="s">
        <v>69</v>
      </c>
      <c r="BY268">
        <v>8164.8</v>
      </c>
      <c r="BZ268" t="s">
        <v>97</v>
      </c>
      <c r="CC268" t="s">
        <v>66</v>
      </c>
      <c r="CD268">
        <v>7945</v>
      </c>
      <c r="CE268" t="s">
        <v>83</v>
      </c>
      <c r="CF268" s="1">
        <v>44999</v>
      </c>
      <c r="CI268">
        <v>2</v>
      </c>
      <c r="CJ268">
        <v>2</v>
      </c>
      <c r="CK268">
        <v>41</v>
      </c>
      <c r="CL268" t="s">
        <v>72</v>
      </c>
    </row>
    <row r="269" spans="1:90" x14ac:dyDescent="0.3">
      <c r="A269" t="s">
        <v>258</v>
      </c>
      <c r="B269" t="s">
        <v>259</v>
      </c>
      <c r="C269" t="s">
        <v>61</v>
      </c>
      <c r="E269" t="str">
        <f>"009943285297"</f>
        <v>009943285297</v>
      </c>
      <c r="F269" s="4">
        <v>44994</v>
      </c>
      <c r="G269">
        <v>202312</v>
      </c>
      <c r="H269" t="s">
        <v>119</v>
      </c>
      <c r="I269" t="s">
        <v>120</v>
      </c>
      <c r="J269" t="s">
        <v>260</v>
      </c>
      <c r="K269" t="s">
        <v>64</v>
      </c>
      <c r="L269" t="s">
        <v>65</v>
      </c>
      <c r="M269" t="s">
        <v>66</v>
      </c>
      <c r="N269" t="s">
        <v>701</v>
      </c>
      <c r="O269" t="s">
        <v>96</v>
      </c>
      <c r="P269" t="str">
        <f t="shared" si="11"/>
        <v xml:space="preserve">N A                           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5.25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46.31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1</v>
      </c>
      <c r="BI269" s="3">
        <v>0.7</v>
      </c>
      <c r="BJ269" s="3">
        <v>1.6</v>
      </c>
      <c r="BK269" s="3">
        <v>2</v>
      </c>
      <c r="BL269" s="3">
        <v>135.76</v>
      </c>
      <c r="BM269" s="3">
        <v>20.36</v>
      </c>
      <c r="BN269" s="3">
        <v>156.12</v>
      </c>
      <c r="BO269" s="3">
        <v>156.12</v>
      </c>
      <c r="BQ269" t="s">
        <v>214</v>
      </c>
      <c r="BR269" t="s">
        <v>702</v>
      </c>
      <c r="BS269" s="1">
        <v>44999</v>
      </c>
      <c r="BT269" s="2">
        <v>0.59444444444444444</v>
      </c>
      <c r="BU269" t="s">
        <v>703</v>
      </c>
      <c r="BV269" t="s">
        <v>72</v>
      </c>
      <c r="BW269" t="s">
        <v>103</v>
      </c>
      <c r="BX269" t="s">
        <v>142</v>
      </c>
      <c r="BY269">
        <v>7869.34</v>
      </c>
      <c r="BZ269" t="s">
        <v>97</v>
      </c>
      <c r="CA269" t="s">
        <v>100</v>
      </c>
      <c r="CC269" t="s">
        <v>66</v>
      </c>
      <c r="CD269">
        <v>7560</v>
      </c>
      <c r="CE269" t="s">
        <v>83</v>
      </c>
      <c r="CF269" s="1">
        <v>45000</v>
      </c>
      <c r="CI269">
        <v>2</v>
      </c>
      <c r="CJ269">
        <v>3</v>
      </c>
      <c r="CK269">
        <v>41</v>
      </c>
      <c r="CL269" t="s">
        <v>72</v>
      </c>
    </row>
    <row r="270" spans="1:90" x14ac:dyDescent="0.3">
      <c r="A270" t="s">
        <v>258</v>
      </c>
      <c r="B270" t="s">
        <v>259</v>
      </c>
      <c r="C270" t="s">
        <v>61</v>
      </c>
      <c r="E270" t="str">
        <f>"009943116615"</f>
        <v>009943116615</v>
      </c>
      <c r="F270" s="4">
        <v>44994</v>
      </c>
      <c r="G270">
        <v>202312</v>
      </c>
      <c r="H270" t="s">
        <v>119</v>
      </c>
      <c r="I270" t="s">
        <v>120</v>
      </c>
      <c r="J270" t="s">
        <v>260</v>
      </c>
      <c r="K270" t="s">
        <v>64</v>
      </c>
      <c r="L270" t="s">
        <v>119</v>
      </c>
      <c r="M270" t="s">
        <v>120</v>
      </c>
      <c r="N270" t="s">
        <v>704</v>
      </c>
      <c r="O270" t="s">
        <v>203</v>
      </c>
      <c r="P270" t="str">
        <f t="shared" si="11"/>
        <v xml:space="preserve">N A                           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18.71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1</v>
      </c>
      <c r="BI270" s="3">
        <v>0.9</v>
      </c>
      <c r="BJ270" s="3">
        <v>2.2000000000000002</v>
      </c>
      <c r="BK270" s="3">
        <v>3</v>
      </c>
      <c r="BL270" s="3">
        <v>52.73</v>
      </c>
      <c r="BM270" s="3">
        <v>7.91</v>
      </c>
      <c r="BN270" s="3">
        <v>60.64</v>
      </c>
      <c r="BO270" s="3">
        <v>60.64</v>
      </c>
      <c r="BQ270" t="s">
        <v>214</v>
      </c>
      <c r="BR270" t="s">
        <v>263</v>
      </c>
      <c r="BS270" s="1">
        <v>44995</v>
      </c>
      <c r="BT270" s="2">
        <v>0.35972222222222222</v>
      </c>
      <c r="BU270" t="s">
        <v>705</v>
      </c>
      <c r="BV270" t="s">
        <v>69</v>
      </c>
      <c r="BY270">
        <v>11235.84</v>
      </c>
      <c r="BZ270" t="s">
        <v>97</v>
      </c>
      <c r="CA270" t="s">
        <v>251</v>
      </c>
      <c r="CC270" t="s">
        <v>120</v>
      </c>
      <c r="CD270">
        <v>2043</v>
      </c>
      <c r="CE270" t="s">
        <v>83</v>
      </c>
      <c r="CF270" s="1">
        <v>44996</v>
      </c>
      <c r="CI270">
        <v>1</v>
      </c>
      <c r="CJ270">
        <v>1</v>
      </c>
      <c r="CK270">
        <v>32</v>
      </c>
      <c r="CL270" t="s">
        <v>72</v>
      </c>
    </row>
    <row r="271" spans="1:90" x14ac:dyDescent="0.3">
      <c r="A271" t="s">
        <v>258</v>
      </c>
      <c r="B271" t="s">
        <v>259</v>
      </c>
      <c r="C271" t="s">
        <v>61</v>
      </c>
      <c r="E271" t="str">
        <f>"009943116616"</f>
        <v>009943116616</v>
      </c>
      <c r="F271" s="4">
        <v>44994</v>
      </c>
      <c r="G271">
        <v>202312</v>
      </c>
      <c r="H271" t="s">
        <v>119</v>
      </c>
      <c r="I271" t="s">
        <v>120</v>
      </c>
      <c r="J271" t="s">
        <v>260</v>
      </c>
      <c r="K271" t="s">
        <v>64</v>
      </c>
      <c r="L271" t="s">
        <v>117</v>
      </c>
      <c r="M271" t="s">
        <v>118</v>
      </c>
      <c r="N271" t="s">
        <v>706</v>
      </c>
      <c r="O271" t="s">
        <v>203</v>
      </c>
      <c r="P271" t="str">
        <f t="shared" si="11"/>
        <v xml:space="preserve">N A                           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44.9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1</v>
      </c>
      <c r="BI271" s="3">
        <v>0.2</v>
      </c>
      <c r="BJ271" s="3">
        <v>2.1</v>
      </c>
      <c r="BK271" s="3">
        <v>3</v>
      </c>
      <c r="BL271" s="3">
        <v>126.54</v>
      </c>
      <c r="BM271" s="3">
        <v>18.98</v>
      </c>
      <c r="BN271" s="3">
        <v>145.52000000000001</v>
      </c>
      <c r="BO271" s="3">
        <v>145.52000000000001</v>
      </c>
      <c r="BQ271" t="s">
        <v>214</v>
      </c>
      <c r="BR271" t="s">
        <v>263</v>
      </c>
      <c r="BS271" s="1">
        <v>44999</v>
      </c>
      <c r="BT271" s="2">
        <v>0.41180555555555554</v>
      </c>
      <c r="BU271" t="s">
        <v>707</v>
      </c>
      <c r="BV271" t="s">
        <v>72</v>
      </c>
      <c r="BW271" t="s">
        <v>86</v>
      </c>
      <c r="BX271" t="s">
        <v>216</v>
      </c>
      <c r="BY271">
        <v>10341.86</v>
      </c>
      <c r="BZ271" t="s">
        <v>97</v>
      </c>
      <c r="CC271" t="s">
        <v>118</v>
      </c>
      <c r="CD271">
        <v>5200</v>
      </c>
      <c r="CE271" t="s">
        <v>83</v>
      </c>
      <c r="CF271" s="1">
        <v>45000</v>
      </c>
      <c r="CI271">
        <v>1</v>
      </c>
      <c r="CJ271">
        <v>3</v>
      </c>
      <c r="CK271">
        <v>31</v>
      </c>
      <c r="CL271" t="s">
        <v>72</v>
      </c>
    </row>
    <row r="272" spans="1:90" x14ac:dyDescent="0.3">
      <c r="A272" t="s">
        <v>258</v>
      </c>
      <c r="B272" t="s">
        <v>259</v>
      </c>
      <c r="C272" t="s">
        <v>61</v>
      </c>
      <c r="E272" t="str">
        <f>"009943285289"</f>
        <v>009943285289</v>
      </c>
      <c r="F272" s="4">
        <v>44994</v>
      </c>
      <c r="G272">
        <v>202312</v>
      </c>
      <c r="H272" t="s">
        <v>119</v>
      </c>
      <c r="I272" t="s">
        <v>120</v>
      </c>
      <c r="J272" t="s">
        <v>260</v>
      </c>
      <c r="K272" t="s">
        <v>64</v>
      </c>
      <c r="L272" t="s">
        <v>101</v>
      </c>
      <c r="M272" t="s">
        <v>102</v>
      </c>
      <c r="N272" t="s">
        <v>708</v>
      </c>
      <c r="O272" t="s">
        <v>96</v>
      </c>
      <c r="P272" t="str">
        <f t="shared" si="11"/>
        <v xml:space="preserve">N A                           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5.25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46.31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1</v>
      </c>
      <c r="BI272" s="3">
        <v>0.8</v>
      </c>
      <c r="BJ272" s="3">
        <v>1.4</v>
      </c>
      <c r="BK272" s="3">
        <v>2</v>
      </c>
      <c r="BL272" s="3">
        <v>135.76</v>
      </c>
      <c r="BM272" s="3">
        <v>20.36</v>
      </c>
      <c r="BN272" s="3">
        <v>156.12</v>
      </c>
      <c r="BO272" s="3">
        <v>156.12</v>
      </c>
      <c r="BQ272" t="s">
        <v>214</v>
      </c>
      <c r="BR272" t="s">
        <v>415</v>
      </c>
      <c r="BS272" s="1">
        <v>44995</v>
      </c>
      <c r="BT272" s="2">
        <v>0.40416666666666662</v>
      </c>
      <c r="BU272" t="s">
        <v>709</v>
      </c>
      <c r="BV272" t="s">
        <v>69</v>
      </c>
      <c r="BY272">
        <v>7140.58</v>
      </c>
      <c r="BZ272" t="s">
        <v>97</v>
      </c>
      <c r="CA272" t="s">
        <v>517</v>
      </c>
      <c r="CC272" t="s">
        <v>102</v>
      </c>
      <c r="CD272">
        <v>3630</v>
      </c>
      <c r="CE272" t="s">
        <v>83</v>
      </c>
      <c r="CF272" s="1">
        <v>44998</v>
      </c>
      <c r="CI272">
        <v>1</v>
      </c>
      <c r="CJ272">
        <v>1</v>
      </c>
      <c r="CK272">
        <v>41</v>
      </c>
      <c r="CL272" t="s">
        <v>72</v>
      </c>
    </row>
    <row r="273" spans="1:90" x14ac:dyDescent="0.3">
      <c r="A273" t="s">
        <v>258</v>
      </c>
      <c r="B273" t="s">
        <v>259</v>
      </c>
      <c r="C273" t="s">
        <v>61</v>
      </c>
      <c r="E273" t="str">
        <f>"009943285294"</f>
        <v>009943285294</v>
      </c>
      <c r="F273" s="4">
        <v>44994</v>
      </c>
      <c r="G273">
        <v>202312</v>
      </c>
      <c r="H273" t="s">
        <v>119</v>
      </c>
      <c r="I273" t="s">
        <v>120</v>
      </c>
      <c r="J273" t="s">
        <v>260</v>
      </c>
      <c r="K273" t="s">
        <v>64</v>
      </c>
      <c r="L273" t="s">
        <v>65</v>
      </c>
      <c r="M273" t="s">
        <v>66</v>
      </c>
      <c r="N273" t="s">
        <v>710</v>
      </c>
      <c r="O273" t="s">
        <v>96</v>
      </c>
      <c r="P273" t="str">
        <f t="shared" si="11"/>
        <v xml:space="preserve">N A                           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5.25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46.31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1</v>
      </c>
      <c r="BI273" s="3">
        <v>0.6</v>
      </c>
      <c r="BJ273" s="3">
        <v>1.6</v>
      </c>
      <c r="BK273" s="3">
        <v>2</v>
      </c>
      <c r="BL273" s="3">
        <v>135.76</v>
      </c>
      <c r="BM273" s="3">
        <v>20.36</v>
      </c>
      <c r="BN273" s="3">
        <v>156.12</v>
      </c>
      <c r="BO273" s="3">
        <v>156.12</v>
      </c>
      <c r="BQ273" t="s">
        <v>214</v>
      </c>
      <c r="BR273" t="s">
        <v>415</v>
      </c>
      <c r="BS273" s="1">
        <v>44998</v>
      </c>
      <c r="BT273" s="2">
        <v>0.50416666666666665</v>
      </c>
      <c r="BU273" t="s">
        <v>290</v>
      </c>
      <c r="BV273" t="s">
        <v>69</v>
      </c>
      <c r="BY273">
        <v>8152.8</v>
      </c>
      <c r="BZ273" t="s">
        <v>97</v>
      </c>
      <c r="CA273" t="s">
        <v>228</v>
      </c>
      <c r="CC273" t="s">
        <v>66</v>
      </c>
      <c r="CD273">
        <v>7735</v>
      </c>
      <c r="CE273" t="s">
        <v>83</v>
      </c>
      <c r="CF273" s="1">
        <v>44999</v>
      </c>
      <c r="CI273">
        <v>2</v>
      </c>
      <c r="CJ273">
        <v>2</v>
      </c>
      <c r="CK273">
        <v>41</v>
      </c>
      <c r="CL273" t="s">
        <v>72</v>
      </c>
    </row>
    <row r="274" spans="1:90" x14ac:dyDescent="0.3">
      <c r="A274" t="s">
        <v>258</v>
      </c>
      <c r="B274" t="s">
        <v>259</v>
      </c>
      <c r="C274" t="s">
        <v>61</v>
      </c>
      <c r="E274" t="str">
        <f>"009942142060"</f>
        <v>009942142060</v>
      </c>
      <c r="F274" s="4">
        <v>44994</v>
      </c>
      <c r="G274">
        <v>202312</v>
      </c>
      <c r="H274" t="s">
        <v>123</v>
      </c>
      <c r="I274" t="s">
        <v>124</v>
      </c>
      <c r="J274" t="s">
        <v>475</v>
      </c>
      <c r="K274" t="s">
        <v>64</v>
      </c>
      <c r="L274" t="s">
        <v>119</v>
      </c>
      <c r="M274" t="s">
        <v>120</v>
      </c>
      <c r="N274" t="s">
        <v>272</v>
      </c>
      <c r="O274" t="s">
        <v>96</v>
      </c>
      <c r="P274" t="str">
        <f>"NOREF                         "</f>
        <v xml:space="preserve">NOREF                         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5.25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46.31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1</v>
      </c>
      <c r="BI274" s="3">
        <v>1</v>
      </c>
      <c r="BJ274" s="3">
        <v>0.2</v>
      </c>
      <c r="BK274" s="3">
        <v>1</v>
      </c>
      <c r="BL274" s="3">
        <v>135.76</v>
      </c>
      <c r="BM274" s="3">
        <v>20.36</v>
      </c>
      <c r="BN274" s="3">
        <v>156.12</v>
      </c>
      <c r="BO274" s="3">
        <v>156.12</v>
      </c>
      <c r="BQ274" t="s">
        <v>305</v>
      </c>
      <c r="BR274" t="s">
        <v>187</v>
      </c>
      <c r="BS274" s="1">
        <v>44995</v>
      </c>
      <c r="BT274" s="2">
        <v>0.44861111111111113</v>
      </c>
      <c r="BU274" t="s">
        <v>281</v>
      </c>
      <c r="BV274" t="s">
        <v>69</v>
      </c>
      <c r="BY274">
        <v>1200</v>
      </c>
      <c r="BZ274" t="s">
        <v>97</v>
      </c>
      <c r="CA274" t="s">
        <v>149</v>
      </c>
      <c r="CC274" t="s">
        <v>120</v>
      </c>
      <c r="CD274">
        <v>2013</v>
      </c>
      <c r="CE274" t="s">
        <v>83</v>
      </c>
      <c r="CF274" s="1">
        <v>44995</v>
      </c>
      <c r="CI274">
        <v>1</v>
      </c>
      <c r="CJ274">
        <v>1</v>
      </c>
      <c r="CK274">
        <v>41</v>
      </c>
      <c r="CL274" t="s">
        <v>72</v>
      </c>
    </row>
    <row r="275" spans="1:90" x14ac:dyDescent="0.3">
      <c r="A275" t="s">
        <v>258</v>
      </c>
      <c r="B275" t="s">
        <v>259</v>
      </c>
      <c r="C275" t="s">
        <v>61</v>
      </c>
      <c r="E275" t="str">
        <f>"009943149895"</f>
        <v>009943149895</v>
      </c>
      <c r="F275" s="4">
        <v>44994</v>
      </c>
      <c r="G275">
        <v>202312</v>
      </c>
      <c r="H275" t="s">
        <v>119</v>
      </c>
      <c r="I275" t="s">
        <v>120</v>
      </c>
      <c r="J275" t="s">
        <v>260</v>
      </c>
      <c r="K275" t="s">
        <v>64</v>
      </c>
      <c r="L275" t="s">
        <v>84</v>
      </c>
      <c r="M275" t="s">
        <v>85</v>
      </c>
      <c r="N275" t="s">
        <v>711</v>
      </c>
      <c r="O275" t="s">
        <v>203</v>
      </c>
      <c r="P275" t="str">
        <f t="shared" ref="P275:P283" si="12">"N A                           "</f>
        <v xml:space="preserve">N A                           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20.81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1</v>
      </c>
      <c r="BI275" s="3">
        <v>2.5</v>
      </c>
      <c r="BJ275" s="3">
        <v>8.9</v>
      </c>
      <c r="BK275" s="3">
        <v>9</v>
      </c>
      <c r="BL275" s="3">
        <v>58.65</v>
      </c>
      <c r="BM275" s="3">
        <v>8.8000000000000007</v>
      </c>
      <c r="BN275" s="3">
        <v>67.45</v>
      </c>
      <c r="BO275" s="3">
        <v>67.45</v>
      </c>
      <c r="BQ275" t="s">
        <v>712</v>
      </c>
      <c r="BR275" t="s">
        <v>263</v>
      </c>
      <c r="BS275" s="1">
        <v>44995</v>
      </c>
      <c r="BT275" s="2">
        <v>0.54513888888888895</v>
      </c>
      <c r="BU275" t="s">
        <v>169</v>
      </c>
      <c r="BV275" t="s">
        <v>72</v>
      </c>
      <c r="BW275" t="s">
        <v>103</v>
      </c>
      <c r="BX275" t="s">
        <v>155</v>
      </c>
      <c r="BY275">
        <v>44366.400000000001</v>
      </c>
      <c r="BZ275" t="s">
        <v>97</v>
      </c>
      <c r="CC275" t="s">
        <v>85</v>
      </c>
      <c r="CD275">
        <v>1448</v>
      </c>
      <c r="CE275" t="s">
        <v>83</v>
      </c>
      <c r="CF275" s="1">
        <v>44996</v>
      </c>
      <c r="CI275">
        <v>1</v>
      </c>
      <c r="CJ275">
        <v>1</v>
      </c>
      <c r="CK275">
        <v>32</v>
      </c>
      <c r="CL275" t="s">
        <v>72</v>
      </c>
    </row>
    <row r="276" spans="1:90" x14ac:dyDescent="0.3">
      <c r="A276" t="s">
        <v>258</v>
      </c>
      <c r="B276" t="s">
        <v>259</v>
      </c>
      <c r="C276" t="s">
        <v>61</v>
      </c>
      <c r="E276" t="str">
        <f>"009943149893"</f>
        <v>009943149893</v>
      </c>
      <c r="F276" s="4">
        <v>44994</v>
      </c>
      <c r="G276">
        <v>202312</v>
      </c>
      <c r="H276" t="s">
        <v>119</v>
      </c>
      <c r="I276" t="s">
        <v>120</v>
      </c>
      <c r="J276" t="s">
        <v>260</v>
      </c>
      <c r="K276" t="s">
        <v>64</v>
      </c>
      <c r="L276" t="s">
        <v>119</v>
      </c>
      <c r="M276" t="s">
        <v>120</v>
      </c>
      <c r="N276" t="s">
        <v>713</v>
      </c>
      <c r="O276" t="s">
        <v>203</v>
      </c>
      <c r="P276" t="str">
        <f t="shared" si="12"/>
        <v xml:space="preserve">N A                           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18.71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1</v>
      </c>
      <c r="BI276" s="3">
        <v>0.8</v>
      </c>
      <c r="BJ276" s="3">
        <v>2.4</v>
      </c>
      <c r="BK276" s="3">
        <v>3</v>
      </c>
      <c r="BL276" s="3">
        <v>52.73</v>
      </c>
      <c r="BM276" s="3">
        <v>7.91</v>
      </c>
      <c r="BN276" s="3">
        <v>60.64</v>
      </c>
      <c r="BO276" s="3">
        <v>60.64</v>
      </c>
      <c r="BQ276" t="s">
        <v>214</v>
      </c>
      <c r="BR276" t="s">
        <v>263</v>
      </c>
      <c r="BS276" s="1">
        <v>44995</v>
      </c>
      <c r="BT276" s="2">
        <v>0.40138888888888885</v>
      </c>
      <c r="BU276" t="s">
        <v>714</v>
      </c>
      <c r="BV276" t="s">
        <v>69</v>
      </c>
      <c r="BY276">
        <v>12033</v>
      </c>
      <c r="BZ276" t="s">
        <v>97</v>
      </c>
      <c r="CA276" t="s">
        <v>149</v>
      </c>
      <c r="CC276" t="s">
        <v>120</v>
      </c>
      <c r="CD276">
        <v>2091</v>
      </c>
      <c r="CE276" t="s">
        <v>83</v>
      </c>
      <c r="CF276" s="1">
        <v>44995</v>
      </c>
      <c r="CI276">
        <v>1</v>
      </c>
      <c r="CJ276">
        <v>1</v>
      </c>
      <c r="CK276">
        <v>32</v>
      </c>
      <c r="CL276" t="s">
        <v>72</v>
      </c>
    </row>
    <row r="277" spans="1:90" x14ac:dyDescent="0.3">
      <c r="A277" t="s">
        <v>258</v>
      </c>
      <c r="B277" t="s">
        <v>259</v>
      </c>
      <c r="C277" t="s">
        <v>61</v>
      </c>
      <c r="E277" t="str">
        <f>"009943285286"</f>
        <v>009943285286</v>
      </c>
      <c r="F277" s="4">
        <v>44994</v>
      </c>
      <c r="G277">
        <v>202312</v>
      </c>
      <c r="H277" t="s">
        <v>119</v>
      </c>
      <c r="I277" t="s">
        <v>120</v>
      </c>
      <c r="J277" t="s">
        <v>260</v>
      </c>
      <c r="K277" t="s">
        <v>64</v>
      </c>
      <c r="L277" t="s">
        <v>254</v>
      </c>
      <c r="M277" t="s">
        <v>255</v>
      </c>
      <c r="N277" t="s">
        <v>715</v>
      </c>
      <c r="O277" t="s">
        <v>96</v>
      </c>
      <c r="P277" t="str">
        <f t="shared" si="12"/>
        <v xml:space="preserve">N A                           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5.25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46.31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1</v>
      </c>
      <c r="BI277" s="3">
        <v>0.2</v>
      </c>
      <c r="BJ277" s="3">
        <v>1.1000000000000001</v>
      </c>
      <c r="BK277" s="3">
        <v>2</v>
      </c>
      <c r="BL277" s="3">
        <v>135.76</v>
      </c>
      <c r="BM277" s="3">
        <v>20.36</v>
      </c>
      <c r="BN277" s="3">
        <v>156.12</v>
      </c>
      <c r="BO277" s="3">
        <v>156.12</v>
      </c>
      <c r="BQ277" t="s">
        <v>716</v>
      </c>
      <c r="BR277" t="s">
        <v>717</v>
      </c>
      <c r="BS277" s="1">
        <v>44995</v>
      </c>
      <c r="BT277" s="2">
        <v>0.59236111111111112</v>
      </c>
      <c r="BU277" t="s">
        <v>238</v>
      </c>
      <c r="BV277" t="s">
        <v>69</v>
      </c>
      <c r="BY277">
        <v>5692.05</v>
      </c>
      <c r="BZ277" t="s">
        <v>97</v>
      </c>
      <c r="CA277" t="s">
        <v>256</v>
      </c>
      <c r="CC277" t="s">
        <v>255</v>
      </c>
      <c r="CD277">
        <v>699</v>
      </c>
      <c r="CE277" t="s">
        <v>83</v>
      </c>
      <c r="CF277" s="1">
        <v>44996</v>
      </c>
      <c r="CI277">
        <v>1</v>
      </c>
      <c r="CJ277">
        <v>1</v>
      </c>
      <c r="CK277">
        <v>41</v>
      </c>
      <c r="CL277" t="s">
        <v>72</v>
      </c>
    </row>
    <row r="278" spans="1:90" x14ac:dyDescent="0.3">
      <c r="A278" t="s">
        <v>258</v>
      </c>
      <c r="B278" t="s">
        <v>259</v>
      </c>
      <c r="C278" t="s">
        <v>61</v>
      </c>
      <c r="E278" t="str">
        <f>"009943285287"</f>
        <v>009943285287</v>
      </c>
      <c r="F278" s="4">
        <v>44994</v>
      </c>
      <c r="G278">
        <v>202312</v>
      </c>
      <c r="H278" t="s">
        <v>119</v>
      </c>
      <c r="I278" t="s">
        <v>120</v>
      </c>
      <c r="J278" t="s">
        <v>260</v>
      </c>
      <c r="K278" t="s">
        <v>64</v>
      </c>
      <c r="L278" t="s">
        <v>150</v>
      </c>
      <c r="M278" t="s">
        <v>151</v>
      </c>
      <c r="N278" t="s">
        <v>718</v>
      </c>
      <c r="O278" t="s">
        <v>96</v>
      </c>
      <c r="P278" t="str">
        <f t="shared" si="12"/>
        <v xml:space="preserve">N A                           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5.25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51.14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0.7</v>
      </c>
      <c r="BJ278" s="3">
        <v>1</v>
      </c>
      <c r="BK278" s="3">
        <v>1</v>
      </c>
      <c r="BL278" s="3">
        <v>149.38</v>
      </c>
      <c r="BM278" s="3">
        <v>22.41</v>
      </c>
      <c r="BN278" s="3">
        <v>171.79</v>
      </c>
      <c r="BO278" s="3">
        <v>171.79</v>
      </c>
      <c r="BQ278" t="s">
        <v>214</v>
      </c>
      <c r="BR278" t="s">
        <v>719</v>
      </c>
      <c r="BS278" s="1">
        <v>44995</v>
      </c>
      <c r="BT278" s="2">
        <v>0.45624999999999999</v>
      </c>
      <c r="BU278" t="s">
        <v>720</v>
      </c>
      <c r="BV278" t="s">
        <v>69</v>
      </c>
      <c r="BY278">
        <v>5041.76</v>
      </c>
      <c r="BZ278" t="s">
        <v>97</v>
      </c>
      <c r="CA278" t="s">
        <v>152</v>
      </c>
      <c r="CC278" t="s">
        <v>151</v>
      </c>
      <c r="CD278">
        <v>1900</v>
      </c>
      <c r="CE278" t="s">
        <v>83</v>
      </c>
      <c r="CF278" s="1">
        <v>44999</v>
      </c>
      <c r="CI278">
        <v>1</v>
      </c>
      <c r="CJ278">
        <v>1</v>
      </c>
      <c r="CK278">
        <v>44</v>
      </c>
      <c r="CL278" t="s">
        <v>72</v>
      </c>
    </row>
    <row r="279" spans="1:90" x14ac:dyDescent="0.3">
      <c r="A279" t="s">
        <v>258</v>
      </c>
      <c r="B279" t="s">
        <v>259</v>
      </c>
      <c r="C279" t="s">
        <v>61</v>
      </c>
      <c r="E279" t="str">
        <f>"009943285293"</f>
        <v>009943285293</v>
      </c>
      <c r="F279" s="4">
        <v>44994</v>
      </c>
      <c r="G279">
        <v>202312</v>
      </c>
      <c r="H279" t="s">
        <v>119</v>
      </c>
      <c r="I279" t="s">
        <v>120</v>
      </c>
      <c r="J279" t="s">
        <v>260</v>
      </c>
      <c r="K279" t="s">
        <v>64</v>
      </c>
      <c r="L279" t="s">
        <v>65</v>
      </c>
      <c r="M279" t="s">
        <v>66</v>
      </c>
      <c r="N279" t="s">
        <v>721</v>
      </c>
      <c r="O279" t="s">
        <v>96</v>
      </c>
      <c r="P279" t="str">
        <f t="shared" si="12"/>
        <v xml:space="preserve">N A                           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5.25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46.31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1</v>
      </c>
      <c r="BI279" s="3">
        <v>0.7</v>
      </c>
      <c r="BJ279" s="3">
        <v>1.8</v>
      </c>
      <c r="BK279" s="3">
        <v>2</v>
      </c>
      <c r="BL279" s="3">
        <v>135.76</v>
      </c>
      <c r="BM279" s="3">
        <v>20.36</v>
      </c>
      <c r="BN279" s="3">
        <v>156.12</v>
      </c>
      <c r="BO279" s="3">
        <v>156.12</v>
      </c>
      <c r="BQ279" t="s">
        <v>214</v>
      </c>
      <c r="BR279" t="s">
        <v>722</v>
      </c>
      <c r="BS279" s="1">
        <v>44998</v>
      </c>
      <c r="BT279" s="2">
        <v>0.75069444444444444</v>
      </c>
      <c r="BU279" t="s">
        <v>173</v>
      </c>
      <c r="BV279" t="s">
        <v>72</v>
      </c>
      <c r="BW279" t="s">
        <v>103</v>
      </c>
      <c r="BX279" t="s">
        <v>107</v>
      </c>
      <c r="BY279">
        <v>8937.1200000000008</v>
      </c>
      <c r="BZ279" t="s">
        <v>97</v>
      </c>
      <c r="CA279" t="s">
        <v>129</v>
      </c>
      <c r="CC279" t="s">
        <v>66</v>
      </c>
      <c r="CD279">
        <v>7441</v>
      </c>
      <c r="CE279" t="s">
        <v>83</v>
      </c>
      <c r="CF279" s="1">
        <v>44999</v>
      </c>
      <c r="CI279">
        <v>2</v>
      </c>
      <c r="CJ279">
        <v>2</v>
      </c>
      <c r="CK279">
        <v>41</v>
      </c>
      <c r="CL279" t="s">
        <v>72</v>
      </c>
    </row>
    <row r="280" spans="1:90" x14ac:dyDescent="0.3">
      <c r="A280" t="s">
        <v>258</v>
      </c>
      <c r="B280" t="s">
        <v>259</v>
      </c>
      <c r="C280" t="s">
        <v>61</v>
      </c>
      <c r="E280" t="str">
        <f>"009943285291"</f>
        <v>009943285291</v>
      </c>
      <c r="F280" s="4">
        <v>44994</v>
      </c>
      <c r="G280">
        <v>202312</v>
      </c>
      <c r="H280" t="s">
        <v>119</v>
      </c>
      <c r="I280" t="s">
        <v>120</v>
      </c>
      <c r="J280" t="s">
        <v>260</v>
      </c>
      <c r="K280" t="s">
        <v>64</v>
      </c>
      <c r="L280" t="s">
        <v>200</v>
      </c>
      <c r="M280" t="s">
        <v>201</v>
      </c>
      <c r="N280" t="s">
        <v>723</v>
      </c>
      <c r="O280" t="s">
        <v>96</v>
      </c>
      <c r="P280" t="str">
        <f t="shared" si="12"/>
        <v xml:space="preserve">N A                           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5.25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65.31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1</v>
      </c>
      <c r="BI280" s="3">
        <v>0.8</v>
      </c>
      <c r="BJ280" s="3">
        <v>1.7</v>
      </c>
      <c r="BK280" s="3">
        <v>2</v>
      </c>
      <c r="BL280" s="3">
        <v>189.31</v>
      </c>
      <c r="BM280" s="3">
        <v>28.4</v>
      </c>
      <c r="BN280" s="3">
        <v>217.71</v>
      </c>
      <c r="BO280" s="3">
        <v>217.71</v>
      </c>
      <c r="BQ280" t="s">
        <v>214</v>
      </c>
      <c r="BR280" t="s">
        <v>415</v>
      </c>
      <c r="BS280" s="1">
        <v>44995</v>
      </c>
      <c r="BT280" s="2">
        <v>0.58333333333333337</v>
      </c>
      <c r="BU280" t="s">
        <v>223</v>
      </c>
      <c r="BV280" t="s">
        <v>69</v>
      </c>
      <c r="BY280">
        <v>8351.07</v>
      </c>
      <c r="BZ280" t="s">
        <v>97</v>
      </c>
      <c r="CA280" t="s">
        <v>212</v>
      </c>
      <c r="CC280" t="s">
        <v>201</v>
      </c>
      <c r="CD280">
        <v>4399</v>
      </c>
      <c r="CE280" t="s">
        <v>83</v>
      </c>
      <c r="CF280" s="1">
        <v>44998</v>
      </c>
      <c r="CI280">
        <v>1</v>
      </c>
      <c r="CJ280">
        <v>1</v>
      </c>
      <c r="CK280">
        <v>43</v>
      </c>
      <c r="CL280" t="s">
        <v>72</v>
      </c>
    </row>
    <row r="281" spans="1:90" x14ac:dyDescent="0.3">
      <c r="A281" t="s">
        <v>258</v>
      </c>
      <c r="B281" t="s">
        <v>259</v>
      </c>
      <c r="C281" t="s">
        <v>61</v>
      </c>
      <c r="E281" t="str">
        <f>"009943285295"</f>
        <v>009943285295</v>
      </c>
      <c r="F281" s="4">
        <v>44994</v>
      </c>
      <c r="G281">
        <v>202312</v>
      </c>
      <c r="H281" t="s">
        <v>119</v>
      </c>
      <c r="I281" t="s">
        <v>120</v>
      </c>
      <c r="J281" t="s">
        <v>260</v>
      </c>
      <c r="K281" t="s">
        <v>64</v>
      </c>
      <c r="L281" t="s">
        <v>65</v>
      </c>
      <c r="M281" t="s">
        <v>66</v>
      </c>
      <c r="N281" t="s">
        <v>724</v>
      </c>
      <c r="O281" t="s">
        <v>96</v>
      </c>
      <c r="P281" t="str">
        <f t="shared" si="12"/>
        <v xml:space="preserve">N A                           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5.25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46.31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1</v>
      </c>
      <c r="BI281" s="3">
        <v>0.6</v>
      </c>
      <c r="BJ281" s="3">
        <v>1.5</v>
      </c>
      <c r="BK281" s="3">
        <v>2</v>
      </c>
      <c r="BL281" s="3">
        <v>135.76</v>
      </c>
      <c r="BM281" s="3">
        <v>20.36</v>
      </c>
      <c r="BN281" s="3">
        <v>156.12</v>
      </c>
      <c r="BO281" s="3">
        <v>156.12</v>
      </c>
      <c r="BQ281" t="s">
        <v>214</v>
      </c>
      <c r="BR281" t="s">
        <v>415</v>
      </c>
      <c r="BS281" s="1">
        <v>44998</v>
      </c>
      <c r="BT281" s="2">
        <v>0.49861111111111112</v>
      </c>
      <c r="BU281" t="s">
        <v>725</v>
      </c>
      <c r="BV281" t="s">
        <v>69</v>
      </c>
      <c r="BY281">
        <v>7602.01</v>
      </c>
      <c r="BZ281" t="s">
        <v>97</v>
      </c>
      <c r="CA281" t="s">
        <v>726</v>
      </c>
      <c r="CC281" t="s">
        <v>66</v>
      </c>
      <c r="CD281">
        <v>7848</v>
      </c>
      <c r="CE281" t="s">
        <v>83</v>
      </c>
      <c r="CF281" s="1">
        <v>44999</v>
      </c>
      <c r="CI281">
        <v>2</v>
      </c>
      <c r="CJ281">
        <v>2</v>
      </c>
      <c r="CK281">
        <v>41</v>
      </c>
      <c r="CL281" t="s">
        <v>72</v>
      </c>
    </row>
    <row r="282" spans="1:90" x14ac:dyDescent="0.3">
      <c r="A282" t="s">
        <v>258</v>
      </c>
      <c r="B282" t="s">
        <v>259</v>
      </c>
      <c r="C282" t="s">
        <v>61</v>
      </c>
      <c r="E282" t="str">
        <f>"009943285292"</f>
        <v>009943285292</v>
      </c>
      <c r="F282" s="4">
        <v>44994</v>
      </c>
      <c r="G282">
        <v>202312</v>
      </c>
      <c r="H282" t="s">
        <v>119</v>
      </c>
      <c r="I282" t="s">
        <v>120</v>
      </c>
      <c r="J282" t="s">
        <v>260</v>
      </c>
      <c r="K282" t="s">
        <v>64</v>
      </c>
      <c r="L282" t="s">
        <v>101</v>
      </c>
      <c r="M282" t="s">
        <v>102</v>
      </c>
      <c r="N282" t="s">
        <v>727</v>
      </c>
      <c r="O282" t="s">
        <v>96</v>
      </c>
      <c r="P282" t="str">
        <f t="shared" si="12"/>
        <v xml:space="preserve">N A                           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5.25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46.31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1</v>
      </c>
      <c r="BI282" s="3">
        <v>0.2</v>
      </c>
      <c r="BJ282" s="3">
        <v>1.4</v>
      </c>
      <c r="BK282" s="3">
        <v>2</v>
      </c>
      <c r="BL282" s="3">
        <v>135.76</v>
      </c>
      <c r="BM282" s="3">
        <v>20.36</v>
      </c>
      <c r="BN282" s="3">
        <v>156.12</v>
      </c>
      <c r="BO282" s="3">
        <v>156.12</v>
      </c>
      <c r="BQ282" t="s">
        <v>214</v>
      </c>
      <c r="BR282" t="s">
        <v>719</v>
      </c>
      <c r="BS282" s="1">
        <v>44995</v>
      </c>
      <c r="BT282" s="2">
        <v>0.46111111111111108</v>
      </c>
      <c r="BU282" t="s">
        <v>728</v>
      </c>
      <c r="BV282" t="s">
        <v>69</v>
      </c>
      <c r="BY282">
        <v>7078.53</v>
      </c>
      <c r="BZ282" t="s">
        <v>97</v>
      </c>
      <c r="CA282" t="s">
        <v>134</v>
      </c>
      <c r="CC282" t="s">
        <v>102</v>
      </c>
      <c r="CD282">
        <v>4062</v>
      </c>
      <c r="CE282" t="s">
        <v>83</v>
      </c>
      <c r="CF282" s="1">
        <v>44998</v>
      </c>
      <c r="CI282">
        <v>1</v>
      </c>
      <c r="CJ282">
        <v>1</v>
      </c>
      <c r="CK282">
        <v>41</v>
      </c>
      <c r="CL282" t="s">
        <v>72</v>
      </c>
    </row>
    <row r="283" spans="1:90" x14ac:dyDescent="0.3">
      <c r="A283" t="s">
        <v>258</v>
      </c>
      <c r="B283" t="s">
        <v>259</v>
      </c>
      <c r="C283" t="s">
        <v>61</v>
      </c>
      <c r="E283" t="str">
        <f>"009943285299"</f>
        <v>009943285299</v>
      </c>
      <c r="F283" s="4">
        <v>44995</v>
      </c>
      <c r="G283">
        <v>202312</v>
      </c>
      <c r="H283" t="s">
        <v>119</v>
      </c>
      <c r="I283" t="s">
        <v>120</v>
      </c>
      <c r="J283" t="s">
        <v>260</v>
      </c>
      <c r="K283" t="s">
        <v>64</v>
      </c>
      <c r="L283" t="s">
        <v>145</v>
      </c>
      <c r="M283" t="s">
        <v>146</v>
      </c>
      <c r="N283" t="s">
        <v>696</v>
      </c>
      <c r="O283" t="s">
        <v>96</v>
      </c>
      <c r="P283" t="str">
        <f t="shared" si="12"/>
        <v xml:space="preserve">N A                           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5.25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46.31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1</v>
      </c>
      <c r="BI283" s="3">
        <v>2.6</v>
      </c>
      <c r="BJ283" s="3">
        <v>3.8</v>
      </c>
      <c r="BK283" s="3">
        <v>4</v>
      </c>
      <c r="BL283" s="3">
        <v>135.76</v>
      </c>
      <c r="BM283" s="3">
        <v>20.36</v>
      </c>
      <c r="BN283" s="3">
        <v>156.12</v>
      </c>
      <c r="BO283" s="3">
        <v>156.12</v>
      </c>
      <c r="BQ283" t="s">
        <v>729</v>
      </c>
      <c r="BR283" t="s">
        <v>415</v>
      </c>
      <c r="BS283" s="1">
        <v>44998</v>
      </c>
      <c r="BT283" s="2">
        <v>0.48958333333333331</v>
      </c>
      <c r="BU283" t="s">
        <v>697</v>
      </c>
      <c r="BV283" t="s">
        <v>69</v>
      </c>
      <c r="BY283">
        <v>18897.04</v>
      </c>
      <c r="BZ283" t="s">
        <v>97</v>
      </c>
      <c r="CA283" t="s">
        <v>450</v>
      </c>
      <c r="CC283" t="s">
        <v>146</v>
      </c>
      <c r="CD283">
        <v>4320</v>
      </c>
      <c r="CE283" t="s">
        <v>83</v>
      </c>
      <c r="CF283" s="1">
        <v>44999</v>
      </c>
      <c r="CI283">
        <v>1</v>
      </c>
      <c r="CJ283">
        <v>1</v>
      </c>
      <c r="CK283">
        <v>41</v>
      </c>
      <c r="CL283" t="s">
        <v>72</v>
      </c>
    </row>
    <row r="284" spans="1:90" x14ac:dyDescent="0.3">
      <c r="A284" t="s">
        <v>258</v>
      </c>
      <c r="B284" t="s">
        <v>259</v>
      </c>
      <c r="C284" t="s">
        <v>61</v>
      </c>
      <c r="E284" t="str">
        <f>"009943494217"</f>
        <v>009943494217</v>
      </c>
      <c r="F284" s="4">
        <v>44995</v>
      </c>
      <c r="G284">
        <v>202312</v>
      </c>
      <c r="H284" t="s">
        <v>119</v>
      </c>
      <c r="I284" t="s">
        <v>120</v>
      </c>
      <c r="J284" t="s">
        <v>260</v>
      </c>
      <c r="K284" t="s">
        <v>64</v>
      </c>
      <c r="L284" t="s">
        <v>65</v>
      </c>
      <c r="M284" t="s">
        <v>66</v>
      </c>
      <c r="N284" t="s">
        <v>730</v>
      </c>
      <c r="O284" t="s">
        <v>203</v>
      </c>
      <c r="P284" t="str">
        <f>"009943116619                  "</f>
        <v xml:space="preserve">009943116619                  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44.9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0.8</v>
      </c>
      <c r="BJ284" s="3">
        <v>2.6</v>
      </c>
      <c r="BK284" s="3">
        <v>3</v>
      </c>
      <c r="BL284" s="3">
        <v>126.54</v>
      </c>
      <c r="BM284" s="3">
        <v>18.98</v>
      </c>
      <c r="BN284" s="3">
        <v>145.52000000000001</v>
      </c>
      <c r="BO284" s="3">
        <v>145.52000000000001</v>
      </c>
      <c r="BQ284" t="s">
        <v>731</v>
      </c>
      <c r="BR284" t="s">
        <v>263</v>
      </c>
      <c r="BS284" s="1">
        <v>44999</v>
      </c>
      <c r="BT284" s="2">
        <v>0.60138888888888886</v>
      </c>
      <c r="BU284" t="s">
        <v>227</v>
      </c>
      <c r="BV284" t="s">
        <v>72</v>
      </c>
      <c r="BW284" t="s">
        <v>98</v>
      </c>
      <c r="BX284" t="s">
        <v>128</v>
      </c>
      <c r="BY284">
        <v>13128.62</v>
      </c>
      <c r="BZ284" t="s">
        <v>97</v>
      </c>
      <c r="CA284" t="s">
        <v>732</v>
      </c>
      <c r="CC284" t="s">
        <v>66</v>
      </c>
      <c r="CD284">
        <v>8000</v>
      </c>
      <c r="CE284" t="s">
        <v>83</v>
      </c>
      <c r="CF284" s="1">
        <v>45000</v>
      </c>
      <c r="CI284">
        <v>1</v>
      </c>
      <c r="CJ284">
        <v>2</v>
      </c>
      <c r="CK284">
        <v>31</v>
      </c>
      <c r="CL284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sdrascd7-IEHAZMA136958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Mathonkha</dc:creator>
  <cp:lastModifiedBy>Sue Adams</cp:lastModifiedBy>
  <dcterms:created xsi:type="dcterms:W3CDTF">2023-03-30T08:16:46Z</dcterms:created>
  <dcterms:modified xsi:type="dcterms:W3CDTF">2023-03-30T10:53:52Z</dcterms:modified>
</cp:coreProperties>
</file>