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ocuments\1 PARTNERS\SKYNET\MARCH\"/>
    </mc:Choice>
  </mc:AlternateContent>
  <bookViews>
    <workbookView xWindow="0" yWindow="0" windowWidth="16392" windowHeight="5052"/>
  </bookViews>
  <sheets>
    <sheet name="J1798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4" i="1" l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<sst xmlns="http://schemas.openxmlformats.org/spreadsheetml/2006/main" count="3575" uniqueCount="722">
  <si>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</si>
  <si>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</si>
  <si>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</si>
  <si>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</si>
  <si>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</si>
  <si>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</si>
  <si>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</si>
  <si>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</si>
  <si>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</si>
  <si>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</si>
  <si>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</si>
  <si>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</si>
  <si>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</si>
  <si>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</si>
  <si>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</si>
  <si>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</si>
  <si>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</si>
  <si>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</si>
  <si>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</si>
  <si>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</si>
  <si>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</si>
  <si>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</si>
  <si>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</si>
  <si>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</si>
  <si>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</si>
  <si>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</si>
  <si>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</si>
  <si>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</si>
  <si>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</si>
  <si>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</si>
  <si>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</si>
  <si>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</si>
  <si>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</si>
  <si>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</si>
  <si>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</si>
  <si>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</si>
  <si>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</si>
  <si>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</si>
  <si>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</si>
  <si>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</si>
  <si>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</si>
  <si>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</si>
  <si>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</si>
  <si>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</si>
  <si>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</si>
  <si>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</si>
  <si>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</si>
  <si>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</si>
  <si>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</si>
  <si>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</si>
  <si>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</si>
  <si>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</si>
  <si>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</si>
  <si>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</si>
  <si>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</si>
  <si>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</si>
  <si>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</si>
  <si>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</si>
  <si>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</si>
  <si>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</si>
  <si>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</si>
  <si>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</si>
  <si>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</si>
  <si>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</si>
  <si>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</si>
  <si>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</si>
  <si>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</si>
  <si>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</si>
  <si>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</si>
  <si>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</si>
  <si>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</si>
  <si>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</si>
  <si>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</si>
  <si>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</si>
  <si>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</si>
  <si>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</si>
  <si>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</si>
  <si>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</si>
  <si>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KIMBE</t>
  </si>
  <si>
    <t>KIMBERLEY</t>
  </si>
  <si>
    <t xml:space="preserve">SOVEREIGN MOTORS                   </t>
  </si>
  <si>
    <t>RD</t>
  </si>
  <si>
    <t>RUDY DEXTOR</t>
  </si>
  <si>
    <t>MPHO MOFOKENG</t>
  </si>
  <si>
    <t>GLORIA</t>
  </si>
  <si>
    <t>yes</t>
  </si>
  <si>
    <t>PARCEL</t>
  </si>
  <si>
    <t>RD1</t>
  </si>
  <si>
    <t>no</t>
  </si>
  <si>
    <t xml:space="preserve">TASNSUNION                         </t>
  </si>
  <si>
    <t>PINET</t>
  </si>
  <si>
    <t>PINETOWN</t>
  </si>
  <si>
    <t xml:space="preserve">KEY VIHICLE MANAGEMENT             </t>
  </si>
  <si>
    <t>TONY DASIWA</t>
  </si>
  <si>
    <t>benedict</t>
  </si>
  <si>
    <t>rd1</t>
  </si>
  <si>
    <t>DURBA</t>
  </si>
  <si>
    <t>DURBAN</t>
  </si>
  <si>
    <t xml:space="preserve">SATOVA LIMITED                     </t>
  </si>
  <si>
    <t>ROCHELLE HAVEMANN</t>
  </si>
  <si>
    <t>FORTUNATE</t>
  </si>
  <si>
    <t>capet</t>
  </si>
  <si>
    <t>CAPE TOWN</t>
  </si>
  <si>
    <t xml:space="preserve">AUMC AUTO                          </t>
  </si>
  <si>
    <t>BRADLEY MAR</t>
  </si>
  <si>
    <t>NAOMI</t>
  </si>
  <si>
    <t>RD2</t>
  </si>
  <si>
    <t xml:space="preserve">G T SAWAGE   SPARES                </t>
  </si>
  <si>
    <t>CEMDALE DE OLIVEIRA</t>
  </si>
  <si>
    <t>NATALIE</t>
  </si>
  <si>
    <t>Late linehaul</t>
  </si>
  <si>
    <t>amt</t>
  </si>
  <si>
    <t>RDL</t>
  </si>
  <si>
    <t xml:space="preserve">W.B.T. AUTO                        </t>
  </si>
  <si>
    <t>WESLEY</t>
  </si>
  <si>
    <t>GARETH</t>
  </si>
  <si>
    <t xml:space="preserve">MOVE ANALYTICS                     </t>
  </si>
  <si>
    <t>HERMA</t>
  </si>
  <si>
    <t>HERMANUS</t>
  </si>
  <si>
    <t xml:space="preserve">STIRLING AUTO CHRISTINA DU PLO     </t>
  </si>
  <si>
    <t>KOOS LE ROUX</t>
  </si>
  <si>
    <t>NA</t>
  </si>
  <si>
    <t>NICOLE</t>
  </si>
  <si>
    <t>RD3</t>
  </si>
  <si>
    <t xml:space="preserve">FORSDICKS BMW TYGERVALLEY          </t>
  </si>
  <si>
    <t>NICK CURAY</t>
  </si>
  <si>
    <t>JACQUI</t>
  </si>
  <si>
    <t>EAST</t>
  </si>
  <si>
    <t>EAST LONDON</t>
  </si>
  <si>
    <t xml:space="preserve">CEN CITY                           </t>
  </si>
  <si>
    <t>BRAD JONES</t>
  </si>
  <si>
    <t>abel</t>
  </si>
  <si>
    <t>rd2</t>
  </si>
  <si>
    <t xml:space="preserve">PROTES INSURANCE BROKERS           </t>
  </si>
  <si>
    <t>CECIL MORTIMEN</t>
  </si>
  <si>
    <t>R ALOBLID</t>
  </si>
  <si>
    <t>BLOE1</t>
  </si>
  <si>
    <t>BLOEMFONTEIN</t>
  </si>
  <si>
    <t xml:space="preserve">HANS CAR PARK                      </t>
  </si>
  <si>
    <t>HANS</t>
  </si>
  <si>
    <t>BEN</t>
  </si>
  <si>
    <t>ROODE</t>
  </si>
  <si>
    <t>ROODEPOORT</t>
  </si>
  <si>
    <t xml:space="preserve">NUWAGON                            </t>
  </si>
  <si>
    <t>FANIE</t>
  </si>
  <si>
    <t>MICHELLE</t>
  </si>
  <si>
    <t xml:space="preserve">SERENGETI MOTORS                   </t>
  </si>
  <si>
    <t>LIEZEL BOTHA</t>
  </si>
  <si>
    <t>M PIENAAR</t>
  </si>
  <si>
    <t>GEORG</t>
  </si>
  <si>
    <t>GEORGE</t>
  </si>
  <si>
    <t xml:space="preserve">PIONEER MOTORS                     </t>
  </si>
  <si>
    <t>GJJ DE WET</t>
  </si>
  <si>
    <t>SIGNED</t>
  </si>
  <si>
    <t>UMKOM</t>
  </si>
  <si>
    <t>UMKOMAAS</t>
  </si>
  <si>
    <t xml:space="preserve">HAMPSON AUTO                       </t>
  </si>
  <si>
    <t>RC HAMPSON</t>
  </si>
  <si>
    <t>marcus</t>
  </si>
  <si>
    <t>GRAAF</t>
  </si>
  <si>
    <t>GRAAFF-REINET</t>
  </si>
  <si>
    <t xml:space="preserve">MYUNDEI-GRAAF-REINET               </t>
  </si>
  <si>
    <t>PIERRE DELEMAE</t>
  </si>
  <si>
    <t>marty</t>
  </si>
  <si>
    <t xml:space="preserve">CENTRAL SOUTH AFRICA ASEESSORS     </t>
  </si>
  <si>
    <t>EUGENE DE LE REY</t>
  </si>
  <si>
    <t>MARELIZE</t>
  </si>
  <si>
    <t>KLERK</t>
  </si>
  <si>
    <t>KLERKSDORP</t>
  </si>
  <si>
    <t xml:space="preserve">TAMINE INVESTMENT TA BAKKIEWOR     </t>
  </si>
  <si>
    <t>BIANCA</t>
  </si>
  <si>
    <t>m smith</t>
  </si>
  <si>
    <t>PIET2</t>
  </si>
  <si>
    <t>PIETERSBURG</t>
  </si>
  <si>
    <t xml:space="preserve">DAEWOO MOTORS                      </t>
  </si>
  <si>
    <t>J VAN EEDON</t>
  </si>
  <si>
    <t>ELLIG</t>
  </si>
  <si>
    <t xml:space="preserve">MERCEDES-BENZ                      </t>
  </si>
  <si>
    <t>JESSIE STRYDOM</t>
  </si>
  <si>
    <t>CANDICE</t>
  </si>
  <si>
    <t xml:space="preserve">KULU MOTORS                        </t>
  </si>
  <si>
    <t>DAVID SNYMAN</t>
  </si>
  <si>
    <t>ILLEG</t>
  </si>
  <si>
    <t>Driver late</t>
  </si>
  <si>
    <t>SAT</t>
  </si>
  <si>
    <t>BREDA</t>
  </si>
  <si>
    <t>BREDASDORP</t>
  </si>
  <si>
    <t xml:space="preserve">B   M CARAGE BREDASDORP CC         </t>
  </si>
  <si>
    <t>DC HORNE</t>
  </si>
  <si>
    <t>uitette</t>
  </si>
  <si>
    <t>VEREE</t>
  </si>
  <si>
    <t>VEREENIGING</t>
  </si>
  <si>
    <t xml:space="preserve">BARRAGE AUTO SALES                 </t>
  </si>
  <si>
    <t>HENRY SWANEPOEL</t>
  </si>
  <si>
    <t>erika</t>
  </si>
  <si>
    <t>RDR</t>
  </si>
  <si>
    <t xml:space="preserve">CAR -RAMA                          </t>
  </si>
  <si>
    <t>ANGELA</t>
  </si>
  <si>
    <t>shireen</t>
  </si>
  <si>
    <t xml:space="preserve">ALPINE MOTORS                      </t>
  </si>
  <si>
    <t>TAWEEL</t>
  </si>
  <si>
    <t>S LAAS</t>
  </si>
  <si>
    <t>SAMLALAAS</t>
  </si>
  <si>
    <t xml:space="preserve">SERENGRIT MOTORS                   </t>
  </si>
  <si>
    <t>LIEZL BOTHA</t>
  </si>
  <si>
    <t>LIEZEL</t>
  </si>
  <si>
    <t xml:space="preserve">BB POLOKWANE                       </t>
  </si>
  <si>
    <t>MARLENE CORTZEE</t>
  </si>
  <si>
    <t>PRETORIUS</t>
  </si>
  <si>
    <t>DAVID</t>
  </si>
  <si>
    <t>BAILEY</t>
  </si>
  <si>
    <t>RUSTE</t>
  </si>
  <si>
    <t>RUSTENBURG</t>
  </si>
  <si>
    <t xml:space="preserve">PRIME AUTO                         </t>
  </si>
  <si>
    <t>IMRAN OSMAN</t>
  </si>
  <si>
    <t>C GOOSE</t>
  </si>
  <si>
    <t>RDD</t>
  </si>
  <si>
    <t xml:space="preserve">HANZEN LOSS ADJUSTERD              </t>
  </si>
  <si>
    <t>CINDY RALL</t>
  </si>
  <si>
    <t>CINDY</t>
  </si>
  <si>
    <t xml:space="preserve">HOOPERS VOLKSWAGEN                 </t>
  </si>
  <si>
    <t>DAVE</t>
  </si>
  <si>
    <t>CEBSILE</t>
  </si>
  <si>
    <t>NAMIB</t>
  </si>
  <si>
    <t>NAMIBIA (WINDHOEK)</t>
  </si>
  <si>
    <t xml:space="preserve">C AND G MOTORS NAMIBIA             </t>
  </si>
  <si>
    <t>ICP</t>
  </si>
  <si>
    <t>LOTUS LOLLE</t>
  </si>
  <si>
    <t>MAGERET</t>
  </si>
  <si>
    <t>FUE / IFL / Ndc</t>
  </si>
  <si>
    <t>NAMI</t>
  </si>
  <si>
    <t>CAPET</t>
  </si>
  <si>
    <t xml:space="preserve">DUCOR SOUTH                        </t>
  </si>
  <si>
    <t>ON1</t>
  </si>
  <si>
    <t>BRONWYN SUNDERLAND</t>
  </si>
  <si>
    <t>C SABATH</t>
  </si>
  <si>
    <t xml:space="preserve">BARRAGE AUTO                       </t>
  </si>
  <si>
    <t>GREFANA</t>
  </si>
  <si>
    <t xml:space="preserve">MOOSA DANGOR                       </t>
  </si>
  <si>
    <t>MOOSA DANGOR</t>
  </si>
  <si>
    <t>SIG</t>
  </si>
  <si>
    <t xml:space="preserve">MERCEDES CENTURY CITY BRANCH       </t>
  </si>
  <si>
    <t>DEON RAMSEN</t>
  </si>
  <si>
    <t>NATASHA N</t>
  </si>
  <si>
    <t xml:space="preserve">HAWKEYE INSURANCE                  </t>
  </si>
  <si>
    <t>NATASHA</t>
  </si>
  <si>
    <t xml:space="preserve">AUTOHAVEN HERMANUS                 </t>
  </si>
  <si>
    <t>ZENITH JANSEN VAN RENSBURG</t>
  </si>
  <si>
    <t>unclea</t>
  </si>
  <si>
    <t xml:space="preserve">DALY BMW                           </t>
  </si>
  <si>
    <t>DVK OLIVIER</t>
  </si>
  <si>
    <t>WELKO</t>
  </si>
  <si>
    <t>WELKOM</t>
  </si>
  <si>
    <t xml:space="preserve">NISSAN WELKOM                      </t>
  </si>
  <si>
    <t>JOEN VAN ONSELEN</t>
  </si>
  <si>
    <t>LIZE-MARI</t>
  </si>
  <si>
    <t>RDX</t>
  </si>
  <si>
    <t>MIDD2</t>
  </si>
  <si>
    <t>MIDDELBURG (Mpumalanga)</t>
  </si>
  <si>
    <t xml:space="preserve">DOWNTOWN MOTORS BREAK AVEN T A     </t>
  </si>
  <si>
    <t>EMITEL</t>
  </si>
  <si>
    <t>CO STAMP</t>
  </si>
  <si>
    <t xml:space="preserve">SYNERGY INSURANCE BROKERS          </t>
  </si>
  <si>
    <t>NERUSHA SIRIRAL</t>
  </si>
  <si>
    <t>SAMANTHA</t>
  </si>
  <si>
    <t xml:space="preserve">AUTOWORLD                          </t>
  </si>
  <si>
    <t>FELICIA</t>
  </si>
  <si>
    <t>MOHAMMED</t>
  </si>
  <si>
    <t xml:space="preserve">MIDCITY MOTORS                     </t>
  </si>
  <si>
    <t>DEIDRO VAN STRAATEN</t>
  </si>
  <si>
    <t>STRAALEN</t>
  </si>
  <si>
    <t>ERMEL</t>
  </si>
  <si>
    <t>ERMELO</t>
  </si>
  <si>
    <t xml:space="preserve">CASSIM PAUL MOTORS                 </t>
  </si>
  <si>
    <t>NAZEER</t>
  </si>
  <si>
    <t>nazeer</t>
  </si>
  <si>
    <t xml:space="preserve">EAE MOTORS                         </t>
  </si>
  <si>
    <t>AHMED</t>
  </si>
  <si>
    <t>asma</t>
  </si>
  <si>
    <t xml:space="preserve">NUWAGOH                            </t>
  </si>
  <si>
    <t>THALITHA</t>
  </si>
  <si>
    <t>preto</t>
  </si>
  <si>
    <t>PRETORIA</t>
  </si>
  <si>
    <t xml:space="preserve">SMART WHEELS                       </t>
  </si>
  <si>
    <t>SHARITA</t>
  </si>
  <si>
    <t>SHAKEERA</t>
  </si>
  <si>
    <t xml:space="preserve">CENTRAL MOTORS                     </t>
  </si>
  <si>
    <t>EDDIE</t>
  </si>
  <si>
    <t>pieter</t>
  </si>
  <si>
    <t xml:space="preserve">KEMPSTER AUTO                      </t>
  </si>
  <si>
    <t>JORNNE</t>
  </si>
  <si>
    <t xml:space="preserve">NAMPAC HOUSE                       </t>
  </si>
  <si>
    <t>HELENA</t>
  </si>
  <si>
    <t>DORCAS</t>
  </si>
  <si>
    <t xml:space="preserve">ASTON FINANCIAL SERVICES           </t>
  </si>
  <si>
    <t>LYNTON</t>
  </si>
  <si>
    <t>Toni</t>
  </si>
  <si>
    <t>STEL2</t>
  </si>
  <si>
    <t>STELLENBOSCH</t>
  </si>
  <si>
    <t xml:space="preserve">UNIVERSITY OF STELLENBOSCH         </t>
  </si>
  <si>
    <t>LELANRE</t>
  </si>
  <si>
    <t>LELANIE LANGFORD</t>
  </si>
  <si>
    <t>VERWO</t>
  </si>
  <si>
    <t>CENTURION</t>
  </si>
  <si>
    <t xml:space="preserve">NUGO AUCTRONEERS                   </t>
  </si>
  <si>
    <t>ALET</t>
  </si>
  <si>
    <t>STEFANIE</t>
  </si>
  <si>
    <t xml:space="preserve">INFINITY AUTO                      </t>
  </si>
  <si>
    <t>TINUS</t>
  </si>
  <si>
    <t>hinus vorster</t>
  </si>
  <si>
    <t xml:space="preserve">VITA CARS                          </t>
  </si>
  <si>
    <t>ARME SPIHAS</t>
  </si>
  <si>
    <t>anne</t>
  </si>
  <si>
    <t>PIET1</t>
  </si>
  <si>
    <t>PIETERMARITZBURG</t>
  </si>
  <si>
    <t xml:space="preserve">BROKOOP INSURANCE BROKERS          </t>
  </si>
  <si>
    <t>SHIRLEY</t>
  </si>
  <si>
    <t>mandi</t>
  </si>
  <si>
    <t>LICHT</t>
  </si>
  <si>
    <t>LICHTENBURG</t>
  </si>
  <si>
    <t xml:space="preserve">BOBSMAIL MOTORS CC                 </t>
  </si>
  <si>
    <t>SHAVANEE</t>
  </si>
  <si>
    <t>RDY</t>
  </si>
  <si>
    <t xml:space="preserve">ENFOFIN                            </t>
  </si>
  <si>
    <t>MACE</t>
  </si>
  <si>
    <t xml:space="preserve">PENRISK CENTURION CC               </t>
  </si>
  <si>
    <t>TRANSYN</t>
  </si>
  <si>
    <t>michelle</t>
  </si>
  <si>
    <t xml:space="preserve">RHR MOTORS                         </t>
  </si>
  <si>
    <t>SHANTALL</t>
  </si>
  <si>
    <t>jaco</t>
  </si>
  <si>
    <t xml:space="preserve">DANFORD MOTORRAD CAPE TOWN         </t>
  </si>
  <si>
    <t>NEIL BERAY</t>
  </si>
  <si>
    <t>illeg</t>
  </si>
  <si>
    <t>DAIVD</t>
  </si>
  <si>
    <t>N BAILEY</t>
  </si>
  <si>
    <t xml:space="preserve">STERLING AUTO                      </t>
  </si>
  <si>
    <t>ROOS LE ROUX</t>
  </si>
  <si>
    <t>KARMEN</t>
  </si>
  <si>
    <t xml:space="preserve">CORNIE JANSEN MOTORS               </t>
  </si>
  <si>
    <t>MINETTE</t>
  </si>
  <si>
    <t>CORNIE</t>
  </si>
  <si>
    <t>TZANE</t>
  </si>
  <si>
    <t>TZANEEN</t>
  </si>
  <si>
    <t xml:space="preserve">TOP 20 MOTORS                      </t>
  </si>
  <si>
    <t>PETER</t>
  </si>
  <si>
    <t>J MALAN</t>
  </si>
  <si>
    <t>STRAN</t>
  </si>
  <si>
    <t>STRAND</t>
  </si>
  <si>
    <t xml:space="preserve">RHOSURE INSURANCE BROKERS          </t>
  </si>
  <si>
    <t>ANEL DU PREEZ</t>
  </si>
  <si>
    <t>anel</t>
  </si>
  <si>
    <t xml:space="preserve">WILLOAGHTON AND BRAUTHWAILE SH     </t>
  </si>
  <si>
    <t>JOANNE</t>
  </si>
  <si>
    <t>eastlynn</t>
  </si>
  <si>
    <t>RONEL</t>
  </si>
  <si>
    <t>ronel</t>
  </si>
  <si>
    <t xml:space="preserve">URBAN AUTO                         </t>
  </si>
  <si>
    <t>.</t>
  </si>
  <si>
    <t>WESLEY MOCKE</t>
  </si>
  <si>
    <t xml:space="preserve">STRYDOM VALMOTORS                  </t>
  </si>
  <si>
    <t>MARNAD STRYDOM</t>
  </si>
  <si>
    <t>BRAKP</t>
  </si>
  <si>
    <t>BRAKPAN</t>
  </si>
  <si>
    <t xml:space="preserve">QUICKSURE CC                       </t>
  </si>
  <si>
    <t>ROCHELLE</t>
  </si>
  <si>
    <t>R VD SANDT</t>
  </si>
  <si>
    <t xml:space="preserve">AUTO KING                          </t>
  </si>
  <si>
    <t>ANTHONY FENTON</t>
  </si>
  <si>
    <t>a fenton</t>
  </si>
  <si>
    <t xml:space="preserve">MATHINUS WESSEL                    </t>
  </si>
  <si>
    <t>MARTHINUS WESSEL</t>
  </si>
  <si>
    <t>annatjie</t>
  </si>
  <si>
    <t xml:space="preserve">WILLIE COETZEE ASSESONA            </t>
  </si>
  <si>
    <t>WILLIE COETZEE</t>
  </si>
  <si>
    <t>millie</t>
  </si>
  <si>
    <t>CALED</t>
  </si>
  <si>
    <t>CALEDON</t>
  </si>
  <si>
    <t xml:space="preserve">CALEDON TOYOTA                     </t>
  </si>
  <si>
    <t>ROBYN FOURIE</t>
  </si>
  <si>
    <t>robyn</t>
  </si>
  <si>
    <t xml:space="preserve">TANAEL                             </t>
  </si>
  <si>
    <t>TONOEL</t>
  </si>
  <si>
    <t xml:space="preserve">AKSON RUSTIG                       </t>
  </si>
  <si>
    <t>SHAHEEDA MOHAMMED</t>
  </si>
  <si>
    <t>shapheeda</t>
  </si>
  <si>
    <t>BALF2</t>
  </si>
  <si>
    <t>BALFOUR (TVL)</t>
  </si>
  <si>
    <t xml:space="preserve">ESSAS MOTORS                       </t>
  </si>
  <si>
    <t>UMHLA</t>
  </si>
  <si>
    <t>UMHLANGA ROCKS</t>
  </si>
  <si>
    <t xml:space="preserve">TURQUOISE MOON TRADING             </t>
  </si>
  <si>
    <t>WASSEN PENELE</t>
  </si>
  <si>
    <t xml:space="preserve">FORD MOTOR COMPANY                 </t>
  </si>
  <si>
    <t>GRAHAM CRESPI</t>
  </si>
  <si>
    <t>JACOB</t>
  </si>
  <si>
    <t>DELMA</t>
  </si>
  <si>
    <t>DELMAS</t>
  </si>
  <si>
    <t xml:space="preserve">IDEAL TRADING 141 CC               </t>
  </si>
  <si>
    <t xml:space="preserve">JOHAN JONKER MOTORS                </t>
  </si>
  <si>
    <t>SUSAN JONKER</t>
  </si>
  <si>
    <t>EJ  JONKER</t>
  </si>
  <si>
    <t xml:space="preserve">WITHUS MOTORS CC                   </t>
  </si>
  <si>
    <t>ELAINE MU</t>
  </si>
  <si>
    <t>ELAINE</t>
  </si>
  <si>
    <t xml:space="preserve">AMIEN AND ASSOCIATES CC            </t>
  </si>
  <si>
    <t>AYSHA</t>
  </si>
  <si>
    <t>SHEINAWAAZ</t>
  </si>
  <si>
    <t xml:space="preserve">MC MOTORS - DAME KASSELMAN         </t>
  </si>
  <si>
    <t>MC MOTORS</t>
  </si>
  <si>
    <t>D Kasselman</t>
  </si>
  <si>
    <t>POD received from ce</t>
  </si>
  <si>
    <t xml:space="preserve">SIMPSON MOTORS                     </t>
  </si>
  <si>
    <t>MARY AMI</t>
  </si>
  <si>
    <t>MARY ANN</t>
  </si>
  <si>
    <t xml:space="preserve">TAXI TRANSPORT INSURANCE BROKE     </t>
  </si>
  <si>
    <t>JACKIE GASCORPE</t>
  </si>
  <si>
    <t xml:space="preserve">MOVE ANALYSTICS                    </t>
  </si>
  <si>
    <t xml:space="preserve">VELVET MOTORS T A PARSHA AUTO      </t>
  </si>
  <si>
    <t>SHARIF ESSOF</t>
  </si>
  <si>
    <t>sign</t>
  </si>
  <si>
    <t xml:space="preserve">MOTORMID                           </t>
  </si>
  <si>
    <t>GEOFFREY BERNITZ</t>
  </si>
  <si>
    <t>GEOFREY</t>
  </si>
  <si>
    <t>BETHA</t>
  </si>
  <si>
    <t>BETHAL</t>
  </si>
  <si>
    <t xml:space="preserve">PWS MOTORS                         </t>
  </si>
  <si>
    <t>HASHIM</t>
  </si>
  <si>
    <t>e james</t>
  </si>
  <si>
    <t>MALME</t>
  </si>
  <si>
    <t>MALMESBURY</t>
  </si>
  <si>
    <t xml:space="preserve">LAZARUS FORD MALMESBURG            </t>
  </si>
  <si>
    <t>ESMERELDA</t>
  </si>
  <si>
    <t xml:space="preserve">THUNDERCYCLES                      </t>
  </si>
  <si>
    <t>JC VOSLOO</t>
  </si>
  <si>
    <t xml:space="preserve">VOLVO EASTCAPE MOTORS              </t>
  </si>
  <si>
    <t>DEAN</t>
  </si>
  <si>
    <t>goetzer</t>
  </si>
  <si>
    <t xml:space="preserve">52 CORLETT DRIVE                   </t>
  </si>
  <si>
    <t xml:space="preserve">CASAGEE INSURANCE BROKERS          </t>
  </si>
  <si>
    <t>YUSUF CASOOJEE</t>
  </si>
  <si>
    <t>MARIA</t>
  </si>
  <si>
    <t xml:space="preserve">PHIL PRECIOUS AUTO SALES           </t>
  </si>
  <si>
    <t>PHIL PRECIOUS</t>
  </si>
  <si>
    <t>precious</t>
  </si>
  <si>
    <t>HENDR</t>
  </si>
  <si>
    <t>HENDRINA</t>
  </si>
  <si>
    <t xml:space="preserve">BURGERS GERRAGE                    </t>
  </si>
  <si>
    <t>MR A P BURGER</t>
  </si>
  <si>
    <t>DE VILLIERS</t>
  </si>
  <si>
    <t xml:space="preserve">KEITH SAMPSON AUTO ASSESSING       </t>
  </si>
  <si>
    <t>MRS SAMPSON</t>
  </si>
  <si>
    <t>j d</t>
  </si>
  <si>
    <t>HUMAN</t>
  </si>
  <si>
    <t>HUMANSDORP</t>
  </si>
  <si>
    <t xml:space="preserve">KOUGA FORD AND MAZDA               </t>
  </si>
  <si>
    <t>ZELDA ZYL</t>
  </si>
  <si>
    <t>jenny</t>
  </si>
  <si>
    <t xml:space="preserve">CRESCENT CAT SALES                 </t>
  </si>
  <si>
    <t>SHAMEER</t>
  </si>
  <si>
    <t>brenda</t>
  </si>
  <si>
    <t>BOKSB</t>
  </si>
  <si>
    <t>BOKSBURG</t>
  </si>
  <si>
    <t xml:space="preserve">EVELEIGH CAR SALES                 </t>
  </si>
  <si>
    <t>GEHARD</t>
  </si>
  <si>
    <t>MR PETERS</t>
  </si>
  <si>
    <t xml:space="preserve">SMG PIETERMARITZBURG               </t>
  </si>
  <si>
    <t>ALLAN NEAVE</t>
  </si>
  <si>
    <t>teresa</t>
  </si>
  <si>
    <t>VANDE</t>
  </si>
  <si>
    <t>VANDERBIJLPARK</t>
  </si>
  <si>
    <t xml:space="preserve">SHORT TERM TRUST BROKERS           </t>
  </si>
  <si>
    <t>MARIETTE PRINSLOO</t>
  </si>
  <si>
    <t>prinsloo</t>
  </si>
  <si>
    <t xml:space="preserve">PRASTI AUTO ASSESSORS CC           </t>
  </si>
  <si>
    <t>ROB PRASTI</t>
  </si>
  <si>
    <t>SIMONE</t>
  </si>
  <si>
    <t xml:space="preserve">DHIROSHA GOVENDER                  </t>
  </si>
  <si>
    <t>DHIROSHA</t>
  </si>
  <si>
    <t>CLAUDIA CLAUDIA</t>
  </si>
  <si>
    <t>MOHAMMED HASSAN</t>
  </si>
  <si>
    <t>MISS ALANA</t>
  </si>
  <si>
    <t xml:space="preserve">DATACENTRE MOTORS                  </t>
  </si>
  <si>
    <t>SHIRAZ</t>
  </si>
  <si>
    <t>p pillay</t>
  </si>
  <si>
    <t xml:space="preserve">SSS ASSESSORS                      </t>
  </si>
  <si>
    <t>STEFAN SAAIMAN</t>
  </si>
  <si>
    <t>BILAL</t>
  </si>
  <si>
    <t>PORT3</t>
  </si>
  <si>
    <t>PORT ELIZABETH</t>
  </si>
  <si>
    <t xml:space="preserve">MOFFET ON MAIN PRE-OWNED           </t>
  </si>
  <si>
    <t>GAWIN</t>
  </si>
  <si>
    <t xml:space="preserve">VICRON ASSESSING SERVICES          </t>
  </si>
  <si>
    <t>DIANE</t>
  </si>
  <si>
    <t>DIAWE</t>
  </si>
  <si>
    <t xml:space="preserve">EMERALD SEA TRADING                </t>
  </si>
  <si>
    <t>YASEEN</t>
  </si>
  <si>
    <t>jeremy</t>
  </si>
  <si>
    <t xml:space="preserve">LAZARUS FORD MALMESBURY            </t>
  </si>
  <si>
    <t>FRANS WEYERS</t>
  </si>
  <si>
    <t xml:space="preserve">FIRST CITY TRADING                 </t>
  </si>
  <si>
    <t>GARY BEAVAN</t>
  </si>
  <si>
    <t>pillay</t>
  </si>
  <si>
    <t>THAB1</t>
  </si>
  <si>
    <t>THABAZIMBI</t>
  </si>
  <si>
    <t xml:space="preserve">E   S MOTORS                       </t>
  </si>
  <si>
    <t>MARRIK KOTZE</t>
  </si>
  <si>
    <t>tshepo</t>
  </si>
  <si>
    <t xml:space="preserve">AFFORDABLE AUTOMOBILE              </t>
  </si>
  <si>
    <t>JACQUES</t>
  </si>
  <si>
    <t>MARIAAN</t>
  </si>
  <si>
    <t xml:space="preserve">STRYDOM VALUATORS                  </t>
  </si>
  <si>
    <t>MR JJ STRYDOM</t>
  </si>
  <si>
    <t>magda</t>
  </si>
  <si>
    <t>Outlying delivery location</t>
  </si>
  <si>
    <t>ndn</t>
  </si>
  <si>
    <t xml:space="preserve">MERCEDES BENZ CENTURY CITY         </t>
  </si>
  <si>
    <t>siphokazi</t>
  </si>
  <si>
    <t xml:space="preserve">ROLA TOYOTA BREDASDORP             </t>
  </si>
  <si>
    <t>GAWIE</t>
  </si>
  <si>
    <t>petro</t>
  </si>
  <si>
    <t>STEYN ROSSOUW</t>
  </si>
  <si>
    <t>GRIETA</t>
  </si>
  <si>
    <t>HLM</t>
  </si>
  <si>
    <t xml:space="preserve">TAV CAR SALES                      </t>
  </si>
  <si>
    <t>SHIRAZ AMOD</t>
  </si>
  <si>
    <t xml:space="preserve">SOLLYS AUTO CITY                   </t>
  </si>
  <si>
    <t>MRS R BRICKNELL</t>
  </si>
  <si>
    <t>BRICKNELL</t>
  </si>
  <si>
    <t>JOCELYN</t>
  </si>
  <si>
    <t xml:space="preserve">REZAKWP AUTO                       </t>
  </si>
  <si>
    <t>THAAKIRAH</t>
  </si>
  <si>
    <t>BURG1</t>
  </si>
  <si>
    <t>BURGERSFORT</t>
  </si>
  <si>
    <t xml:space="preserve">BURGERSFORT TOYOTA                 </t>
  </si>
  <si>
    <t>SOLLY</t>
  </si>
  <si>
    <t>ILYACS</t>
  </si>
  <si>
    <t xml:space="preserve">BRYANSTON SUZUKI                   </t>
  </si>
  <si>
    <t>ALYWYN</t>
  </si>
  <si>
    <t xml:space="preserve">HUMAN AUTO KIMBERLEY               </t>
  </si>
  <si>
    <t>DEWALD MOLLER</t>
  </si>
  <si>
    <t>NELSON</t>
  </si>
  <si>
    <t xml:space="preserve">CORPORATE CARS                     </t>
  </si>
  <si>
    <t>PETER BENECKE</t>
  </si>
  <si>
    <t xml:space="preserve">SOLLYS MIDDELBURG                  </t>
  </si>
  <si>
    <t>SANTANAH</t>
  </si>
  <si>
    <t>GRAHA</t>
  </si>
  <si>
    <t>GRAHAMSTOWN</t>
  </si>
  <si>
    <t xml:space="preserve">KELSTON MOTOR GRP                  </t>
  </si>
  <si>
    <t>GARRY BOTHA</t>
  </si>
  <si>
    <t>GOODWIN</t>
  </si>
  <si>
    <t xml:space="preserve">BARONS PMB                         </t>
  </si>
  <si>
    <t>MEREDITH LEWIS</t>
  </si>
  <si>
    <t xml:space="preserve">TOYZ AUTO CC                       </t>
  </si>
  <si>
    <t>GILL AUSTIN</t>
  </si>
  <si>
    <t>AUSTIN GILL</t>
  </si>
  <si>
    <t>WARMB</t>
  </si>
  <si>
    <t>WARMBAD</t>
  </si>
  <si>
    <t xml:space="preserve">BELA BELA MOTORS                   </t>
  </si>
  <si>
    <t>PAUL BUYS</t>
  </si>
  <si>
    <t xml:space="preserve">BLESBOK MOTORS                     </t>
  </si>
  <si>
    <t>BERNADINE</t>
  </si>
  <si>
    <t>jermey</t>
  </si>
  <si>
    <t>PORT4</t>
  </si>
  <si>
    <t>PORT SHEPSTONE</t>
  </si>
  <si>
    <t xml:space="preserve">SHAURR PILLAY AND ASSOCIATES       </t>
  </si>
  <si>
    <t>SHAUN PILLAY</t>
  </si>
  <si>
    <t>shaun</t>
  </si>
  <si>
    <t>col</t>
  </si>
  <si>
    <t xml:space="preserve">ERMELO ELITE MOTORS                </t>
  </si>
  <si>
    <t>RJ VAN ECK</t>
  </si>
  <si>
    <t>PIERRE</t>
  </si>
  <si>
    <t>PIERIE</t>
  </si>
  <si>
    <t xml:space="preserve">WILLOW BMY AND BRAITHWAITE         </t>
  </si>
  <si>
    <t xml:space="preserve">VEHICLE CONNECTION CC              </t>
  </si>
  <si>
    <t>PRENITA MOONSAMY</t>
  </si>
  <si>
    <t>PRENITA</t>
  </si>
  <si>
    <t xml:space="preserve">AUTOCARE CAR SALES PTY LTD         </t>
  </si>
  <si>
    <t>NAEEM MALEK</t>
  </si>
  <si>
    <t>moleen</t>
  </si>
  <si>
    <t>SECUN</t>
  </si>
  <si>
    <t>SECUNDA</t>
  </si>
  <si>
    <t xml:space="preserve">SECUNDA MOTOR CORPORATION          </t>
  </si>
  <si>
    <t>KABOUS</t>
  </si>
  <si>
    <t xml:space="preserve">AUTO PARK BLOEMFONTEIN             </t>
  </si>
  <si>
    <t>NANS</t>
  </si>
  <si>
    <t>PORT1</t>
  </si>
  <si>
    <t>PORT ALFRED</t>
  </si>
  <si>
    <t xml:space="preserve">KELSTON MOTOR GRP T A MARKET S     </t>
  </si>
  <si>
    <t>GARY BOTHA</t>
  </si>
  <si>
    <t>SIPHO</t>
  </si>
  <si>
    <t>STILF</t>
  </si>
  <si>
    <t>STILFONTEIN</t>
  </si>
  <si>
    <t xml:space="preserve">BSURE T A F A KASSELMAN            </t>
  </si>
  <si>
    <t>FREIDRICH</t>
  </si>
  <si>
    <t>ANITJA</t>
  </si>
  <si>
    <t>STAND</t>
  </si>
  <si>
    <t>STANDERTON</t>
  </si>
  <si>
    <t xml:space="preserve">NISSAN STANDERTON                  </t>
  </si>
  <si>
    <t>PIETER BOTHA</t>
  </si>
  <si>
    <t>pieter botha</t>
  </si>
  <si>
    <t>LADYS</t>
  </si>
  <si>
    <t>LADYSMITH (NTL)</t>
  </si>
  <si>
    <t xml:space="preserve">LADYSMITH AUTOHAUS                 </t>
  </si>
  <si>
    <t>MR T DOWNES</t>
  </si>
  <si>
    <t xml:space="preserve">AUTO ITALIA                        </t>
  </si>
  <si>
    <t>CARLA</t>
  </si>
  <si>
    <t>CLAUDINE</t>
  </si>
  <si>
    <t xml:space="preserve">I INSPECITE CO MIDDELBURG          </t>
  </si>
  <si>
    <t>FANIE VILJOEN</t>
  </si>
  <si>
    <t>VILJOEN</t>
  </si>
  <si>
    <t>KEMPT</t>
  </si>
  <si>
    <t>KEMPTON PARK</t>
  </si>
  <si>
    <t xml:space="preserve">KWABUNTU MOTORS PTY LTD            </t>
  </si>
  <si>
    <t>ROELFE  JOEL</t>
  </si>
  <si>
    <t>QUINTON</t>
  </si>
  <si>
    <t xml:space="preserve">LINDSAY SAKER MOOI STREET          </t>
  </si>
  <si>
    <t>MIDAH</t>
  </si>
  <si>
    <t xml:space="preserve">BLOEMFONTEIN MOTORS                </t>
  </si>
  <si>
    <t>JANIE BEYSEL</t>
  </si>
  <si>
    <t>MARUIS</t>
  </si>
  <si>
    <t xml:space="preserve">U WHEEL CARS                       </t>
  </si>
  <si>
    <t>CHANTEL</t>
  </si>
  <si>
    <t>ILLEG SIG</t>
  </si>
  <si>
    <t xml:space="preserve">ALGOA BODY AUTO                    </t>
  </si>
  <si>
    <t>UILLEG</t>
  </si>
  <si>
    <t>PONGO</t>
  </si>
  <si>
    <t>PONGOLA</t>
  </si>
  <si>
    <t xml:space="preserve">PONGOLA TOYOTA                     </t>
  </si>
  <si>
    <t>MELISSA LOUBSER</t>
  </si>
  <si>
    <t>queen</t>
  </si>
  <si>
    <t xml:space="preserve">HI TECH                            </t>
  </si>
  <si>
    <t>DAWOOD</t>
  </si>
  <si>
    <t>RIAAN</t>
  </si>
  <si>
    <t xml:space="preserve">WAYNE MUNROE CARS CC               </t>
  </si>
  <si>
    <t>WAYNE</t>
  </si>
  <si>
    <t xml:space="preserve">RUSTENBURG TOYOTA                  </t>
  </si>
  <si>
    <t>LCHOTTHOUSEN</t>
  </si>
  <si>
    <t>POTGI</t>
  </si>
  <si>
    <t>POTGIETERSRUS</t>
  </si>
  <si>
    <t xml:space="preserve">ELMAN AUTO                         </t>
  </si>
  <si>
    <t>MCKENZIE</t>
  </si>
  <si>
    <t>E MCKENDZI</t>
  </si>
  <si>
    <t>UPING</t>
  </si>
  <si>
    <t>UPINGTON</t>
  </si>
  <si>
    <t xml:space="preserve">JACKIE MOTORS                      </t>
  </si>
  <si>
    <t>RONELL</t>
  </si>
  <si>
    <t>J HUSSELMAN</t>
  </si>
  <si>
    <t xml:space="preserve">DESMO CAR SALES C O PANSTRAT S     </t>
  </si>
  <si>
    <t>RETHA SADLER</t>
  </si>
  <si>
    <t>corrie</t>
  </si>
  <si>
    <t xml:space="preserve">CHRIS HAIR AND ASSOCIATES          </t>
  </si>
  <si>
    <t>VIOLA PILLAY</t>
  </si>
  <si>
    <t xml:space="preserve">AZ ALESONS FRESH STOP CAR CAR      </t>
  </si>
  <si>
    <t>CHAHEEDA</t>
  </si>
  <si>
    <t>shshaheeda</t>
  </si>
  <si>
    <t xml:space="preserve">DP EXTREME AUTO AND REPAIRS        </t>
  </si>
  <si>
    <t>INANDA DU PLESSIS</t>
  </si>
  <si>
    <t>JOHN</t>
  </si>
  <si>
    <t>JANIE DEYSEL</t>
  </si>
  <si>
    <t>HANNES</t>
  </si>
  <si>
    <t>SWAZI</t>
  </si>
  <si>
    <t>SWAZILAND (MAIN)</t>
  </si>
  <si>
    <t xml:space="preserve">AUTOSTAN                           </t>
  </si>
  <si>
    <t>HANNELIE</t>
  </si>
  <si>
    <t>SIBUSISO</t>
  </si>
  <si>
    <t>SWAZ</t>
  </si>
  <si>
    <t xml:space="preserve">PALADIN UNDERWRITING               </t>
  </si>
  <si>
    <t>JAMES PICKERING</t>
  </si>
  <si>
    <t>K SHAW</t>
  </si>
  <si>
    <t xml:space="preserve">DONNIE VAN SCHALKWYK MOTORS        </t>
  </si>
  <si>
    <t>YVONMITA VAN PONDER</t>
  </si>
  <si>
    <t xml:space="preserve">MALMESBUR TOYOTA                   </t>
  </si>
  <si>
    <t>HERMAN AUCAMP</t>
  </si>
  <si>
    <t>s nel</t>
  </si>
  <si>
    <t xml:space="preserve">POWER AUTO SPARES                  </t>
  </si>
  <si>
    <t>LYNETTE VISSER</t>
  </si>
  <si>
    <t>BARTL</t>
  </si>
  <si>
    <t xml:space="preserve">ASTON FINANCIAL SERCICES           </t>
  </si>
  <si>
    <t>LYNTON COLLEN</t>
  </si>
  <si>
    <t>toni</t>
  </si>
  <si>
    <t xml:space="preserve">MARTIN   ASSOCIATES                </t>
  </si>
  <si>
    <t xml:space="preserve">TRANSUNION AFRICA                  </t>
  </si>
  <si>
    <t>EDSON</t>
  </si>
  <si>
    <t>SIBONGISENI</t>
  </si>
  <si>
    <t>WORCE</t>
  </si>
  <si>
    <t>WORCESTER</t>
  </si>
  <si>
    <t xml:space="preserve">HV MOTORS                          </t>
  </si>
  <si>
    <t>MARYKE VISSER</t>
  </si>
  <si>
    <t>HENNIE</t>
  </si>
  <si>
    <t>RICHA</t>
  </si>
  <si>
    <t>RICHARDS BAY</t>
  </si>
  <si>
    <t xml:space="preserve">SUZUKI RICHARDS BAY                </t>
  </si>
  <si>
    <t>BELINDA VIVIERD</t>
  </si>
  <si>
    <t>maryna</t>
  </si>
  <si>
    <t>KRUGE</t>
  </si>
  <si>
    <t>KRUGERSDORP</t>
  </si>
  <si>
    <t xml:space="preserve">ROYAL VALUE MOTOR AND AG MOTOR     </t>
  </si>
  <si>
    <t>WILLEM</t>
  </si>
  <si>
    <t>NASJKI B</t>
  </si>
  <si>
    <t>HEID2</t>
  </si>
  <si>
    <t>HEIDELBERG (TVL)</t>
  </si>
  <si>
    <t xml:space="preserve">AUTO REN TOYOTA                    </t>
  </si>
  <si>
    <t>VANESSA</t>
  </si>
  <si>
    <t>NICOLE NAIDOO</t>
  </si>
  <si>
    <t xml:space="preserve">BEACON MOTORS                      </t>
  </si>
  <si>
    <t>MRDAMER</t>
  </si>
  <si>
    <t xml:space="preserve">FANTAY CARS                        </t>
  </si>
  <si>
    <t>JESICA</t>
  </si>
  <si>
    <t>JESSICA JESSICA</t>
  </si>
  <si>
    <t xml:space="preserve">APBCO DURBAN                       </t>
  </si>
  <si>
    <t>ACKERMAN</t>
  </si>
  <si>
    <t xml:space="preserve">MR AMIEN AND ASSOCIATES CC         </t>
  </si>
  <si>
    <t>MR AMIEN</t>
  </si>
  <si>
    <t>S PARKER</t>
  </si>
  <si>
    <t xml:space="preserve">DAVID                              </t>
  </si>
  <si>
    <t>OLIGIAMELANIE</t>
  </si>
  <si>
    <t>Consignee not available)</t>
  </si>
  <si>
    <t>TON</t>
  </si>
  <si>
    <t>TAHEEL</t>
  </si>
  <si>
    <t>TANEEL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</si>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</sst>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86"/>
  <sheetViews>
    <sheetView tabSelected="1" workbookViewId="0">
      <selection activeCell="F9" sqref="F9"/>
    </sheetView>
  </sheetViews>
  <sheetFormatPr defaultRowHeight="14.4" x14ac:dyDescent="0.3"/>
  <sheetData>
    <row r="1" spans="1:9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 x14ac:dyDescent="0.3">
      <c r="A2" t="s">
        <v>71</v>
      </c>
      <c r="B2" t="s">
        <v>72</v>
      </c>
      <c r="C2" t="s">
        <v>73</v>
      </c>
      <c r="E2" t="str">
        <f>"009934303862"</f>
        <v>009934303862</v>
      </c>
      <c r="F2" s="1">
        <v>42429</v>
      </c>
      <c r="G2">
        <v>201609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"....                          "</f>
        <v xml:space="preserve">....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2.42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0.9</v>
      </c>
      <c r="BJ2">
        <v>0.9</v>
      </c>
      <c r="BK2">
        <v>1</v>
      </c>
      <c r="BL2">
        <v>60.07</v>
      </c>
      <c r="BM2">
        <v>8.41</v>
      </c>
      <c r="BN2">
        <v>68.48</v>
      </c>
      <c r="BO2">
        <v>68.48</v>
      </c>
      <c r="BQ2" t="s">
        <v>82</v>
      </c>
      <c r="BR2" t="s">
        <v>83</v>
      </c>
      <c r="BS2" s="1">
        <v>42430</v>
      </c>
      <c r="BT2" s="2">
        <v>0.50486111111111109</v>
      </c>
      <c r="BU2" t="s">
        <v>84</v>
      </c>
      <c r="BV2" t="s">
        <v>85</v>
      </c>
      <c r="BY2">
        <v>4250.88</v>
      </c>
      <c r="CC2" t="s">
        <v>79</v>
      </c>
      <c r="CD2">
        <v>8300</v>
      </c>
      <c r="CE2" t="s">
        <v>86</v>
      </c>
      <c r="CF2" s="1">
        <v>42436</v>
      </c>
      <c r="CI2">
        <v>0</v>
      </c>
      <c r="CJ2">
        <v>0</v>
      </c>
      <c r="CK2" t="s">
        <v>87</v>
      </c>
      <c r="CL2" t="s">
        <v>88</v>
      </c>
    </row>
    <row r="3" spans="1:91" x14ac:dyDescent="0.3">
      <c r="A3" t="s">
        <v>71</v>
      </c>
      <c r="B3" t="s">
        <v>72</v>
      </c>
      <c r="C3" t="s">
        <v>73</v>
      </c>
      <c r="E3" t="str">
        <f>"009934303866"</f>
        <v>009934303866</v>
      </c>
      <c r="F3" s="1">
        <v>42429</v>
      </c>
      <c r="G3">
        <v>201609</v>
      </c>
      <c r="H3" t="s">
        <v>74</v>
      </c>
      <c r="I3" t="s">
        <v>75</v>
      </c>
      <c r="J3" t="s">
        <v>89</v>
      </c>
      <c r="K3" t="s">
        <v>77</v>
      </c>
      <c r="L3" t="s">
        <v>90</v>
      </c>
      <c r="M3" t="s">
        <v>91</v>
      </c>
      <c r="N3" t="s">
        <v>92</v>
      </c>
      <c r="O3" t="s">
        <v>81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2.42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60.07</v>
      </c>
      <c r="BM3">
        <v>8.41</v>
      </c>
      <c r="BN3">
        <v>68.48</v>
      </c>
      <c r="BO3">
        <v>68.48</v>
      </c>
      <c r="BQ3" t="s">
        <v>93</v>
      </c>
      <c r="BR3" t="s">
        <v>83</v>
      </c>
      <c r="BS3" s="1">
        <v>42430</v>
      </c>
      <c r="BT3" s="2">
        <v>0.4381944444444445</v>
      </c>
      <c r="BU3" t="s">
        <v>94</v>
      </c>
      <c r="BV3" t="s">
        <v>85</v>
      </c>
      <c r="BY3">
        <v>1200</v>
      </c>
      <c r="CC3" t="s">
        <v>91</v>
      </c>
      <c r="CD3">
        <v>3620</v>
      </c>
      <c r="CE3" t="s">
        <v>86</v>
      </c>
      <c r="CF3" s="1">
        <v>42434</v>
      </c>
      <c r="CI3">
        <v>0</v>
      </c>
      <c r="CJ3">
        <v>0</v>
      </c>
      <c r="CK3" t="s">
        <v>95</v>
      </c>
      <c r="CL3" t="s">
        <v>88</v>
      </c>
    </row>
    <row r="4" spans="1:91" x14ac:dyDescent="0.3">
      <c r="A4" t="s">
        <v>71</v>
      </c>
      <c r="B4" t="s">
        <v>72</v>
      </c>
      <c r="C4" t="s">
        <v>73</v>
      </c>
      <c r="E4" t="str">
        <f>"009934303851"</f>
        <v>009934303851</v>
      </c>
      <c r="F4" s="1">
        <v>42429</v>
      </c>
      <c r="G4">
        <v>201609</v>
      </c>
      <c r="H4" t="s">
        <v>74</v>
      </c>
      <c r="I4" t="s">
        <v>75</v>
      </c>
      <c r="J4" t="s">
        <v>76</v>
      </c>
      <c r="K4" t="s">
        <v>77</v>
      </c>
      <c r="L4" t="s">
        <v>96</v>
      </c>
      <c r="M4" t="s">
        <v>97</v>
      </c>
      <c r="N4" t="s">
        <v>98</v>
      </c>
      <c r="O4" t="s">
        <v>81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2.42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60.07</v>
      </c>
      <c r="BM4">
        <v>8.41</v>
      </c>
      <c r="BN4">
        <v>68.48</v>
      </c>
      <c r="BO4">
        <v>68.48</v>
      </c>
      <c r="BQ4" t="s">
        <v>99</v>
      </c>
      <c r="BR4" t="s">
        <v>83</v>
      </c>
      <c r="BS4" s="1">
        <v>42430</v>
      </c>
      <c r="BT4" s="2">
        <v>0.33680555555555558</v>
      </c>
      <c r="BU4" t="s">
        <v>100</v>
      </c>
      <c r="BV4" t="s">
        <v>85</v>
      </c>
      <c r="BY4">
        <v>1200</v>
      </c>
      <c r="CC4" t="s">
        <v>97</v>
      </c>
      <c r="CD4">
        <v>4000</v>
      </c>
      <c r="CE4" t="s">
        <v>86</v>
      </c>
      <c r="CF4" s="1">
        <v>42433</v>
      </c>
      <c r="CI4">
        <v>0</v>
      </c>
      <c r="CJ4">
        <v>0</v>
      </c>
      <c r="CK4" t="s">
        <v>95</v>
      </c>
      <c r="CL4" t="s">
        <v>88</v>
      </c>
    </row>
    <row r="5" spans="1:91" x14ac:dyDescent="0.3">
      <c r="A5" t="s">
        <v>71</v>
      </c>
      <c r="B5" t="s">
        <v>72</v>
      </c>
      <c r="C5" t="s">
        <v>73</v>
      </c>
      <c r="E5" t="str">
        <f>"009934303865"</f>
        <v>009934303865</v>
      </c>
      <c r="F5" s="1">
        <v>42429</v>
      </c>
      <c r="G5">
        <v>201609</v>
      </c>
      <c r="H5" t="s">
        <v>74</v>
      </c>
      <c r="I5" t="s">
        <v>75</v>
      </c>
      <c r="J5" t="s">
        <v>76</v>
      </c>
      <c r="K5" t="s">
        <v>77</v>
      </c>
      <c r="L5" t="s">
        <v>101</v>
      </c>
      <c r="M5" t="s">
        <v>102</v>
      </c>
      <c r="N5" t="s">
        <v>103</v>
      </c>
      <c r="O5" t="s">
        <v>81</v>
      </c>
      <c r="P5" t="str">
        <f>"....                          "</f>
        <v xml:space="preserve">....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3.52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1.1000000000000001</v>
      </c>
      <c r="BJ5">
        <v>2.6</v>
      </c>
      <c r="BK5">
        <v>3</v>
      </c>
      <c r="BL5">
        <v>85.16</v>
      </c>
      <c r="BM5">
        <v>11.92</v>
      </c>
      <c r="BN5">
        <v>97.08</v>
      </c>
      <c r="BO5">
        <v>97.08</v>
      </c>
      <c r="BQ5" t="s">
        <v>104</v>
      </c>
      <c r="BR5" t="s">
        <v>83</v>
      </c>
      <c r="BS5" s="1">
        <v>42430</v>
      </c>
      <c r="BT5" s="2">
        <v>0.41666666666666669</v>
      </c>
      <c r="BU5" t="s">
        <v>105</v>
      </c>
      <c r="BV5" t="s">
        <v>85</v>
      </c>
      <c r="BY5">
        <v>13146.84</v>
      </c>
      <c r="CC5" t="s">
        <v>102</v>
      </c>
      <c r="CD5">
        <v>7708</v>
      </c>
      <c r="CE5" t="s">
        <v>86</v>
      </c>
      <c r="CF5" s="1">
        <v>42436</v>
      </c>
      <c r="CI5">
        <v>0</v>
      </c>
      <c r="CJ5">
        <v>0</v>
      </c>
      <c r="CK5" t="s">
        <v>106</v>
      </c>
      <c r="CL5" t="s">
        <v>88</v>
      </c>
    </row>
    <row r="6" spans="1:91" x14ac:dyDescent="0.3">
      <c r="A6" t="s">
        <v>71</v>
      </c>
      <c r="B6" t="s">
        <v>72</v>
      </c>
      <c r="C6" t="s">
        <v>73</v>
      </c>
      <c r="E6" t="str">
        <f>"009934303857"</f>
        <v>009934303857</v>
      </c>
      <c r="F6" s="1">
        <v>42429</v>
      </c>
      <c r="G6">
        <v>201609</v>
      </c>
      <c r="H6" t="s">
        <v>74</v>
      </c>
      <c r="I6" t="s">
        <v>75</v>
      </c>
      <c r="J6" t="s">
        <v>76</v>
      </c>
      <c r="K6" t="s">
        <v>77</v>
      </c>
      <c r="L6" t="s">
        <v>74</v>
      </c>
      <c r="M6" t="s">
        <v>75</v>
      </c>
      <c r="N6" t="s">
        <v>107</v>
      </c>
      <c r="O6" t="s">
        <v>81</v>
      </c>
      <c r="P6" t="str">
        <f>"....                          "</f>
        <v xml:space="preserve">....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2.42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60.07</v>
      </c>
      <c r="BM6">
        <v>8.41</v>
      </c>
      <c r="BN6">
        <v>68.48</v>
      </c>
      <c r="BO6">
        <v>68.48</v>
      </c>
      <c r="BQ6" t="s">
        <v>108</v>
      </c>
      <c r="BR6" t="s">
        <v>83</v>
      </c>
      <c r="BS6" s="1">
        <v>42432</v>
      </c>
      <c r="BT6" s="2">
        <v>0.68263888888888891</v>
      </c>
      <c r="BU6" t="s">
        <v>109</v>
      </c>
      <c r="BV6" t="s">
        <v>88</v>
      </c>
      <c r="BW6" t="s">
        <v>110</v>
      </c>
      <c r="BX6" t="s">
        <v>111</v>
      </c>
      <c r="BY6">
        <v>1200</v>
      </c>
      <c r="CC6" t="s">
        <v>75</v>
      </c>
      <c r="CD6">
        <v>2001</v>
      </c>
      <c r="CE6" t="s">
        <v>86</v>
      </c>
      <c r="CF6" s="1">
        <v>42437</v>
      </c>
      <c r="CI6">
        <v>0</v>
      </c>
      <c r="CJ6">
        <v>0</v>
      </c>
      <c r="CK6" t="s">
        <v>112</v>
      </c>
      <c r="CL6" t="s">
        <v>88</v>
      </c>
    </row>
    <row r="7" spans="1:91" x14ac:dyDescent="0.3">
      <c r="A7" t="s">
        <v>71</v>
      </c>
      <c r="B7" t="s">
        <v>72</v>
      </c>
      <c r="C7" t="s">
        <v>73</v>
      </c>
      <c r="E7" t="str">
        <f>"009934303858"</f>
        <v>009934303858</v>
      </c>
      <c r="F7" s="1">
        <v>42429</v>
      </c>
      <c r="G7">
        <v>201609</v>
      </c>
      <c r="H7" t="s">
        <v>74</v>
      </c>
      <c r="I7" t="s">
        <v>75</v>
      </c>
      <c r="J7" t="s">
        <v>76</v>
      </c>
      <c r="K7" t="s">
        <v>77</v>
      </c>
      <c r="L7" t="s">
        <v>101</v>
      </c>
      <c r="M7" t="s">
        <v>102</v>
      </c>
      <c r="N7" t="s">
        <v>113</v>
      </c>
      <c r="O7" t="s">
        <v>81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3.52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85.16</v>
      </c>
      <c r="BM7">
        <v>11.92</v>
      </c>
      <c r="BN7">
        <v>97.08</v>
      </c>
      <c r="BO7">
        <v>97.08</v>
      </c>
      <c r="BQ7" t="s">
        <v>114</v>
      </c>
      <c r="BR7" t="s">
        <v>83</v>
      </c>
      <c r="BS7" s="1">
        <v>42430</v>
      </c>
      <c r="BT7" s="2">
        <v>0.41666666666666669</v>
      </c>
      <c r="BU7" t="s">
        <v>115</v>
      </c>
      <c r="BV7" t="s">
        <v>85</v>
      </c>
      <c r="BY7">
        <v>1200</v>
      </c>
      <c r="CC7" t="s">
        <v>102</v>
      </c>
      <c r="CD7">
        <v>7499</v>
      </c>
      <c r="CE7" t="s">
        <v>86</v>
      </c>
      <c r="CF7" s="1">
        <v>42434</v>
      </c>
      <c r="CI7">
        <v>0</v>
      </c>
      <c r="CJ7">
        <v>0</v>
      </c>
      <c r="CK7" t="s">
        <v>106</v>
      </c>
      <c r="CL7" t="s">
        <v>88</v>
      </c>
    </row>
    <row r="8" spans="1:91" x14ac:dyDescent="0.3">
      <c r="A8" t="s">
        <v>71</v>
      </c>
      <c r="B8" t="s">
        <v>72</v>
      </c>
      <c r="C8" t="s">
        <v>73</v>
      </c>
      <c r="E8" t="str">
        <f>"009935164340"</f>
        <v>009935164340</v>
      </c>
      <c r="F8" s="1">
        <v>42429</v>
      </c>
      <c r="G8">
        <v>201609</v>
      </c>
      <c r="H8" t="s">
        <v>74</v>
      </c>
      <c r="I8" t="s">
        <v>75</v>
      </c>
      <c r="J8" t="s">
        <v>116</v>
      </c>
      <c r="K8" t="s">
        <v>77</v>
      </c>
      <c r="L8" t="s">
        <v>117</v>
      </c>
      <c r="M8" t="s">
        <v>118</v>
      </c>
      <c r="N8" t="s">
        <v>119</v>
      </c>
      <c r="O8" t="s">
        <v>81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4.1900000000000004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0.2</v>
      </c>
      <c r="BK8">
        <v>1</v>
      </c>
      <c r="BL8">
        <v>100.45</v>
      </c>
      <c r="BM8">
        <v>14.06</v>
      </c>
      <c r="BN8">
        <v>114.51</v>
      </c>
      <c r="BO8">
        <v>114.51</v>
      </c>
      <c r="BQ8" t="s">
        <v>120</v>
      </c>
      <c r="BR8" t="s">
        <v>121</v>
      </c>
      <c r="BS8" s="1">
        <v>42431</v>
      </c>
      <c r="BT8" s="2">
        <v>0.69791666666666663</v>
      </c>
      <c r="BU8" t="s">
        <v>122</v>
      </c>
      <c r="BV8" t="s">
        <v>85</v>
      </c>
      <c r="BY8">
        <v>1200</v>
      </c>
      <c r="CC8" t="s">
        <v>118</v>
      </c>
      <c r="CD8">
        <v>7200</v>
      </c>
      <c r="CE8" t="s">
        <v>86</v>
      </c>
      <c r="CF8" s="1">
        <v>42437</v>
      </c>
      <c r="CI8">
        <v>0</v>
      </c>
      <c r="CJ8">
        <v>0</v>
      </c>
      <c r="CK8" t="s">
        <v>123</v>
      </c>
      <c r="CL8" t="s">
        <v>88</v>
      </c>
    </row>
    <row r="9" spans="1:91" x14ac:dyDescent="0.3">
      <c r="A9" t="s">
        <v>71</v>
      </c>
      <c r="B9" t="s">
        <v>72</v>
      </c>
      <c r="C9" t="s">
        <v>73</v>
      </c>
      <c r="E9" t="str">
        <f>"009935164338"</f>
        <v>009935164338</v>
      </c>
      <c r="F9" s="1">
        <v>42429</v>
      </c>
      <c r="G9">
        <v>201609</v>
      </c>
      <c r="H9" t="s">
        <v>74</v>
      </c>
      <c r="I9" t="s">
        <v>75</v>
      </c>
      <c r="J9" t="s">
        <v>116</v>
      </c>
      <c r="K9" t="s">
        <v>77</v>
      </c>
      <c r="L9" t="s">
        <v>101</v>
      </c>
      <c r="M9" t="s">
        <v>102</v>
      </c>
      <c r="N9" t="s">
        <v>124</v>
      </c>
      <c r="O9" t="s">
        <v>81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3.52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85.16</v>
      </c>
      <c r="BM9">
        <v>11.92</v>
      </c>
      <c r="BN9">
        <v>97.08</v>
      </c>
      <c r="BO9">
        <v>97.08</v>
      </c>
      <c r="BQ9" t="s">
        <v>125</v>
      </c>
      <c r="BR9" t="s">
        <v>121</v>
      </c>
      <c r="BS9" s="1">
        <v>42430</v>
      </c>
      <c r="BT9" s="2">
        <v>0.42291666666666666</v>
      </c>
      <c r="BU9" t="s">
        <v>126</v>
      </c>
      <c r="BV9" t="s">
        <v>85</v>
      </c>
      <c r="BY9">
        <v>1200</v>
      </c>
      <c r="CC9" t="s">
        <v>102</v>
      </c>
      <c r="CD9">
        <v>7535</v>
      </c>
      <c r="CE9" t="s">
        <v>86</v>
      </c>
      <c r="CF9" s="1">
        <v>42433</v>
      </c>
      <c r="CI9">
        <v>0</v>
      </c>
      <c r="CJ9">
        <v>0</v>
      </c>
      <c r="CK9" t="s">
        <v>106</v>
      </c>
      <c r="CL9" t="s">
        <v>88</v>
      </c>
    </row>
    <row r="10" spans="1:91" x14ac:dyDescent="0.3">
      <c r="A10" t="s">
        <v>71</v>
      </c>
      <c r="B10" t="s">
        <v>72</v>
      </c>
      <c r="C10" t="s">
        <v>73</v>
      </c>
      <c r="E10" t="str">
        <f>"009934303869"</f>
        <v>009934303869</v>
      </c>
      <c r="F10" s="1">
        <v>42426</v>
      </c>
      <c r="G10">
        <v>201609</v>
      </c>
      <c r="H10" t="s">
        <v>74</v>
      </c>
      <c r="I10" t="s">
        <v>75</v>
      </c>
      <c r="J10" t="s">
        <v>76</v>
      </c>
      <c r="K10" t="s">
        <v>77</v>
      </c>
      <c r="L10" t="s">
        <v>127</v>
      </c>
      <c r="M10" t="s">
        <v>128</v>
      </c>
      <c r="N10" t="s">
        <v>129</v>
      </c>
      <c r="O10" t="s">
        <v>81</v>
      </c>
      <c r="P10" t="str">
        <f t="shared" ref="P10:P24" si="0">"....                          "</f>
        <v xml:space="preserve">....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3.52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1</v>
      </c>
      <c r="BL10">
        <v>85.16</v>
      </c>
      <c r="BM10">
        <v>11.92</v>
      </c>
      <c r="BN10">
        <v>97.08</v>
      </c>
      <c r="BO10">
        <v>97.08</v>
      </c>
      <c r="BQ10" t="s">
        <v>130</v>
      </c>
      <c r="BR10" t="s">
        <v>83</v>
      </c>
      <c r="BS10" s="1">
        <v>42429</v>
      </c>
      <c r="BT10" s="2">
        <v>0.51736111111111105</v>
      </c>
      <c r="BU10" t="s">
        <v>131</v>
      </c>
      <c r="BV10" t="s">
        <v>85</v>
      </c>
      <c r="BY10">
        <v>1200</v>
      </c>
      <c r="CC10" t="s">
        <v>128</v>
      </c>
      <c r="CD10">
        <v>5247</v>
      </c>
      <c r="CE10" t="s">
        <v>86</v>
      </c>
      <c r="CF10" s="1">
        <v>42436</v>
      </c>
      <c r="CI10">
        <v>0</v>
      </c>
      <c r="CJ10">
        <v>0</v>
      </c>
      <c r="CK10" t="s">
        <v>132</v>
      </c>
      <c r="CL10" t="s">
        <v>88</v>
      </c>
    </row>
    <row r="11" spans="1:91" x14ac:dyDescent="0.3">
      <c r="A11" t="s">
        <v>71</v>
      </c>
      <c r="B11" t="s">
        <v>72</v>
      </c>
      <c r="C11" t="s">
        <v>73</v>
      </c>
      <c r="E11" t="str">
        <f>"009934303870"</f>
        <v>009934303870</v>
      </c>
      <c r="F11" s="1">
        <v>42426</v>
      </c>
      <c r="G11">
        <v>201609</v>
      </c>
      <c r="H11" t="s">
        <v>74</v>
      </c>
      <c r="I11" t="s">
        <v>75</v>
      </c>
      <c r="J11" t="s">
        <v>76</v>
      </c>
      <c r="K11" t="s">
        <v>77</v>
      </c>
      <c r="L11" t="s">
        <v>74</v>
      </c>
      <c r="M11" t="s">
        <v>75</v>
      </c>
      <c r="N11" t="s">
        <v>133</v>
      </c>
      <c r="O11" t="s">
        <v>81</v>
      </c>
      <c r="P11" t="str">
        <f t="shared" si="0"/>
        <v xml:space="preserve">....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2.42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0.2</v>
      </c>
      <c r="BK11">
        <v>1</v>
      </c>
      <c r="BL11">
        <v>60.07</v>
      </c>
      <c r="BM11">
        <v>8.41</v>
      </c>
      <c r="BN11">
        <v>68.48</v>
      </c>
      <c r="BO11">
        <v>68.48</v>
      </c>
      <c r="BQ11" t="s">
        <v>134</v>
      </c>
      <c r="BR11" t="s">
        <v>83</v>
      </c>
      <c r="BS11" s="1">
        <v>42429</v>
      </c>
      <c r="BT11" s="2">
        <v>0.47430555555555554</v>
      </c>
      <c r="BU11" t="s">
        <v>135</v>
      </c>
      <c r="BV11" t="s">
        <v>85</v>
      </c>
      <c r="BY11">
        <v>1200</v>
      </c>
      <c r="CC11" t="s">
        <v>75</v>
      </c>
      <c r="CD11">
        <v>2115</v>
      </c>
      <c r="CE11" t="s">
        <v>86</v>
      </c>
      <c r="CF11" s="1">
        <v>42433</v>
      </c>
      <c r="CI11">
        <v>0</v>
      </c>
      <c r="CJ11">
        <v>0</v>
      </c>
      <c r="CK11" t="s">
        <v>112</v>
      </c>
      <c r="CL11" t="s">
        <v>88</v>
      </c>
    </row>
    <row r="12" spans="1:91" x14ac:dyDescent="0.3">
      <c r="A12" t="s">
        <v>71</v>
      </c>
      <c r="B12" t="s">
        <v>72</v>
      </c>
      <c r="C12" t="s">
        <v>73</v>
      </c>
      <c r="E12" t="str">
        <f>"009934303853"</f>
        <v>009934303853</v>
      </c>
      <c r="F12" s="1">
        <v>42429</v>
      </c>
      <c r="G12">
        <v>201609</v>
      </c>
      <c r="H12" t="s">
        <v>74</v>
      </c>
      <c r="I12" t="s">
        <v>75</v>
      </c>
      <c r="J12" t="s">
        <v>76</v>
      </c>
      <c r="K12" t="s">
        <v>77</v>
      </c>
      <c r="L12" t="s">
        <v>136</v>
      </c>
      <c r="M12" t="s">
        <v>137</v>
      </c>
      <c r="N12" t="s">
        <v>138</v>
      </c>
      <c r="O12" t="s">
        <v>81</v>
      </c>
      <c r="P12" t="str">
        <f t="shared" si="0"/>
        <v xml:space="preserve">....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2.42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0.2</v>
      </c>
      <c r="BK12">
        <v>1</v>
      </c>
      <c r="BL12">
        <v>60.07</v>
      </c>
      <c r="BM12">
        <v>8.41</v>
      </c>
      <c r="BN12">
        <v>68.48</v>
      </c>
      <c r="BO12">
        <v>68.48</v>
      </c>
      <c r="BQ12" t="s">
        <v>139</v>
      </c>
      <c r="BR12" t="s">
        <v>83</v>
      </c>
      <c r="BS12" s="1">
        <v>42430</v>
      </c>
      <c r="BT12" s="2">
        <v>0.36944444444444446</v>
      </c>
      <c r="BU12" t="s">
        <v>140</v>
      </c>
      <c r="BV12" t="s">
        <v>85</v>
      </c>
      <c r="BY12">
        <v>1200</v>
      </c>
      <c r="CC12" t="s">
        <v>137</v>
      </c>
      <c r="CD12">
        <v>9300</v>
      </c>
      <c r="CE12" t="s">
        <v>86</v>
      </c>
      <c r="CF12" s="1">
        <v>42436</v>
      </c>
      <c r="CI12">
        <v>0</v>
      </c>
      <c r="CJ12">
        <v>0</v>
      </c>
      <c r="CK12" t="s">
        <v>87</v>
      </c>
      <c r="CL12" t="s">
        <v>88</v>
      </c>
    </row>
    <row r="13" spans="1:91" x14ac:dyDescent="0.3">
      <c r="A13" t="s">
        <v>71</v>
      </c>
      <c r="B13" t="s">
        <v>72</v>
      </c>
      <c r="C13" t="s">
        <v>73</v>
      </c>
      <c r="E13" t="str">
        <f>"009934303849"</f>
        <v>009934303849</v>
      </c>
      <c r="F13" s="1">
        <v>42429</v>
      </c>
      <c r="G13">
        <v>201609</v>
      </c>
      <c r="H13" t="s">
        <v>74</v>
      </c>
      <c r="I13" t="s">
        <v>75</v>
      </c>
      <c r="J13" t="s">
        <v>76</v>
      </c>
      <c r="K13" t="s">
        <v>77</v>
      </c>
      <c r="L13" t="s">
        <v>141</v>
      </c>
      <c r="M13" t="s">
        <v>142</v>
      </c>
      <c r="N13" t="s">
        <v>143</v>
      </c>
      <c r="O13" t="s">
        <v>81</v>
      </c>
      <c r="P13" t="str">
        <f t="shared" si="0"/>
        <v xml:space="preserve">....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2.42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0.7</v>
      </c>
      <c r="BK13">
        <v>1</v>
      </c>
      <c r="BL13">
        <v>60.07</v>
      </c>
      <c r="BM13">
        <v>8.41</v>
      </c>
      <c r="BN13">
        <v>68.48</v>
      </c>
      <c r="BO13">
        <v>68.48</v>
      </c>
      <c r="BQ13" t="s">
        <v>144</v>
      </c>
      <c r="BR13" t="s">
        <v>83</v>
      </c>
      <c r="BS13" s="1">
        <v>42430</v>
      </c>
      <c r="BT13" s="2">
        <v>0.61041666666666672</v>
      </c>
      <c r="BU13" t="s">
        <v>145</v>
      </c>
      <c r="BV13" t="s">
        <v>85</v>
      </c>
      <c r="BY13">
        <v>3286.85</v>
      </c>
      <c r="CC13" t="s">
        <v>142</v>
      </c>
      <c r="CD13">
        <v>1709</v>
      </c>
      <c r="CE13" t="s">
        <v>86</v>
      </c>
      <c r="CF13" s="1">
        <v>42433</v>
      </c>
      <c r="CI13">
        <v>0</v>
      </c>
      <c r="CJ13">
        <v>0</v>
      </c>
      <c r="CK13" t="s">
        <v>112</v>
      </c>
      <c r="CL13" t="s">
        <v>88</v>
      </c>
    </row>
    <row r="14" spans="1:91" x14ac:dyDescent="0.3">
      <c r="A14" t="s">
        <v>71</v>
      </c>
      <c r="B14" t="s">
        <v>72</v>
      </c>
      <c r="C14" t="s">
        <v>73</v>
      </c>
      <c r="E14" t="str">
        <f>"009934303868"</f>
        <v>009934303868</v>
      </c>
      <c r="F14" s="1">
        <v>42429</v>
      </c>
      <c r="G14">
        <v>201609</v>
      </c>
      <c r="H14" t="s">
        <v>74</v>
      </c>
      <c r="I14" t="s">
        <v>75</v>
      </c>
      <c r="J14" t="s">
        <v>76</v>
      </c>
      <c r="K14" t="s">
        <v>77</v>
      </c>
      <c r="L14" t="s">
        <v>136</v>
      </c>
      <c r="M14" t="s">
        <v>137</v>
      </c>
      <c r="N14" t="s">
        <v>146</v>
      </c>
      <c r="O14" t="s">
        <v>81</v>
      </c>
      <c r="P14" t="str">
        <f t="shared" si="0"/>
        <v xml:space="preserve">....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2.42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0.8</v>
      </c>
      <c r="BJ14">
        <v>0.9</v>
      </c>
      <c r="BK14">
        <v>1</v>
      </c>
      <c r="BL14">
        <v>60.07</v>
      </c>
      <c r="BM14">
        <v>8.41</v>
      </c>
      <c r="BN14">
        <v>68.48</v>
      </c>
      <c r="BO14">
        <v>68.48</v>
      </c>
      <c r="BQ14" t="s">
        <v>147</v>
      </c>
      <c r="BR14" t="s">
        <v>83</v>
      </c>
      <c r="BS14" s="1">
        <v>42430</v>
      </c>
      <c r="BT14" s="2">
        <v>0.36805555555555558</v>
      </c>
      <c r="BU14" t="s">
        <v>148</v>
      </c>
      <c r="BV14" t="s">
        <v>85</v>
      </c>
      <c r="BY14">
        <v>4589.54</v>
      </c>
      <c r="CC14" t="s">
        <v>137</v>
      </c>
      <c r="CD14">
        <v>9300</v>
      </c>
      <c r="CE14" t="s">
        <v>86</v>
      </c>
      <c r="CF14" s="1">
        <v>42436</v>
      </c>
      <c r="CI14">
        <v>0</v>
      </c>
      <c r="CJ14">
        <v>0</v>
      </c>
      <c r="CK14" t="s">
        <v>87</v>
      </c>
      <c r="CL14" t="s">
        <v>88</v>
      </c>
    </row>
    <row r="15" spans="1:91" x14ac:dyDescent="0.3">
      <c r="A15" t="s">
        <v>71</v>
      </c>
      <c r="B15" t="s">
        <v>72</v>
      </c>
      <c r="C15" t="s">
        <v>73</v>
      </c>
      <c r="E15" t="str">
        <f>"009934303864"</f>
        <v>009934303864</v>
      </c>
      <c r="F15" s="1">
        <v>42429</v>
      </c>
      <c r="G15">
        <v>201609</v>
      </c>
      <c r="H15" t="s">
        <v>74</v>
      </c>
      <c r="I15" t="s">
        <v>75</v>
      </c>
      <c r="J15" t="s">
        <v>76</v>
      </c>
      <c r="K15" t="s">
        <v>77</v>
      </c>
      <c r="L15" t="s">
        <v>149</v>
      </c>
      <c r="M15" t="s">
        <v>150</v>
      </c>
      <c r="N15" t="s">
        <v>151</v>
      </c>
      <c r="O15" t="s">
        <v>81</v>
      </c>
      <c r="P15" t="str">
        <f t="shared" si="0"/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4.1900000000000004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2.5</v>
      </c>
      <c r="BK15">
        <v>3</v>
      </c>
      <c r="BL15">
        <v>100.45</v>
      </c>
      <c r="BM15">
        <v>14.06</v>
      </c>
      <c r="BN15">
        <v>114.51</v>
      </c>
      <c r="BO15">
        <v>114.51</v>
      </c>
      <c r="BQ15" t="s">
        <v>152</v>
      </c>
      <c r="BR15" t="s">
        <v>83</v>
      </c>
      <c r="BS15" s="1">
        <v>42430</v>
      </c>
      <c r="BT15" s="2">
        <v>0.4201388888888889</v>
      </c>
      <c r="BU15" t="s">
        <v>153</v>
      </c>
      <c r="BY15">
        <v>12498.8</v>
      </c>
      <c r="CC15" t="s">
        <v>150</v>
      </c>
      <c r="CD15">
        <v>6530</v>
      </c>
      <c r="CE15" t="s">
        <v>86</v>
      </c>
      <c r="CF15" s="1">
        <v>42438</v>
      </c>
      <c r="CI15">
        <v>0</v>
      </c>
      <c r="CJ15">
        <v>0</v>
      </c>
      <c r="CK15" t="s">
        <v>123</v>
      </c>
      <c r="CL15" t="s">
        <v>88</v>
      </c>
    </row>
    <row r="16" spans="1:91" x14ac:dyDescent="0.3">
      <c r="A16" t="s">
        <v>71</v>
      </c>
      <c r="B16" t="s">
        <v>72</v>
      </c>
      <c r="C16" t="s">
        <v>73</v>
      </c>
      <c r="E16" t="str">
        <f>"009934303854"</f>
        <v>009934303854</v>
      </c>
      <c r="F16" s="1">
        <v>42429</v>
      </c>
      <c r="G16">
        <v>201609</v>
      </c>
      <c r="H16" t="s">
        <v>74</v>
      </c>
      <c r="I16" t="s">
        <v>75</v>
      </c>
      <c r="J16" t="s">
        <v>76</v>
      </c>
      <c r="K16" t="s">
        <v>77</v>
      </c>
      <c r="L16" t="s">
        <v>154</v>
      </c>
      <c r="M16" t="s">
        <v>155</v>
      </c>
      <c r="N16" t="s">
        <v>156</v>
      </c>
      <c r="O16" t="s">
        <v>81</v>
      </c>
      <c r="P16" t="str">
        <f t="shared" si="0"/>
        <v xml:space="preserve">....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3.52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85.16</v>
      </c>
      <c r="BM16">
        <v>11.92</v>
      </c>
      <c r="BN16">
        <v>97.08</v>
      </c>
      <c r="BO16">
        <v>97.08</v>
      </c>
      <c r="BQ16" t="s">
        <v>157</v>
      </c>
      <c r="BR16" t="s">
        <v>83</v>
      </c>
      <c r="BS16" s="1">
        <v>42430</v>
      </c>
      <c r="BT16" s="2">
        <v>0.54513888888888895</v>
      </c>
      <c r="BU16" t="s">
        <v>158</v>
      </c>
      <c r="BV16" t="s">
        <v>85</v>
      </c>
      <c r="BY16">
        <v>1200</v>
      </c>
      <c r="CC16" t="s">
        <v>155</v>
      </c>
      <c r="CD16">
        <v>4180</v>
      </c>
      <c r="CE16" t="s">
        <v>86</v>
      </c>
      <c r="CF16" s="1">
        <v>42434</v>
      </c>
      <c r="CI16">
        <v>0</v>
      </c>
      <c r="CJ16">
        <v>0</v>
      </c>
      <c r="CK16" t="s">
        <v>132</v>
      </c>
      <c r="CL16" t="s">
        <v>88</v>
      </c>
    </row>
    <row r="17" spans="1:90" x14ac:dyDescent="0.3">
      <c r="A17" t="s">
        <v>71</v>
      </c>
      <c r="B17" t="s">
        <v>72</v>
      </c>
      <c r="C17" t="s">
        <v>73</v>
      </c>
      <c r="E17" t="str">
        <f>"009934303861"</f>
        <v>009934303861</v>
      </c>
      <c r="F17" s="1">
        <v>42429</v>
      </c>
      <c r="G17">
        <v>201609</v>
      </c>
      <c r="H17" t="s">
        <v>74</v>
      </c>
      <c r="I17" t="s">
        <v>75</v>
      </c>
      <c r="J17" t="s">
        <v>76</v>
      </c>
      <c r="K17" t="s">
        <v>77</v>
      </c>
      <c r="L17" t="s">
        <v>159</v>
      </c>
      <c r="M17" t="s">
        <v>160</v>
      </c>
      <c r="N17" t="s">
        <v>161</v>
      </c>
      <c r="O17" t="s">
        <v>81</v>
      </c>
      <c r="P17" t="str">
        <f t="shared" si="0"/>
        <v xml:space="preserve">....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4.1900000000000004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0.5</v>
      </c>
      <c r="BK17">
        <v>1</v>
      </c>
      <c r="BL17">
        <v>100.45</v>
      </c>
      <c r="BM17">
        <v>14.06</v>
      </c>
      <c r="BN17">
        <v>114.51</v>
      </c>
      <c r="BO17">
        <v>114.51</v>
      </c>
      <c r="BQ17" t="s">
        <v>162</v>
      </c>
      <c r="BR17" t="s">
        <v>83</v>
      </c>
      <c r="BS17" s="1">
        <v>42430</v>
      </c>
      <c r="BT17" s="2">
        <v>0.55902777777777779</v>
      </c>
      <c r="BU17" t="s">
        <v>163</v>
      </c>
      <c r="BV17" t="s">
        <v>85</v>
      </c>
      <c r="BY17">
        <v>2400</v>
      </c>
      <c r="CC17" t="s">
        <v>160</v>
      </c>
      <c r="CD17">
        <v>6280</v>
      </c>
      <c r="CE17" t="s">
        <v>86</v>
      </c>
      <c r="CF17" s="1">
        <v>42437</v>
      </c>
      <c r="CI17">
        <v>0</v>
      </c>
      <c r="CJ17">
        <v>0</v>
      </c>
      <c r="CK17" t="s">
        <v>123</v>
      </c>
      <c r="CL17" t="s">
        <v>88</v>
      </c>
    </row>
    <row r="18" spans="1:90" x14ac:dyDescent="0.3">
      <c r="A18" t="s">
        <v>71</v>
      </c>
      <c r="B18" t="s">
        <v>72</v>
      </c>
      <c r="C18" t="s">
        <v>73</v>
      </c>
      <c r="E18" t="str">
        <f>"009934303863"</f>
        <v>009934303863</v>
      </c>
      <c r="F18" s="1">
        <v>42429</v>
      </c>
      <c r="G18">
        <v>201609</v>
      </c>
      <c r="H18" t="s">
        <v>74</v>
      </c>
      <c r="I18" t="s">
        <v>75</v>
      </c>
      <c r="J18" t="s">
        <v>76</v>
      </c>
      <c r="K18" t="s">
        <v>77</v>
      </c>
      <c r="L18" t="s">
        <v>78</v>
      </c>
      <c r="M18" t="s">
        <v>79</v>
      </c>
      <c r="N18" t="s">
        <v>164</v>
      </c>
      <c r="O18" t="s">
        <v>81</v>
      </c>
      <c r="P18" t="str">
        <f t="shared" si="0"/>
        <v xml:space="preserve">....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2.42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0.7</v>
      </c>
      <c r="BK18">
        <v>1</v>
      </c>
      <c r="BL18">
        <v>60.07</v>
      </c>
      <c r="BM18">
        <v>8.41</v>
      </c>
      <c r="BN18">
        <v>68.48</v>
      </c>
      <c r="BO18">
        <v>68.48</v>
      </c>
      <c r="BQ18" t="s">
        <v>165</v>
      </c>
      <c r="BR18" t="s">
        <v>83</v>
      </c>
      <c r="BS18" s="1">
        <v>42430</v>
      </c>
      <c r="BT18" s="2">
        <v>0.41666666666666669</v>
      </c>
      <c r="BU18" t="s">
        <v>166</v>
      </c>
      <c r="BV18" t="s">
        <v>85</v>
      </c>
      <c r="BY18">
        <v>3338.88</v>
      </c>
      <c r="CC18" t="s">
        <v>79</v>
      </c>
      <c r="CD18">
        <v>8301</v>
      </c>
      <c r="CE18" t="s">
        <v>86</v>
      </c>
      <c r="CF18" s="1">
        <v>42436</v>
      </c>
      <c r="CI18">
        <v>0</v>
      </c>
      <c r="CJ18">
        <v>0</v>
      </c>
      <c r="CK18" t="s">
        <v>87</v>
      </c>
      <c r="CL18" t="s">
        <v>88</v>
      </c>
    </row>
    <row r="19" spans="1:90" x14ac:dyDescent="0.3">
      <c r="A19" t="s">
        <v>71</v>
      </c>
      <c r="B19" t="s">
        <v>72</v>
      </c>
      <c r="C19" t="s">
        <v>73</v>
      </c>
      <c r="E19" t="str">
        <f>"009934303859"</f>
        <v>009934303859</v>
      </c>
      <c r="F19" s="1">
        <v>42429</v>
      </c>
      <c r="G19">
        <v>201609</v>
      </c>
      <c r="H19" t="s">
        <v>74</v>
      </c>
      <c r="I19" t="s">
        <v>75</v>
      </c>
      <c r="J19" t="s">
        <v>76</v>
      </c>
      <c r="K19" t="s">
        <v>77</v>
      </c>
      <c r="L19" t="s">
        <v>167</v>
      </c>
      <c r="M19" t="s">
        <v>168</v>
      </c>
      <c r="N19" t="s">
        <v>169</v>
      </c>
      <c r="O19" t="s">
        <v>81</v>
      </c>
      <c r="P19" t="str">
        <f t="shared" si="0"/>
        <v xml:space="preserve">....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2.42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60.07</v>
      </c>
      <c r="BM19">
        <v>8.41</v>
      </c>
      <c r="BN19">
        <v>68.48</v>
      </c>
      <c r="BO19">
        <v>68.48</v>
      </c>
      <c r="BQ19" t="s">
        <v>170</v>
      </c>
      <c r="BR19" t="s">
        <v>83</v>
      </c>
      <c r="BS19" s="1">
        <v>42430</v>
      </c>
      <c r="BT19" s="2">
        <v>0.43611111111111112</v>
      </c>
      <c r="BU19" t="s">
        <v>171</v>
      </c>
      <c r="BV19" t="s">
        <v>85</v>
      </c>
      <c r="BY19">
        <v>1200</v>
      </c>
      <c r="CC19" t="s">
        <v>168</v>
      </c>
      <c r="CD19">
        <v>2570</v>
      </c>
      <c r="CE19" t="s">
        <v>86</v>
      </c>
      <c r="CF19" s="1">
        <v>42436</v>
      </c>
      <c r="CI19">
        <v>0</v>
      </c>
      <c r="CJ19">
        <v>0</v>
      </c>
      <c r="CK19" t="s">
        <v>87</v>
      </c>
      <c r="CL19" t="s">
        <v>88</v>
      </c>
    </row>
    <row r="20" spans="1:90" x14ac:dyDescent="0.3">
      <c r="A20" t="s">
        <v>71</v>
      </c>
      <c r="B20" t="s">
        <v>72</v>
      </c>
      <c r="C20" t="s">
        <v>73</v>
      </c>
      <c r="E20" t="str">
        <f>"009934303860"</f>
        <v>009934303860</v>
      </c>
      <c r="F20" s="1">
        <v>42429</v>
      </c>
      <c r="G20">
        <v>201609</v>
      </c>
      <c r="H20" t="s">
        <v>74</v>
      </c>
      <c r="I20" t="s">
        <v>75</v>
      </c>
      <c r="J20" t="s">
        <v>76</v>
      </c>
      <c r="K20" t="s">
        <v>77</v>
      </c>
      <c r="L20" t="s">
        <v>172</v>
      </c>
      <c r="M20" t="s">
        <v>173</v>
      </c>
      <c r="N20" t="s">
        <v>174</v>
      </c>
      <c r="O20" t="s">
        <v>81</v>
      </c>
      <c r="P20" t="str">
        <f t="shared" si="0"/>
        <v xml:space="preserve">....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2.42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0.2</v>
      </c>
      <c r="BK20">
        <v>1</v>
      </c>
      <c r="BL20">
        <v>60.07</v>
      </c>
      <c r="BM20">
        <v>8.41</v>
      </c>
      <c r="BN20">
        <v>68.48</v>
      </c>
      <c r="BO20">
        <v>68.48</v>
      </c>
      <c r="BQ20" t="s">
        <v>175</v>
      </c>
      <c r="BR20" t="s">
        <v>83</v>
      </c>
      <c r="BS20" s="1">
        <v>42430</v>
      </c>
      <c r="BT20" s="2">
        <v>0.43541666666666662</v>
      </c>
      <c r="BU20" t="s">
        <v>176</v>
      </c>
      <c r="BV20" t="s">
        <v>85</v>
      </c>
      <c r="BY20">
        <v>1200</v>
      </c>
      <c r="CC20" t="s">
        <v>173</v>
      </c>
      <c r="CD20">
        <v>700</v>
      </c>
      <c r="CE20" t="s">
        <v>86</v>
      </c>
      <c r="CF20" s="1">
        <v>42433</v>
      </c>
      <c r="CI20">
        <v>0</v>
      </c>
      <c r="CJ20">
        <v>0</v>
      </c>
      <c r="CK20" t="s">
        <v>87</v>
      </c>
      <c r="CL20" t="s">
        <v>88</v>
      </c>
    </row>
    <row r="21" spans="1:90" x14ac:dyDescent="0.3">
      <c r="A21" t="s">
        <v>71</v>
      </c>
      <c r="B21" t="s">
        <v>72</v>
      </c>
      <c r="C21" t="s">
        <v>73</v>
      </c>
      <c r="E21" t="str">
        <f>"009934303852"</f>
        <v>009934303852</v>
      </c>
      <c r="F21" s="1">
        <v>42429</v>
      </c>
      <c r="G21">
        <v>201609</v>
      </c>
      <c r="H21" t="s">
        <v>74</v>
      </c>
      <c r="I21" t="s">
        <v>75</v>
      </c>
      <c r="J21" t="s">
        <v>76</v>
      </c>
      <c r="K21" t="s">
        <v>77</v>
      </c>
      <c r="L21" t="s">
        <v>101</v>
      </c>
      <c r="M21" t="s">
        <v>102</v>
      </c>
      <c r="N21" t="s">
        <v>177</v>
      </c>
      <c r="O21" t="s">
        <v>81</v>
      </c>
      <c r="P21" t="str">
        <f t="shared" si="0"/>
        <v xml:space="preserve">....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3.52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85.16</v>
      </c>
      <c r="BM21">
        <v>11.92</v>
      </c>
      <c r="BN21">
        <v>97.08</v>
      </c>
      <c r="BO21">
        <v>97.08</v>
      </c>
      <c r="BQ21" t="s">
        <v>178</v>
      </c>
      <c r="BR21" t="s">
        <v>83</v>
      </c>
      <c r="BS21" s="1">
        <v>42431</v>
      </c>
      <c r="BT21" s="2">
        <v>0.4381944444444445</v>
      </c>
      <c r="BU21" t="s">
        <v>179</v>
      </c>
      <c r="BV21" t="s">
        <v>85</v>
      </c>
      <c r="BY21">
        <v>1200</v>
      </c>
      <c r="CC21" t="s">
        <v>102</v>
      </c>
      <c r="CD21">
        <v>7441</v>
      </c>
      <c r="CE21" t="s">
        <v>86</v>
      </c>
      <c r="CF21" s="1">
        <v>42436</v>
      </c>
      <c r="CI21">
        <v>0</v>
      </c>
      <c r="CJ21">
        <v>0</v>
      </c>
      <c r="CK21" t="s">
        <v>106</v>
      </c>
      <c r="CL21" t="s">
        <v>88</v>
      </c>
    </row>
    <row r="22" spans="1:90" x14ac:dyDescent="0.3">
      <c r="A22" t="s">
        <v>71</v>
      </c>
      <c r="B22" t="s">
        <v>72</v>
      </c>
      <c r="C22" t="s">
        <v>73</v>
      </c>
      <c r="E22" t="str">
        <f>"009934303856"</f>
        <v>009934303856</v>
      </c>
      <c r="F22" s="1">
        <v>42429</v>
      </c>
      <c r="G22">
        <v>201609</v>
      </c>
      <c r="H22" t="s">
        <v>74</v>
      </c>
      <c r="I22" t="s">
        <v>75</v>
      </c>
      <c r="J22" t="s">
        <v>76</v>
      </c>
      <c r="K22" t="s">
        <v>77</v>
      </c>
      <c r="L22" t="s">
        <v>101</v>
      </c>
      <c r="M22" t="s">
        <v>102</v>
      </c>
      <c r="N22" t="s">
        <v>180</v>
      </c>
      <c r="O22" t="s">
        <v>81</v>
      </c>
      <c r="P22" t="str">
        <f t="shared" si="0"/>
        <v xml:space="preserve">....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3.52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0.8</v>
      </c>
      <c r="BJ22">
        <v>2.9</v>
      </c>
      <c r="BK22">
        <v>3</v>
      </c>
      <c r="BL22">
        <v>85.16</v>
      </c>
      <c r="BM22">
        <v>11.92</v>
      </c>
      <c r="BN22">
        <v>97.08</v>
      </c>
      <c r="BO22">
        <v>97.08</v>
      </c>
      <c r="BQ22" t="s">
        <v>181</v>
      </c>
      <c r="BR22" t="s">
        <v>83</v>
      </c>
      <c r="BS22" s="1">
        <v>42432</v>
      </c>
      <c r="BT22" s="2">
        <v>0.41666666666666669</v>
      </c>
      <c r="BU22" t="s">
        <v>182</v>
      </c>
      <c r="BV22" t="s">
        <v>88</v>
      </c>
      <c r="BW22" t="s">
        <v>183</v>
      </c>
      <c r="BX22" t="s">
        <v>184</v>
      </c>
      <c r="BY22">
        <v>14564.2</v>
      </c>
      <c r="CC22" t="s">
        <v>102</v>
      </c>
      <c r="CD22">
        <v>7405</v>
      </c>
      <c r="CE22" t="s">
        <v>86</v>
      </c>
      <c r="CF22" s="1">
        <v>42437</v>
      </c>
      <c r="CI22">
        <v>0</v>
      </c>
      <c r="CJ22">
        <v>0</v>
      </c>
      <c r="CK22" t="s">
        <v>106</v>
      </c>
      <c r="CL22" t="s">
        <v>88</v>
      </c>
    </row>
    <row r="23" spans="1:90" x14ac:dyDescent="0.3">
      <c r="A23" t="s">
        <v>71</v>
      </c>
      <c r="B23" t="s">
        <v>72</v>
      </c>
      <c r="C23" t="s">
        <v>73</v>
      </c>
      <c r="E23" t="str">
        <f>"009934303855"</f>
        <v>009934303855</v>
      </c>
      <c r="F23" s="1">
        <v>42429</v>
      </c>
      <c r="G23">
        <v>201609</v>
      </c>
      <c r="H23" t="s">
        <v>74</v>
      </c>
      <c r="I23" t="s">
        <v>75</v>
      </c>
      <c r="J23" t="s">
        <v>76</v>
      </c>
      <c r="K23" t="s">
        <v>77</v>
      </c>
      <c r="L23" t="s">
        <v>185</v>
      </c>
      <c r="M23" t="s">
        <v>186</v>
      </c>
      <c r="N23" t="s">
        <v>187</v>
      </c>
      <c r="O23" t="s">
        <v>81</v>
      </c>
      <c r="P23" t="str">
        <f t="shared" si="0"/>
        <v xml:space="preserve">....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4.1900000000000004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0.2</v>
      </c>
      <c r="BK23">
        <v>1</v>
      </c>
      <c r="BL23">
        <v>100.45</v>
      </c>
      <c r="BM23">
        <v>14.06</v>
      </c>
      <c r="BN23">
        <v>114.51</v>
      </c>
      <c r="BO23">
        <v>114.51</v>
      </c>
      <c r="BQ23" t="s">
        <v>188</v>
      </c>
      <c r="BR23" t="s">
        <v>83</v>
      </c>
      <c r="BS23" s="1">
        <v>42431</v>
      </c>
      <c r="BT23" s="2">
        <v>0.38541666666666669</v>
      </c>
      <c r="BU23" t="s">
        <v>189</v>
      </c>
      <c r="BV23" t="s">
        <v>85</v>
      </c>
      <c r="BY23">
        <v>1200</v>
      </c>
      <c r="CC23" t="s">
        <v>186</v>
      </c>
      <c r="CD23">
        <v>7280</v>
      </c>
      <c r="CE23" t="s">
        <v>86</v>
      </c>
      <c r="CF23" s="1">
        <v>42437</v>
      </c>
      <c r="CI23">
        <v>0</v>
      </c>
      <c r="CJ23">
        <v>0</v>
      </c>
      <c r="CK23" t="s">
        <v>123</v>
      </c>
      <c r="CL23" t="s">
        <v>88</v>
      </c>
    </row>
    <row r="24" spans="1:90" x14ac:dyDescent="0.3">
      <c r="A24" t="s">
        <v>71</v>
      </c>
      <c r="B24" t="s">
        <v>72</v>
      </c>
      <c r="C24" t="s">
        <v>73</v>
      </c>
      <c r="E24" t="str">
        <f>"009934303850"</f>
        <v>009934303850</v>
      </c>
      <c r="F24" s="1">
        <v>42429</v>
      </c>
      <c r="G24">
        <v>201609</v>
      </c>
      <c r="H24" t="s">
        <v>74</v>
      </c>
      <c r="I24" t="s">
        <v>75</v>
      </c>
      <c r="J24" t="s">
        <v>76</v>
      </c>
      <c r="K24" t="s">
        <v>77</v>
      </c>
      <c r="L24" t="s">
        <v>190</v>
      </c>
      <c r="M24" t="s">
        <v>191</v>
      </c>
      <c r="N24" t="s">
        <v>192</v>
      </c>
      <c r="O24" t="s">
        <v>81</v>
      </c>
      <c r="P24" t="str">
        <f t="shared" si="0"/>
        <v xml:space="preserve">....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2.95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72.3</v>
      </c>
      <c r="BM24">
        <v>10.119999999999999</v>
      </c>
      <c r="BN24">
        <v>82.42</v>
      </c>
      <c r="BO24">
        <v>82.42</v>
      </c>
      <c r="BQ24" t="s">
        <v>193</v>
      </c>
      <c r="BR24" t="s">
        <v>83</v>
      </c>
      <c r="BS24" s="1">
        <v>42430</v>
      </c>
      <c r="BT24" s="2">
        <v>0.41666666666666669</v>
      </c>
      <c r="BU24" t="s">
        <v>194</v>
      </c>
      <c r="BV24" t="s">
        <v>85</v>
      </c>
      <c r="BY24">
        <v>1200</v>
      </c>
      <c r="CC24" t="s">
        <v>191</v>
      </c>
      <c r="CD24">
        <v>1930</v>
      </c>
      <c r="CE24" t="s">
        <v>86</v>
      </c>
      <c r="CF24" s="1">
        <v>42436</v>
      </c>
      <c r="CI24">
        <v>0</v>
      </c>
      <c r="CJ24">
        <v>0</v>
      </c>
      <c r="CK24" t="s">
        <v>195</v>
      </c>
      <c r="CL24" t="s">
        <v>88</v>
      </c>
    </row>
    <row r="25" spans="1:90" x14ac:dyDescent="0.3">
      <c r="A25" t="s">
        <v>71</v>
      </c>
      <c r="B25" t="s">
        <v>72</v>
      </c>
      <c r="C25" t="s">
        <v>73</v>
      </c>
      <c r="E25" t="str">
        <f>"009934303872"</f>
        <v>009934303872</v>
      </c>
      <c r="F25" s="1">
        <v>42430</v>
      </c>
      <c r="G25">
        <v>201609</v>
      </c>
      <c r="H25" t="s">
        <v>74</v>
      </c>
      <c r="I25" t="s">
        <v>75</v>
      </c>
      <c r="J25" t="s">
        <v>116</v>
      </c>
      <c r="K25" t="s">
        <v>77</v>
      </c>
      <c r="L25" t="s">
        <v>101</v>
      </c>
      <c r="M25" t="s">
        <v>102</v>
      </c>
      <c r="N25" t="s">
        <v>196</v>
      </c>
      <c r="O25" t="s">
        <v>81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3.52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3</v>
      </c>
      <c r="BK25">
        <v>3</v>
      </c>
      <c r="BL25">
        <v>85.16</v>
      </c>
      <c r="BM25">
        <v>11.92</v>
      </c>
      <c r="BN25">
        <v>97.08</v>
      </c>
      <c r="BO25">
        <v>97.08</v>
      </c>
      <c r="BQ25" t="s">
        <v>197</v>
      </c>
      <c r="BR25" t="s">
        <v>83</v>
      </c>
      <c r="BS25" s="1">
        <v>42431</v>
      </c>
      <c r="BT25" s="2">
        <v>0.41666666666666669</v>
      </c>
      <c r="BU25" t="s">
        <v>198</v>
      </c>
      <c r="BV25" t="s">
        <v>85</v>
      </c>
      <c r="BY25">
        <v>15234.74</v>
      </c>
      <c r="CC25" t="s">
        <v>102</v>
      </c>
      <c r="CD25">
        <v>7535</v>
      </c>
      <c r="CE25" t="s">
        <v>86</v>
      </c>
      <c r="CF25" s="1">
        <v>42436</v>
      </c>
      <c r="CI25">
        <v>0</v>
      </c>
      <c r="CJ25">
        <v>0</v>
      </c>
      <c r="CK25" t="s">
        <v>106</v>
      </c>
      <c r="CL25" t="s">
        <v>88</v>
      </c>
    </row>
    <row r="26" spans="1:90" x14ac:dyDescent="0.3">
      <c r="A26" t="s">
        <v>71</v>
      </c>
      <c r="B26" t="s">
        <v>72</v>
      </c>
      <c r="C26" t="s">
        <v>73</v>
      </c>
      <c r="E26" t="str">
        <f>"009934303734"</f>
        <v>009934303734</v>
      </c>
      <c r="F26" s="1">
        <v>42430</v>
      </c>
      <c r="G26">
        <v>201609</v>
      </c>
      <c r="H26" t="s">
        <v>74</v>
      </c>
      <c r="I26" t="s">
        <v>75</v>
      </c>
      <c r="J26" t="s">
        <v>76</v>
      </c>
      <c r="K26" t="s">
        <v>77</v>
      </c>
      <c r="L26" t="s">
        <v>90</v>
      </c>
      <c r="M26" t="s">
        <v>91</v>
      </c>
      <c r="N26" t="s">
        <v>199</v>
      </c>
      <c r="O26" t="s">
        <v>81</v>
      </c>
      <c r="P26" t="str">
        <f>"....                          "</f>
        <v xml:space="preserve">....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2.42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60.07</v>
      </c>
      <c r="BM26">
        <v>8.41</v>
      </c>
      <c r="BN26">
        <v>68.48</v>
      </c>
      <c r="BO26">
        <v>68.48</v>
      </c>
      <c r="BQ26" t="s">
        <v>200</v>
      </c>
      <c r="BR26" t="s">
        <v>83</v>
      </c>
      <c r="BS26" s="1">
        <v>42431</v>
      </c>
      <c r="BT26" s="2">
        <v>0.4375</v>
      </c>
      <c r="BU26" t="s">
        <v>201</v>
      </c>
      <c r="BV26" t="s">
        <v>85</v>
      </c>
      <c r="BY26">
        <v>1200</v>
      </c>
      <c r="CC26" t="s">
        <v>91</v>
      </c>
      <c r="CD26">
        <v>3600</v>
      </c>
      <c r="CE26" t="s">
        <v>86</v>
      </c>
      <c r="CF26" s="1">
        <v>42436</v>
      </c>
      <c r="CI26">
        <v>0</v>
      </c>
      <c r="CJ26">
        <v>0</v>
      </c>
      <c r="CK26" t="s">
        <v>95</v>
      </c>
      <c r="CL26" t="s">
        <v>88</v>
      </c>
    </row>
    <row r="27" spans="1:90" x14ac:dyDescent="0.3">
      <c r="A27" t="s">
        <v>71</v>
      </c>
      <c r="B27" t="s">
        <v>72</v>
      </c>
      <c r="C27" t="s">
        <v>73</v>
      </c>
      <c r="E27" t="str">
        <f>"009934303735"</f>
        <v>009934303735</v>
      </c>
      <c r="F27" s="1">
        <v>42430</v>
      </c>
      <c r="G27">
        <v>201609</v>
      </c>
      <c r="H27" t="s">
        <v>74</v>
      </c>
      <c r="I27" t="s">
        <v>75</v>
      </c>
      <c r="J27" t="s">
        <v>76</v>
      </c>
      <c r="K27" t="s">
        <v>77</v>
      </c>
      <c r="L27" t="s">
        <v>90</v>
      </c>
      <c r="M27" t="s">
        <v>91</v>
      </c>
      <c r="N27" t="s">
        <v>199</v>
      </c>
      <c r="O27" t="s">
        <v>81</v>
      </c>
      <c r="P27" t="str">
        <f>"....                          "</f>
        <v xml:space="preserve">....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2.42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3.3</v>
      </c>
      <c r="BJ27">
        <v>1.5</v>
      </c>
      <c r="BK27">
        <v>4</v>
      </c>
      <c r="BL27">
        <v>60.07</v>
      </c>
      <c r="BM27">
        <v>8.41</v>
      </c>
      <c r="BN27">
        <v>68.48</v>
      </c>
      <c r="BO27">
        <v>68.48</v>
      </c>
      <c r="BQ27" t="s">
        <v>200</v>
      </c>
      <c r="BR27" t="s">
        <v>83</v>
      </c>
      <c r="BS27" s="1">
        <v>42431</v>
      </c>
      <c r="BT27" s="2">
        <v>0.4375</v>
      </c>
      <c r="BU27" t="s">
        <v>202</v>
      </c>
      <c r="BV27" t="s">
        <v>85</v>
      </c>
      <c r="BY27">
        <v>7348</v>
      </c>
      <c r="CC27" t="s">
        <v>91</v>
      </c>
      <c r="CD27">
        <v>3600</v>
      </c>
      <c r="CE27" t="s">
        <v>86</v>
      </c>
      <c r="CF27" s="1">
        <v>42436</v>
      </c>
      <c r="CI27">
        <v>0</v>
      </c>
      <c r="CJ27">
        <v>0</v>
      </c>
      <c r="CK27" t="s">
        <v>95</v>
      </c>
      <c r="CL27" t="s">
        <v>88</v>
      </c>
    </row>
    <row r="28" spans="1:90" x14ac:dyDescent="0.3">
      <c r="A28" t="s">
        <v>71</v>
      </c>
      <c r="B28" t="s">
        <v>72</v>
      </c>
      <c r="C28" t="s">
        <v>73</v>
      </c>
      <c r="E28" t="str">
        <f>"009935164335"</f>
        <v>009935164335</v>
      </c>
      <c r="F28" s="1">
        <v>42430</v>
      </c>
      <c r="G28">
        <v>201609</v>
      </c>
      <c r="H28" t="s">
        <v>74</v>
      </c>
      <c r="I28" t="s">
        <v>75</v>
      </c>
      <c r="J28" t="s">
        <v>116</v>
      </c>
      <c r="K28" t="s">
        <v>77</v>
      </c>
      <c r="L28" t="s">
        <v>136</v>
      </c>
      <c r="M28" t="s">
        <v>137</v>
      </c>
      <c r="N28" t="s">
        <v>203</v>
      </c>
      <c r="O28" t="s">
        <v>81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2.42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1.5</v>
      </c>
      <c r="BJ28">
        <v>0.9</v>
      </c>
      <c r="BK28">
        <v>2</v>
      </c>
      <c r="BL28">
        <v>60.07</v>
      </c>
      <c r="BM28">
        <v>8.41</v>
      </c>
      <c r="BN28">
        <v>68.48</v>
      </c>
      <c r="BO28">
        <v>68.48</v>
      </c>
      <c r="BQ28" t="s">
        <v>204</v>
      </c>
      <c r="BR28" t="s">
        <v>121</v>
      </c>
      <c r="BS28" s="1">
        <v>42431</v>
      </c>
      <c r="BT28" s="2">
        <v>0.375</v>
      </c>
      <c r="BU28" t="s">
        <v>205</v>
      </c>
      <c r="BV28" t="s">
        <v>85</v>
      </c>
      <c r="BY28">
        <v>4691.12</v>
      </c>
      <c r="CC28" t="s">
        <v>137</v>
      </c>
      <c r="CD28">
        <v>9300</v>
      </c>
      <c r="CE28" t="s">
        <v>86</v>
      </c>
      <c r="CF28" s="1">
        <v>42436</v>
      </c>
      <c r="CI28">
        <v>0</v>
      </c>
      <c r="CJ28">
        <v>0</v>
      </c>
      <c r="CK28" t="s">
        <v>87</v>
      </c>
      <c r="CL28" t="s">
        <v>88</v>
      </c>
    </row>
    <row r="29" spans="1:90" x14ac:dyDescent="0.3">
      <c r="A29" t="s">
        <v>71</v>
      </c>
      <c r="B29" t="s">
        <v>72</v>
      </c>
      <c r="C29" t="s">
        <v>73</v>
      </c>
      <c r="E29" t="str">
        <f>"009935164316"</f>
        <v>009935164316</v>
      </c>
      <c r="F29" s="1">
        <v>42430</v>
      </c>
      <c r="G29">
        <v>201609</v>
      </c>
      <c r="H29" t="s">
        <v>74</v>
      </c>
      <c r="I29" t="s">
        <v>75</v>
      </c>
      <c r="J29" t="s">
        <v>116</v>
      </c>
      <c r="K29" t="s">
        <v>77</v>
      </c>
      <c r="L29" t="s">
        <v>172</v>
      </c>
      <c r="M29" t="s">
        <v>173</v>
      </c>
      <c r="N29" t="s">
        <v>206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2.42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8.1999999999999993</v>
      </c>
      <c r="BJ29">
        <v>4.5</v>
      </c>
      <c r="BK29">
        <v>9</v>
      </c>
      <c r="BL29">
        <v>60.07</v>
      </c>
      <c r="BM29">
        <v>8.41</v>
      </c>
      <c r="BN29">
        <v>68.48</v>
      </c>
      <c r="BO29">
        <v>68.48</v>
      </c>
      <c r="BQ29" t="s">
        <v>207</v>
      </c>
      <c r="BR29" t="s">
        <v>121</v>
      </c>
      <c r="BS29" s="1">
        <v>42431</v>
      </c>
      <c r="BT29" s="2">
        <v>0.54097222222222219</v>
      </c>
      <c r="BU29" t="s">
        <v>208</v>
      </c>
      <c r="BV29" t="s">
        <v>85</v>
      </c>
      <c r="BY29">
        <v>22429.119999999999</v>
      </c>
      <c r="CC29" t="s">
        <v>173</v>
      </c>
      <c r="CD29">
        <v>700</v>
      </c>
      <c r="CE29" t="s">
        <v>86</v>
      </c>
      <c r="CI29">
        <v>0</v>
      </c>
      <c r="CJ29">
        <v>0</v>
      </c>
      <c r="CK29" t="s">
        <v>87</v>
      </c>
      <c r="CL29" t="s">
        <v>88</v>
      </c>
    </row>
    <row r="30" spans="1:90" x14ac:dyDescent="0.3">
      <c r="A30" t="s">
        <v>71</v>
      </c>
      <c r="B30" t="s">
        <v>72</v>
      </c>
      <c r="C30" t="s">
        <v>73</v>
      </c>
      <c r="E30" t="str">
        <f>"009934303733"</f>
        <v>009934303733</v>
      </c>
      <c r="F30" s="1">
        <v>42430</v>
      </c>
      <c r="G30">
        <v>201609</v>
      </c>
      <c r="H30" t="s">
        <v>74</v>
      </c>
      <c r="I30" t="s">
        <v>75</v>
      </c>
      <c r="J30" t="s">
        <v>76</v>
      </c>
      <c r="K30" t="s">
        <v>77</v>
      </c>
      <c r="L30" t="s">
        <v>101</v>
      </c>
      <c r="M30" t="s">
        <v>102</v>
      </c>
      <c r="N30" t="s">
        <v>76</v>
      </c>
      <c r="O30" t="s">
        <v>81</v>
      </c>
      <c r="P30" t="str">
        <f>"....                          "</f>
        <v xml:space="preserve">....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3.52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11.9</v>
      </c>
      <c r="BJ30">
        <v>4</v>
      </c>
      <c r="BK30">
        <v>12</v>
      </c>
      <c r="BL30">
        <v>85.16</v>
      </c>
      <c r="BM30">
        <v>11.92</v>
      </c>
      <c r="BN30">
        <v>97.08</v>
      </c>
      <c r="BO30">
        <v>97.08</v>
      </c>
      <c r="BQ30" t="s">
        <v>209</v>
      </c>
      <c r="BR30" t="s">
        <v>83</v>
      </c>
      <c r="BS30" s="1">
        <v>42432</v>
      </c>
      <c r="BT30" s="2">
        <v>0.41666666666666669</v>
      </c>
      <c r="BU30" t="s">
        <v>210</v>
      </c>
      <c r="BV30" t="s">
        <v>85</v>
      </c>
      <c r="BY30">
        <v>19955.28</v>
      </c>
      <c r="CC30" t="s">
        <v>102</v>
      </c>
      <c r="CD30">
        <v>8000</v>
      </c>
      <c r="CE30" t="s">
        <v>86</v>
      </c>
      <c r="CF30" s="1">
        <v>42437</v>
      </c>
      <c r="CI30">
        <v>0</v>
      </c>
      <c r="CJ30">
        <v>0</v>
      </c>
      <c r="CK30" t="s">
        <v>106</v>
      </c>
      <c r="CL30" t="s">
        <v>88</v>
      </c>
    </row>
    <row r="31" spans="1:90" x14ac:dyDescent="0.3">
      <c r="A31" t="s">
        <v>71</v>
      </c>
      <c r="B31" t="s">
        <v>72</v>
      </c>
      <c r="C31" t="s">
        <v>73</v>
      </c>
      <c r="E31" t="str">
        <f>"009935164336"</f>
        <v>009935164336</v>
      </c>
      <c r="F31" s="1">
        <v>42430</v>
      </c>
      <c r="G31">
        <v>201609</v>
      </c>
      <c r="H31" t="s">
        <v>74</v>
      </c>
      <c r="I31" t="s">
        <v>75</v>
      </c>
      <c r="J31" t="s">
        <v>116</v>
      </c>
      <c r="K31" t="s">
        <v>77</v>
      </c>
      <c r="L31" t="s">
        <v>211</v>
      </c>
      <c r="M31" t="s">
        <v>212</v>
      </c>
      <c r="N31" t="s">
        <v>213</v>
      </c>
      <c r="O31" t="s">
        <v>81</v>
      </c>
      <c r="P31" t="str">
        <f t="shared" ref="P31:P62" si="1"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3.22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0.2</v>
      </c>
      <c r="BK31">
        <v>1</v>
      </c>
      <c r="BL31">
        <v>78.42</v>
      </c>
      <c r="BM31">
        <v>10.98</v>
      </c>
      <c r="BN31">
        <v>89.4</v>
      </c>
      <c r="BO31">
        <v>89.4</v>
      </c>
      <c r="BQ31" t="s">
        <v>214</v>
      </c>
      <c r="BR31" t="s">
        <v>121</v>
      </c>
      <c r="BS31" s="1">
        <v>42431</v>
      </c>
      <c r="BT31" s="2">
        <v>0.39583333333333331</v>
      </c>
      <c r="BU31" t="s">
        <v>215</v>
      </c>
      <c r="BV31" t="s">
        <v>85</v>
      </c>
      <c r="BY31">
        <v>1200</v>
      </c>
      <c r="CC31" t="s">
        <v>212</v>
      </c>
      <c r="CD31">
        <v>299</v>
      </c>
      <c r="CE31" t="s">
        <v>86</v>
      </c>
      <c r="CI31">
        <v>0</v>
      </c>
      <c r="CJ31">
        <v>0</v>
      </c>
      <c r="CK31" t="s">
        <v>216</v>
      </c>
      <c r="CL31" t="s">
        <v>88</v>
      </c>
    </row>
    <row r="32" spans="1:90" x14ac:dyDescent="0.3">
      <c r="A32" t="s">
        <v>71</v>
      </c>
      <c r="B32" t="s">
        <v>72</v>
      </c>
      <c r="C32" t="s">
        <v>73</v>
      </c>
      <c r="E32" t="str">
        <f>"009935164317"</f>
        <v>009935164317</v>
      </c>
      <c r="F32" s="1">
        <v>42430</v>
      </c>
      <c r="G32">
        <v>201609</v>
      </c>
      <c r="H32" t="s">
        <v>74</v>
      </c>
      <c r="I32" t="s">
        <v>75</v>
      </c>
      <c r="J32" t="s">
        <v>116</v>
      </c>
      <c r="K32" t="s">
        <v>77</v>
      </c>
      <c r="L32" t="s">
        <v>101</v>
      </c>
      <c r="M32" t="s">
        <v>102</v>
      </c>
      <c r="N32" t="s">
        <v>217</v>
      </c>
      <c r="O32" t="s">
        <v>81</v>
      </c>
      <c r="P32" t="str">
        <f t="shared" si="1"/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3.52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0.2</v>
      </c>
      <c r="BK32">
        <v>1</v>
      </c>
      <c r="BL32">
        <v>85.16</v>
      </c>
      <c r="BM32">
        <v>11.92</v>
      </c>
      <c r="BN32">
        <v>97.08</v>
      </c>
      <c r="BO32">
        <v>97.08</v>
      </c>
      <c r="BQ32" t="s">
        <v>218</v>
      </c>
      <c r="BR32" t="s">
        <v>121</v>
      </c>
      <c r="BS32" s="1">
        <v>42431</v>
      </c>
      <c r="BT32" s="2">
        <v>0.41666666666666669</v>
      </c>
      <c r="BU32" t="s">
        <v>219</v>
      </c>
      <c r="BV32" t="s">
        <v>85</v>
      </c>
      <c r="BY32">
        <v>1200</v>
      </c>
      <c r="CC32" t="s">
        <v>102</v>
      </c>
      <c r="CD32">
        <v>7561</v>
      </c>
      <c r="CE32" t="s">
        <v>86</v>
      </c>
      <c r="CF32" s="1">
        <v>42436</v>
      </c>
      <c r="CI32">
        <v>0</v>
      </c>
      <c r="CJ32">
        <v>0</v>
      </c>
      <c r="CK32" t="s">
        <v>106</v>
      </c>
      <c r="CL32" t="s">
        <v>88</v>
      </c>
    </row>
    <row r="33" spans="1:90" x14ac:dyDescent="0.3">
      <c r="A33" t="s">
        <v>71</v>
      </c>
      <c r="B33" t="s">
        <v>72</v>
      </c>
      <c r="C33" t="s">
        <v>73</v>
      </c>
      <c r="E33" t="str">
        <f>"009935164319"</f>
        <v>009935164319</v>
      </c>
      <c r="F33" s="1">
        <v>42430</v>
      </c>
      <c r="G33">
        <v>201609</v>
      </c>
      <c r="H33" t="s">
        <v>74</v>
      </c>
      <c r="I33" t="s">
        <v>75</v>
      </c>
      <c r="J33" t="s">
        <v>116</v>
      </c>
      <c r="K33" t="s">
        <v>77</v>
      </c>
      <c r="L33" t="s">
        <v>96</v>
      </c>
      <c r="M33" t="s">
        <v>97</v>
      </c>
      <c r="N33" t="s">
        <v>220</v>
      </c>
      <c r="O33" t="s">
        <v>81</v>
      </c>
      <c r="P33" t="str">
        <f t="shared" si="1"/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2.42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60.07</v>
      </c>
      <c r="BM33">
        <v>8.41</v>
      </c>
      <c r="BN33">
        <v>68.48</v>
      </c>
      <c r="BO33">
        <v>68.48</v>
      </c>
      <c r="BQ33" t="s">
        <v>221</v>
      </c>
      <c r="BR33" t="s">
        <v>121</v>
      </c>
      <c r="BS33" s="1">
        <v>42431</v>
      </c>
      <c r="BT33" s="2">
        <v>0.33402777777777781</v>
      </c>
      <c r="BU33" t="s">
        <v>222</v>
      </c>
      <c r="BV33" t="s">
        <v>85</v>
      </c>
      <c r="BY33">
        <v>1200</v>
      </c>
      <c r="CC33" t="s">
        <v>97</v>
      </c>
      <c r="CD33">
        <v>4000</v>
      </c>
      <c r="CE33" t="s">
        <v>86</v>
      </c>
      <c r="CF33" s="1">
        <v>42436</v>
      </c>
      <c r="CI33">
        <v>0</v>
      </c>
      <c r="CJ33">
        <v>0</v>
      </c>
      <c r="CK33" t="s">
        <v>95</v>
      </c>
      <c r="CL33" t="s">
        <v>88</v>
      </c>
    </row>
    <row r="34" spans="1:90" x14ac:dyDescent="0.3">
      <c r="A34" t="s">
        <v>71</v>
      </c>
      <c r="B34" t="s">
        <v>72</v>
      </c>
      <c r="C34" t="s">
        <v>73</v>
      </c>
      <c r="E34" t="str">
        <f>"009935164422"</f>
        <v>009935164422</v>
      </c>
      <c r="F34" s="1">
        <v>42431</v>
      </c>
      <c r="G34">
        <v>201609</v>
      </c>
      <c r="H34" t="s">
        <v>74</v>
      </c>
      <c r="I34" t="s">
        <v>75</v>
      </c>
      <c r="J34" t="s">
        <v>116</v>
      </c>
      <c r="K34" t="s">
        <v>77</v>
      </c>
      <c r="L34" t="s">
        <v>223</v>
      </c>
      <c r="M34" t="s">
        <v>224</v>
      </c>
      <c r="N34" t="s">
        <v>225</v>
      </c>
      <c r="O34" t="s">
        <v>226</v>
      </c>
      <c r="P34" t="str">
        <f t="shared" si="1"/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12.22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170.18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0.2</v>
      </c>
      <c r="BK34">
        <v>0.5</v>
      </c>
      <c r="BL34">
        <v>422.39</v>
      </c>
      <c r="BM34">
        <v>0</v>
      </c>
      <c r="BN34">
        <v>422.39</v>
      </c>
      <c r="BO34">
        <v>422.39</v>
      </c>
      <c r="BQ34" t="s">
        <v>227</v>
      </c>
      <c r="BR34" t="s">
        <v>121</v>
      </c>
      <c r="BS34" s="1">
        <v>42434</v>
      </c>
      <c r="BT34" s="2">
        <v>0.41666666666666669</v>
      </c>
      <c r="BU34" t="s">
        <v>228</v>
      </c>
      <c r="BY34">
        <v>1200</v>
      </c>
      <c r="BZ34" t="s">
        <v>229</v>
      </c>
      <c r="CC34" t="s">
        <v>224</v>
      </c>
      <c r="CD34" t="s">
        <v>230</v>
      </c>
      <c r="CE34" t="s">
        <v>86</v>
      </c>
      <c r="CI34">
        <v>0</v>
      </c>
      <c r="CJ34">
        <v>0</v>
      </c>
      <c r="CK34">
        <v>522</v>
      </c>
      <c r="CL34" t="s">
        <v>88</v>
      </c>
    </row>
    <row r="35" spans="1:90" x14ac:dyDescent="0.3">
      <c r="A35" t="s">
        <v>71</v>
      </c>
      <c r="B35" t="s">
        <v>72</v>
      </c>
      <c r="C35" t="s">
        <v>73</v>
      </c>
      <c r="E35" t="str">
        <f>"009935164431"</f>
        <v>009935164431</v>
      </c>
      <c r="F35" s="1">
        <v>42431</v>
      </c>
      <c r="G35">
        <v>201609</v>
      </c>
      <c r="H35" t="s">
        <v>74</v>
      </c>
      <c r="I35" t="s">
        <v>75</v>
      </c>
      <c r="J35" t="s">
        <v>116</v>
      </c>
      <c r="K35" t="s">
        <v>77</v>
      </c>
      <c r="L35" t="s">
        <v>231</v>
      </c>
      <c r="M35" t="s">
        <v>102</v>
      </c>
      <c r="N35" t="s">
        <v>232</v>
      </c>
      <c r="O35" t="s">
        <v>233</v>
      </c>
      <c r="P35" t="str">
        <f t="shared" si="1"/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1.91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0.2</v>
      </c>
      <c r="BK35">
        <v>0.5</v>
      </c>
      <c r="BL35">
        <v>39.35</v>
      </c>
      <c r="BM35">
        <v>5.51</v>
      </c>
      <c r="BN35">
        <v>44.86</v>
      </c>
      <c r="BO35">
        <v>44.86</v>
      </c>
      <c r="BQ35" t="s">
        <v>234</v>
      </c>
      <c r="BR35" t="s">
        <v>121</v>
      </c>
      <c r="BS35" s="1">
        <v>42432</v>
      </c>
      <c r="BT35" s="2">
        <v>0.41944444444444445</v>
      </c>
      <c r="BU35" t="s">
        <v>235</v>
      </c>
      <c r="BV35" t="s">
        <v>85</v>
      </c>
      <c r="BY35">
        <v>1200</v>
      </c>
      <c r="BZ35" t="s">
        <v>27</v>
      </c>
      <c r="CC35" t="s">
        <v>102</v>
      </c>
      <c r="CD35">
        <v>7460</v>
      </c>
      <c r="CE35" t="s">
        <v>86</v>
      </c>
      <c r="CF35" s="1">
        <v>42437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71</v>
      </c>
      <c r="B36" t="s">
        <v>72</v>
      </c>
      <c r="C36" t="s">
        <v>73</v>
      </c>
      <c r="E36" t="str">
        <f>"009935164426"</f>
        <v>009935164426</v>
      </c>
      <c r="F36" s="1">
        <v>42431</v>
      </c>
      <c r="G36">
        <v>201609</v>
      </c>
      <c r="H36" t="s">
        <v>74</v>
      </c>
      <c r="I36" t="s">
        <v>75</v>
      </c>
      <c r="J36" t="s">
        <v>116</v>
      </c>
      <c r="K36" t="s">
        <v>77</v>
      </c>
      <c r="L36" t="s">
        <v>190</v>
      </c>
      <c r="M36" t="s">
        <v>191</v>
      </c>
      <c r="N36" t="s">
        <v>236</v>
      </c>
      <c r="O36" t="s">
        <v>81</v>
      </c>
      <c r="P36" t="str">
        <f t="shared" si="1"/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3.28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1.5</v>
      </c>
      <c r="BJ36">
        <v>0.2</v>
      </c>
      <c r="BK36">
        <v>2</v>
      </c>
      <c r="BL36">
        <v>72.63</v>
      </c>
      <c r="BM36">
        <v>10.17</v>
      </c>
      <c r="BN36">
        <v>82.8</v>
      </c>
      <c r="BO36">
        <v>82.8</v>
      </c>
      <c r="BQ36" t="s">
        <v>237</v>
      </c>
      <c r="BR36" t="s">
        <v>121</v>
      </c>
      <c r="BS36" s="1">
        <v>42432</v>
      </c>
      <c r="BT36" s="2">
        <v>0.41666666666666669</v>
      </c>
      <c r="BU36" t="s">
        <v>194</v>
      </c>
      <c r="BV36" t="s">
        <v>85</v>
      </c>
      <c r="BY36">
        <v>1200</v>
      </c>
      <c r="CC36" t="s">
        <v>191</v>
      </c>
      <c r="CD36">
        <v>1930</v>
      </c>
      <c r="CE36" t="s">
        <v>86</v>
      </c>
      <c r="CF36" s="1">
        <v>42439</v>
      </c>
      <c r="CI36">
        <v>0</v>
      </c>
      <c r="CJ36">
        <v>0</v>
      </c>
      <c r="CK36" t="s">
        <v>195</v>
      </c>
      <c r="CL36" t="s">
        <v>88</v>
      </c>
    </row>
    <row r="37" spans="1:90" x14ac:dyDescent="0.3">
      <c r="A37" t="s">
        <v>71</v>
      </c>
      <c r="B37" t="s">
        <v>72</v>
      </c>
      <c r="C37" t="s">
        <v>73</v>
      </c>
      <c r="E37" t="str">
        <f>"009935164430"</f>
        <v>009935164430</v>
      </c>
      <c r="F37" s="1">
        <v>42431</v>
      </c>
      <c r="G37">
        <v>201609</v>
      </c>
      <c r="H37" t="s">
        <v>74</v>
      </c>
      <c r="I37" t="s">
        <v>75</v>
      </c>
      <c r="J37" t="s">
        <v>116</v>
      </c>
      <c r="K37" t="s">
        <v>77</v>
      </c>
      <c r="L37" t="s">
        <v>74</v>
      </c>
      <c r="M37" t="s">
        <v>75</v>
      </c>
      <c r="N37" t="s">
        <v>238</v>
      </c>
      <c r="O37" t="s">
        <v>81</v>
      </c>
      <c r="P37" t="str">
        <f t="shared" si="1"/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2.68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0.2</v>
      </c>
      <c r="BK37">
        <v>1</v>
      </c>
      <c r="BL37">
        <v>60.33</v>
      </c>
      <c r="BM37">
        <v>8.4499999999999993</v>
      </c>
      <c r="BN37">
        <v>68.78</v>
      </c>
      <c r="BO37">
        <v>68.78</v>
      </c>
      <c r="BQ37" t="s">
        <v>239</v>
      </c>
      <c r="BR37" t="s">
        <v>121</v>
      </c>
      <c r="BS37" s="1">
        <v>42437</v>
      </c>
      <c r="BT37" s="2">
        <v>0.5</v>
      </c>
      <c r="BU37" t="s">
        <v>240</v>
      </c>
      <c r="BV37" t="s">
        <v>88</v>
      </c>
      <c r="BW37" t="s">
        <v>110</v>
      </c>
      <c r="BX37" t="s">
        <v>111</v>
      </c>
      <c r="BY37">
        <v>1200</v>
      </c>
      <c r="CC37" t="s">
        <v>75</v>
      </c>
      <c r="CD37">
        <v>2001</v>
      </c>
      <c r="CE37" t="s">
        <v>86</v>
      </c>
      <c r="CF37" s="1">
        <v>42439</v>
      </c>
      <c r="CI37">
        <v>0</v>
      </c>
      <c r="CJ37">
        <v>0</v>
      </c>
      <c r="CK37" t="s">
        <v>112</v>
      </c>
      <c r="CL37" t="s">
        <v>88</v>
      </c>
    </row>
    <row r="38" spans="1:90" x14ac:dyDescent="0.3">
      <c r="A38" t="s">
        <v>71</v>
      </c>
      <c r="B38" t="s">
        <v>72</v>
      </c>
      <c r="C38" t="s">
        <v>73</v>
      </c>
      <c r="E38" t="str">
        <f>"009935164423"</f>
        <v>009935164423</v>
      </c>
      <c r="F38" s="1">
        <v>42431</v>
      </c>
      <c r="G38">
        <v>201609</v>
      </c>
      <c r="H38" t="s">
        <v>74</v>
      </c>
      <c r="I38" t="s">
        <v>75</v>
      </c>
      <c r="J38" t="s">
        <v>116</v>
      </c>
      <c r="K38" t="s">
        <v>77</v>
      </c>
      <c r="L38" t="s">
        <v>101</v>
      </c>
      <c r="M38" t="s">
        <v>102</v>
      </c>
      <c r="N38" t="s">
        <v>241</v>
      </c>
      <c r="O38" t="s">
        <v>81</v>
      </c>
      <c r="P38" t="str">
        <f t="shared" si="1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3.9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0.5</v>
      </c>
      <c r="BJ38">
        <v>0.2</v>
      </c>
      <c r="BK38">
        <v>1</v>
      </c>
      <c r="BL38">
        <v>85.54</v>
      </c>
      <c r="BM38">
        <v>11.98</v>
      </c>
      <c r="BN38">
        <v>97.52</v>
      </c>
      <c r="BO38">
        <v>97.52</v>
      </c>
      <c r="BQ38" t="s">
        <v>242</v>
      </c>
      <c r="BR38" t="s">
        <v>121</v>
      </c>
      <c r="BS38" s="1">
        <v>42432</v>
      </c>
      <c r="BT38" s="2">
        <v>0.34236111111111112</v>
      </c>
      <c r="BU38" t="s">
        <v>243</v>
      </c>
      <c r="BV38" t="s">
        <v>85</v>
      </c>
      <c r="BY38">
        <v>1200</v>
      </c>
      <c r="CC38" t="s">
        <v>102</v>
      </c>
      <c r="CD38">
        <v>7441</v>
      </c>
      <c r="CE38" t="s">
        <v>86</v>
      </c>
      <c r="CF38" s="1">
        <v>42437</v>
      </c>
      <c r="CI38">
        <v>0</v>
      </c>
      <c r="CJ38">
        <v>0</v>
      </c>
      <c r="CK38" t="s">
        <v>106</v>
      </c>
      <c r="CL38" t="s">
        <v>88</v>
      </c>
    </row>
    <row r="39" spans="1:90" x14ac:dyDescent="0.3">
      <c r="A39" t="s">
        <v>71</v>
      </c>
      <c r="B39" t="s">
        <v>72</v>
      </c>
      <c r="C39" t="s">
        <v>73</v>
      </c>
      <c r="E39" t="str">
        <f>"009935164320"</f>
        <v>009935164320</v>
      </c>
      <c r="F39" s="1">
        <v>42431</v>
      </c>
      <c r="G39">
        <v>201609</v>
      </c>
      <c r="H39" t="s">
        <v>74</v>
      </c>
      <c r="I39" t="s">
        <v>75</v>
      </c>
      <c r="J39" t="s">
        <v>116</v>
      </c>
      <c r="K39" t="s">
        <v>77</v>
      </c>
      <c r="L39" t="s">
        <v>96</v>
      </c>
      <c r="M39" t="s">
        <v>97</v>
      </c>
      <c r="N39" t="s">
        <v>244</v>
      </c>
      <c r="O39" t="s">
        <v>81</v>
      </c>
      <c r="P39" t="str">
        <f t="shared" si="1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2.68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60.33</v>
      </c>
      <c r="BM39">
        <v>8.4499999999999993</v>
      </c>
      <c r="BN39">
        <v>68.78</v>
      </c>
      <c r="BO39">
        <v>68.78</v>
      </c>
      <c r="BQ39" t="s">
        <v>245</v>
      </c>
      <c r="BR39" t="s">
        <v>121</v>
      </c>
      <c r="BS39" s="1">
        <v>42432</v>
      </c>
      <c r="BT39" s="2">
        <v>0.3756944444444445</v>
      </c>
      <c r="BU39" t="s">
        <v>245</v>
      </c>
      <c r="BV39" t="s">
        <v>85</v>
      </c>
      <c r="BY39">
        <v>1200</v>
      </c>
      <c r="CC39" t="s">
        <v>97</v>
      </c>
      <c r="CD39">
        <v>4019</v>
      </c>
      <c r="CE39" t="s">
        <v>86</v>
      </c>
      <c r="CF39" s="1">
        <v>42438</v>
      </c>
      <c r="CI39">
        <v>0</v>
      </c>
      <c r="CJ39">
        <v>0</v>
      </c>
      <c r="CK39" t="s">
        <v>95</v>
      </c>
      <c r="CL39" t="s">
        <v>88</v>
      </c>
    </row>
    <row r="40" spans="1:90" x14ac:dyDescent="0.3">
      <c r="A40" t="s">
        <v>71</v>
      </c>
      <c r="B40" t="s">
        <v>72</v>
      </c>
      <c r="C40" t="s">
        <v>73</v>
      </c>
      <c r="E40" t="str">
        <f>"009935164318"</f>
        <v>009935164318</v>
      </c>
      <c r="F40" s="1">
        <v>42431</v>
      </c>
      <c r="G40">
        <v>201609</v>
      </c>
      <c r="H40" t="s">
        <v>74</v>
      </c>
      <c r="I40" t="s">
        <v>75</v>
      </c>
      <c r="J40" t="s">
        <v>116</v>
      </c>
      <c r="K40" t="s">
        <v>77</v>
      </c>
      <c r="L40" t="s">
        <v>117</v>
      </c>
      <c r="M40" t="s">
        <v>118</v>
      </c>
      <c r="N40" t="s">
        <v>246</v>
      </c>
      <c r="O40" t="s">
        <v>81</v>
      </c>
      <c r="P40" t="str">
        <f t="shared" si="1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4.6500000000000004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0.5</v>
      </c>
      <c r="BJ40">
        <v>0.2</v>
      </c>
      <c r="BK40">
        <v>1</v>
      </c>
      <c r="BL40">
        <v>100.91</v>
      </c>
      <c r="BM40">
        <v>14.13</v>
      </c>
      <c r="BN40">
        <v>115.04</v>
      </c>
      <c r="BO40">
        <v>115.04</v>
      </c>
      <c r="BQ40" t="s">
        <v>247</v>
      </c>
      <c r="BR40" t="s">
        <v>121</v>
      </c>
      <c r="BS40" s="1">
        <v>42433</v>
      </c>
      <c r="BT40" s="2">
        <v>0.3979166666666667</v>
      </c>
      <c r="BU40" t="s">
        <v>248</v>
      </c>
      <c r="BV40" t="s">
        <v>85</v>
      </c>
      <c r="BY40">
        <v>1200</v>
      </c>
      <c r="CC40" t="s">
        <v>118</v>
      </c>
      <c r="CD40">
        <v>7200</v>
      </c>
      <c r="CE40" t="s">
        <v>86</v>
      </c>
      <c r="CF40" s="1">
        <v>42438</v>
      </c>
      <c r="CI40">
        <v>0</v>
      </c>
      <c r="CJ40">
        <v>0</v>
      </c>
      <c r="CK40" t="s">
        <v>123</v>
      </c>
      <c r="CL40" t="s">
        <v>88</v>
      </c>
    </row>
    <row r="41" spans="1:90" x14ac:dyDescent="0.3">
      <c r="A41" t="s">
        <v>71</v>
      </c>
      <c r="B41" t="s">
        <v>72</v>
      </c>
      <c r="C41" t="s">
        <v>73</v>
      </c>
      <c r="E41" t="str">
        <f>"009935164425"</f>
        <v>009935164425</v>
      </c>
      <c r="F41" s="1">
        <v>42431</v>
      </c>
      <c r="G41">
        <v>201609</v>
      </c>
      <c r="H41" t="s">
        <v>74</v>
      </c>
      <c r="I41" t="s">
        <v>75</v>
      </c>
      <c r="J41" t="s">
        <v>116</v>
      </c>
      <c r="K41" t="s">
        <v>77</v>
      </c>
      <c r="L41" t="s">
        <v>167</v>
      </c>
      <c r="M41" t="s">
        <v>168</v>
      </c>
      <c r="N41" t="s">
        <v>249</v>
      </c>
      <c r="O41" t="s">
        <v>81</v>
      </c>
      <c r="P41" t="str">
        <f t="shared" si="1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2.68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60.33</v>
      </c>
      <c r="BM41">
        <v>8.4499999999999993</v>
      </c>
      <c r="BN41">
        <v>68.78</v>
      </c>
      <c r="BO41">
        <v>68.78</v>
      </c>
      <c r="BQ41" t="s">
        <v>250</v>
      </c>
      <c r="BR41" t="s">
        <v>121</v>
      </c>
      <c r="BS41" s="1">
        <v>42432</v>
      </c>
      <c r="BT41" s="2">
        <v>0.39861111111111108</v>
      </c>
      <c r="BU41" t="s">
        <v>182</v>
      </c>
      <c r="BV41" t="s">
        <v>85</v>
      </c>
      <c r="BY41">
        <v>1200</v>
      </c>
      <c r="CC41" t="s">
        <v>168</v>
      </c>
      <c r="CD41">
        <v>2570</v>
      </c>
      <c r="CE41" t="s">
        <v>86</v>
      </c>
      <c r="CF41" s="1">
        <v>42438</v>
      </c>
      <c r="CI41">
        <v>0</v>
      </c>
      <c r="CJ41">
        <v>0</v>
      </c>
      <c r="CK41" t="s">
        <v>87</v>
      </c>
      <c r="CL41" t="s">
        <v>88</v>
      </c>
    </row>
    <row r="42" spans="1:90" x14ac:dyDescent="0.3">
      <c r="A42" t="s">
        <v>71</v>
      </c>
      <c r="B42" t="s">
        <v>72</v>
      </c>
      <c r="C42" t="s">
        <v>73</v>
      </c>
      <c r="E42" t="str">
        <f>"009935164424"</f>
        <v>009935164424</v>
      </c>
      <c r="F42" s="1">
        <v>42431</v>
      </c>
      <c r="G42">
        <v>201609</v>
      </c>
      <c r="H42" t="s">
        <v>74</v>
      </c>
      <c r="I42" t="s">
        <v>75</v>
      </c>
      <c r="J42" t="s">
        <v>116</v>
      </c>
      <c r="K42" t="s">
        <v>77</v>
      </c>
      <c r="L42" t="s">
        <v>251</v>
      </c>
      <c r="M42" t="s">
        <v>252</v>
      </c>
      <c r="N42" t="s">
        <v>253</v>
      </c>
      <c r="O42" t="s">
        <v>81</v>
      </c>
      <c r="P42" t="str">
        <f t="shared" si="1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3.87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84.92</v>
      </c>
      <c r="BM42">
        <v>11.89</v>
      </c>
      <c r="BN42">
        <v>96.81</v>
      </c>
      <c r="BO42">
        <v>96.81</v>
      </c>
      <c r="BQ42" t="s">
        <v>254</v>
      </c>
      <c r="BR42" t="s">
        <v>121</v>
      </c>
      <c r="BS42" s="1">
        <v>42432</v>
      </c>
      <c r="BT42" s="2">
        <v>0.40625</v>
      </c>
      <c r="BU42" t="s">
        <v>255</v>
      </c>
      <c r="BV42" t="s">
        <v>85</v>
      </c>
      <c r="BY42">
        <v>1200</v>
      </c>
      <c r="CC42" t="s">
        <v>252</v>
      </c>
      <c r="CD42">
        <v>9459</v>
      </c>
      <c r="CE42" t="s">
        <v>86</v>
      </c>
      <c r="CF42" s="1">
        <v>42438</v>
      </c>
      <c r="CI42">
        <v>0</v>
      </c>
      <c r="CJ42">
        <v>0</v>
      </c>
      <c r="CK42" t="s">
        <v>256</v>
      </c>
      <c r="CL42" t="s">
        <v>88</v>
      </c>
    </row>
    <row r="43" spans="1:90" x14ac:dyDescent="0.3">
      <c r="A43" t="s">
        <v>71</v>
      </c>
      <c r="B43" t="s">
        <v>72</v>
      </c>
      <c r="C43" t="s">
        <v>73</v>
      </c>
      <c r="E43" t="str">
        <f>"009935164427"</f>
        <v>009935164427</v>
      </c>
      <c r="F43" s="1">
        <v>42431</v>
      </c>
      <c r="G43">
        <v>201609</v>
      </c>
      <c r="H43" t="s">
        <v>74</v>
      </c>
      <c r="I43" t="s">
        <v>75</v>
      </c>
      <c r="J43" t="s">
        <v>116</v>
      </c>
      <c r="K43" t="s">
        <v>77</v>
      </c>
      <c r="L43" t="s">
        <v>257</v>
      </c>
      <c r="M43" t="s">
        <v>258</v>
      </c>
      <c r="N43" t="s">
        <v>259</v>
      </c>
      <c r="O43" t="s">
        <v>81</v>
      </c>
      <c r="P43" t="str">
        <f t="shared" si="1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3.57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78.77</v>
      </c>
      <c r="BM43">
        <v>11.03</v>
      </c>
      <c r="BN43">
        <v>89.8</v>
      </c>
      <c r="BO43">
        <v>89.8</v>
      </c>
      <c r="BQ43" t="s">
        <v>260</v>
      </c>
      <c r="BR43" t="s">
        <v>121</v>
      </c>
      <c r="BS43" s="1">
        <v>42432</v>
      </c>
      <c r="BT43" s="2">
        <v>0.5395833333333333</v>
      </c>
      <c r="BU43" t="s">
        <v>261</v>
      </c>
      <c r="BV43" t="s">
        <v>85</v>
      </c>
      <c r="BY43">
        <v>1200</v>
      </c>
      <c r="CC43" t="s">
        <v>258</v>
      </c>
      <c r="CD43">
        <v>1050</v>
      </c>
      <c r="CE43" t="s">
        <v>86</v>
      </c>
      <c r="CF43" s="1">
        <v>42437</v>
      </c>
      <c r="CI43">
        <v>0</v>
      </c>
      <c r="CJ43">
        <v>0</v>
      </c>
      <c r="CK43" t="s">
        <v>216</v>
      </c>
      <c r="CL43" t="s">
        <v>88</v>
      </c>
    </row>
    <row r="44" spans="1:90" x14ac:dyDescent="0.3">
      <c r="A44" t="s">
        <v>71</v>
      </c>
      <c r="B44" t="s">
        <v>72</v>
      </c>
      <c r="C44" t="s">
        <v>73</v>
      </c>
      <c r="E44" t="str">
        <f>"009935164429"</f>
        <v>009935164429</v>
      </c>
      <c r="F44" s="1">
        <v>42431</v>
      </c>
      <c r="G44">
        <v>201609</v>
      </c>
      <c r="H44" t="s">
        <v>74</v>
      </c>
      <c r="I44" t="s">
        <v>75</v>
      </c>
      <c r="J44" t="s">
        <v>116</v>
      </c>
      <c r="K44" t="s">
        <v>77</v>
      </c>
      <c r="L44" t="s">
        <v>96</v>
      </c>
      <c r="M44" t="s">
        <v>97</v>
      </c>
      <c r="N44" t="s">
        <v>262</v>
      </c>
      <c r="O44" t="s">
        <v>81</v>
      </c>
      <c r="P44" t="str">
        <f t="shared" si="1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2.68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60.33</v>
      </c>
      <c r="BM44">
        <v>8.4499999999999993</v>
      </c>
      <c r="BN44">
        <v>68.78</v>
      </c>
      <c r="BO44">
        <v>68.78</v>
      </c>
      <c r="BQ44" t="s">
        <v>263</v>
      </c>
      <c r="BR44" t="s">
        <v>121</v>
      </c>
      <c r="BS44" s="1">
        <v>42432</v>
      </c>
      <c r="BT44" s="2">
        <v>0.4236111111111111</v>
      </c>
      <c r="BU44" t="s">
        <v>264</v>
      </c>
      <c r="BV44" t="s">
        <v>85</v>
      </c>
      <c r="BY44">
        <v>1200</v>
      </c>
      <c r="CC44" t="s">
        <v>97</v>
      </c>
      <c r="CD44">
        <v>4051</v>
      </c>
      <c r="CE44" t="s">
        <v>86</v>
      </c>
      <c r="CF44" s="1">
        <v>42438</v>
      </c>
      <c r="CI44">
        <v>0</v>
      </c>
      <c r="CJ44">
        <v>0</v>
      </c>
      <c r="CK44" t="s">
        <v>95</v>
      </c>
      <c r="CL44" t="s">
        <v>88</v>
      </c>
    </row>
    <row r="45" spans="1:90" x14ac:dyDescent="0.3">
      <c r="A45" t="s">
        <v>71</v>
      </c>
      <c r="B45" t="s">
        <v>72</v>
      </c>
      <c r="C45" t="s">
        <v>73</v>
      </c>
      <c r="E45" t="str">
        <f>"009935164432"</f>
        <v>009935164432</v>
      </c>
      <c r="F45" s="1">
        <v>42431</v>
      </c>
      <c r="G45">
        <v>201609</v>
      </c>
      <c r="H45" t="s">
        <v>74</v>
      </c>
      <c r="I45" t="s">
        <v>75</v>
      </c>
      <c r="J45" t="s">
        <v>116</v>
      </c>
      <c r="K45" t="s">
        <v>77</v>
      </c>
      <c r="L45" t="s">
        <v>101</v>
      </c>
      <c r="M45" t="s">
        <v>102</v>
      </c>
      <c r="N45" t="s">
        <v>265</v>
      </c>
      <c r="O45" t="s">
        <v>81</v>
      </c>
      <c r="P45" t="str">
        <f t="shared" si="1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3.9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1</v>
      </c>
      <c r="BL45">
        <v>85.54</v>
      </c>
      <c r="BM45">
        <v>11.98</v>
      </c>
      <c r="BN45">
        <v>97.52</v>
      </c>
      <c r="BO45">
        <v>97.52</v>
      </c>
      <c r="BQ45" t="s">
        <v>266</v>
      </c>
      <c r="BR45" t="s">
        <v>121</v>
      </c>
      <c r="BS45" s="1">
        <v>42433</v>
      </c>
      <c r="BT45" s="2">
        <v>0.41666666666666669</v>
      </c>
      <c r="BU45" t="s">
        <v>267</v>
      </c>
      <c r="BV45" t="s">
        <v>85</v>
      </c>
      <c r="BY45">
        <v>1200</v>
      </c>
      <c r="CC45" t="s">
        <v>102</v>
      </c>
      <c r="CD45">
        <v>7459</v>
      </c>
      <c r="CE45" t="s">
        <v>86</v>
      </c>
      <c r="CF45" s="1">
        <v>42438</v>
      </c>
      <c r="CI45">
        <v>0</v>
      </c>
      <c r="CJ45">
        <v>0</v>
      </c>
      <c r="CK45" t="s">
        <v>106</v>
      </c>
      <c r="CL45" t="s">
        <v>88</v>
      </c>
    </row>
    <row r="46" spans="1:90" x14ac:dyDescent="0.3">
      <c r="A46" t="s">
        <v>71</v>
      </c>
      <c r="B46" t="s">
        <v>72</v>
      </c>
      <c r="C46" t="s">
        <v>73</v>
      </c>
      <c r="E46" t="str">
        <f>"009935164315"</f>
        <v>009935164315</v>
      </c>
      <c r="F46" s="1">
        <v>42432</v>
      </c>
      <c r="G46">
        <v>201609</v>
      </c>
      <c r="H46" t="s">
        <v>74</v>
      </c>
      <c r="I46" t="s">
        <v>75</v>
      </c>
      <c r="J46" t="s">
        <v>116</v>
      </c>
      <c r="K46" t="s">
        <v>77</v>
      </c>
      <c r="L46" t="s">
        <v>167</v>
      </c>
      <c r="M46" t="s">
        <v>168</v>
      </c>
      <c r="N46" t="s">
        <v>268</v>
      </c>
      <c r="O46" t="s">
        <v>81</v>
      </c>
      <c r="P46" t="str">
        <f t="shared" si="1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2.68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2.9</v>
      </c>
      <c r="BJ46">
        <v>1.7</v>
      </c>
      <c r="BK46">
        <v>3</v>
      </c>
      <c r="BL46">
        <v>60.33</v>
      </c>
      <c r="BM46">
        <v>8.4499999999999993</v>
      </c>
      <c r="BN46">
        <v>68.78</v>
      </c>
      <c r="BO46">
        <v>68.78</v>
      </c>
      <c r="BQ46" t="s">
        <v>269</v>
      </c>
      <c r="BR46" t="s">
        <v>121</v>
      </c>
      <c r="BS46" s="1">
        <v>42433</v>
      </c>
      <c r="BT46" s="2">
        <v>0.40277777777777773</v>
      </c>
      <c r="BU46" t="s">
        <v>270</v>
      </c>
      <c r="BV46" t="s">
        <v>85</v>
      </c>
      <c r="BY46">
        <v>8577.82</v>
      </c>
      <c r="CC46" t="s">
        <v>168</v>
      </c>
      <c r="CD46">
        <v>2570</v>
      </c>
      <c r="CE46" t="s">
        <v>86</v>
      </c>
      <c r="CF46" s="1">
        <v>42438</v>
      </c>
      <c r="CI46">
        <v>0</v>
      </c>
      <c r="CJ46">
        <v>0</v>
      </c>
      <c r="CK46" t="s">
        <v>87</v>
      </c>
      <c r="CL46" t="s">
        <v>88</v>
      </c>
    </row>
    <row r="47" spans="1:90" x14ac:dyDescent="0.3">
      <c r="A47" t="s">
        <v>71</v>
      </c>
      <c r="B47" t="s">
        <v>72</v>
      </c>
      <c r="C47" t="s">
        <v>73</v>
      </c>
      <c r="E47" t="str">
        <f>"009935164276"</f>
        <v>009935164276</v>
      </c>
      <c r="F47" s="1">
        <v>42432</v>
      </c>
      <c r="G47">
        <v>201609</v>
      </c>
      <c r="H47" t="s">
        <v>74</v>
      </c>
      <c r="I47" t="s">
        <v>75</v>
      </c>
      <c r="J47" t="s">
        <v>116</v>
      </c>
      <c r="K47" t="s">
        <v>77</v>
      </c>
      <c r="L47" t="s">
        <v>271</v>
      </c>
      <c r="M47" t="s">
        <v>272</v>
      </c>
      <c r="N47" t="s">
        <v>273</v>
      </c>
      <c r="O47" t="s">
        <v>81</v>
      </c>
      <c r="P47" t="str">
        <f t="shared" si="1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3.9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0.5</v>
      </c>
      <c r="BJ47">
        <v>0.2</v>
      </c>
      <c r="BK47">
        <v>1</v>
      </c>
      <c r="BL47">
        <v>85.54</v>
      </c>
      <c r="BM47">
        <v>11.98</v>
      </c>
      <c r="BN47">
        <v>97.52</v>
      </c>
      <c r="BO47">
        <v>97.52</v>
      </c>
      <c r="BQ47" t="s">
        <v>274</v>
      </c>
      <c r="BR47" t="s">
        <v>121</v>
      </c>
      <c r="BS47" s="1">
        <v>42433</v>
      </c>
      <c r="BT47" s="2">
        <v>0.625</v>
      </c>
      <c r="BU47" t="s">
        <v>275</v>
      </c>
      <c r="BV47" t="s">
        <v>85</v>
      </c>
      <c r="BY47">
        <v>1200</v>
      </c>
      <c r="CC47" t="s">
        <v>272</v>
      </c>
      <c r="CD47">
        <v>2351</v>
      </c>
      <c r="CE47" t="s">
        <v>86</v>
      </c>
      <c r="CF47" s="1">
        <v>42438</v>
      </c>
      <c r="CI47">
        <v>0</v>
      </c>
      <c r="CJ47">
        <v>0</v>
      </c>
      <c r="CK47" t="s">
        <v>106</v>
      </c>
      <c r="CL47" t="s">
        <v>88</v>
      </c>
    </row>
    <row r="48" spans="1:90" x14ac:dyDescent="0.3">
      <c r="A48" t="s">
        <v>71</v>
      </c>
      <c r="B48" t="s">
        <v>72</v>
      </c>
      <c r="C48" t="s">
        <v>73</v>
      </c>
      <c r="E48" t="str">
        <f>"009935164274"</f>
        <v>009935164274</v>
      </c>
      <c r="F48" s="1">
        <v>42432</v>
      </c>
      <c r="G48">
        <v>201609</v>
      </c>
      <c r="H48" t="s">
        <v>74</v>
      </c>
      <c r="I48" t="s">
        <v>75</v>
      </c>
      <c r="J48" t="s">
        <v>116</v>
      </c>
      <c r="K48" t="s">
        <v>77</v>
      </c>
      <c r="L48" t="s">
        <v>190</v>
      </c>
      <c r="M48" t="s">
        <v>191</v>
      </c>
      <c r="N48" t="s">
        <v>276</v>
      </c>
      <c r="O48" t="s">
        <v>81</v>
      </c>
      <c r="P48" t="str">
        <f t="shared" si="1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3.28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0.2</v>
      </c>
      <c r="BK48">
        <v>1</v>
      </c>
      <c r="BL48">
        <v>72.63</v>
      </c>
      <c r="BM48">
        <v>10.17</v>
      </c>
      <c r="BN48">
        <v>82.8</v>
      </c>
      <c r="BO48">
        <v>82.8</v>
      </c>
      <c r="BQ48" t="s">
        <v>277</v>
      </c>
      <c r="BR48" t="s">
        <v>121</v>
      </c>
      <c r="BS48" s="1">
        <v>42433</v>
      </c>
      <c r="BT48" s="2">
        <v>0.41666666666666669</v>
      </c>
      <c r="BU48" t="s">
        <v>278</v>
      </c>
      <c r="BV48" t="s">
        <v>85</v>
      </c>
      <c r="BY48">
        <v>1200</v>
      </c>
      <c r="CC48" t="s">
        <v>191</v>
      </c>
      <c r="CD48">
        <v>1930</v>
      </c>
      <c r="CE48" t="s">
        <v>86</v>
      </c>
      <c r="CF48" s="1">
        <v>42439</v>
      </c>
      <c r="CI48">
        <v>0</v>
      </c>
      <c r="CJ48">
        <v>0</v>
      </c>
      <c r="CK48" t="s">
        <v>195</v>
      </c>
      <c r="CL48" t="s">
        <v>88</v>
      </c>
    </row>
    <row r="49" spans="1:90" x14ac:dyDescent="0.3">
      <c r="A49" t="s">
        <v>71</v>
      </c>
      <c r="B49" t="s">
        <v>72</v>
      </c>
      <c r="C49" t="s">
        <v>73</v>
      </c>
      <c r="E49" t="str">
        <f>"009935164277"</f>
        <v>009935164277</v>
      </c>
      <c r="F49" s="1">
        <v>42432</v>
      </c>
      <c r="G49">
        <v>201609</v>
      </c>
      <c r="H49" t="s">
        <v>74</v>
      </c>
      <c r="I49" t="s">
        <v>75</v>
      </c>
      <c r="J49" t="s">
        <v>116</v>
      </c>
      <c r="K49" t="s">
        <v>77</v>
      </c>
      <c r="L49" t="s">
        <v>141</v>
      </c>
      <c r="M49" t="s">
        <v>142</v>
      </c>
      <c r="N49" t="s">
        <v>279</v>
      </c>
      <c r="O49" t="s">
        <v>81</v>
      </c>
      <c r="P49" t="str">
        <f t="shared" si="1"/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2.68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1</v>
      </c>
      <c r="BL49">
        <v>60.33</v>
      </c>
      <c r="BM49">
        <v>8.4499999999999993</v>
      </c>
      <c r="BN49">
        <v>68.78</v>
      </c>
      <c r="BO49">
        <v>68.78</v>
      </c>
      <c r="BQ49" t="s">
        <v>144</v>
      </c>
      <c r="BR49" t="s">
        <v>121</v>
      </c>
      <c r="BS49" s="1">
        <v>42433</v>
      </c>
      <c r="BT49" s="2">
        <v>0.42222222222222222</v>
      </c>
      <c r="BU49" t="s">
        <v>280</v>
      </c>
      <c r="BV49" t="s">
        <v>85</v>
      </c>
      <c r="BY49">
        <v>1200</v>
      </c>
      <c r="CC49" t="s">
        <v>142</v>
      </c>
      <c r="CD49">
        <v>1709</v>
      </c>
      <c r="CE49" t="s">
        <v>86</v>
      </c>
      <c r="CF49" s="1">
        <v>42438</v>
      </c>
      <c r="CI49">
        <v>0</v>
      </c>
      <c r="CJ49">
        <v>0</v>
      </c>
      <c r="CK49" t="s">
        <v>112</v>
      </c>
      <c r="CL49" t="s">
        <v>88</v>
      </c>
    </row>
    <row r="50" spans="1:90" x14ac:dyDescent="0.3">
      <c r="A50" t="s">
        <v>71</v>
      </c>
      <c r="B50" t="s">
        <v>72</v>
      </c>
      <c r="C50" t="s">
        <v>73</v>
      </c>
      <c r="E50" t="str">
        <f>"009935164273"</f>
        <v>009935164273</v>
      </c>
      <c r="F50" s="1">
        <v>42432</v>
      </c>
      <c r="G50">
        <v>201609</v>
      </c>
      <c r="H50" t="s">
        <v>74</v>
      </c>
      <c r="I50" t="s">
        <v>75</v>
      </c>
      <c r="J50" t="s">
        <v>116</v>
      </c>
      <c r="K50" t="s">
        <v>77</v>
      </c>
      <c r="L50" t="s">
        <v>281</v>
      </c>
      <c r="M50" t="s">
        <v>282</v>
      </c>
      <c r="N50" t="s">
        <v>283</v>
      </c>
      <c r="O50" t="s">
        <v>81</v>
      </c>
      <c r="P50" t="str">
        <f t="shared" si="1"/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3.28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72.63</v>
      </c>
      <c r="BM50">
        <v>10.17</v>
      </c>
      <c r="BN50">
        <v>82.8</v>
      </c>
      <c r="BO50">
        <v>82.8</v>
      </c>
      <c r="BQ50" t="s">
        <v>284</v>
      </c>
      <c r="BR50" t="s">
        <v>121</v>
      </c>
      <c r="BS50" s="1">
        <v>42433</v>
      </c>
      <c r="BT50" s="2">
        <v>0.44444444444444442</v>
      </c>
      <c r="BU50" t="s">
        <v>285</v>
      </c>
      <c r="BY50">
        <v>1200</v>
      </c>
      <c r="CC50" t="s">
        <v>282</v>
      </c>
      <c r="CD50">
        <v>117</v>
      </c>
      <c r="CE50" t="s">
        <v>86</v>
      </c>
      <c r="CF50" s="1">
        <v>42438</v>
      </c>
      <c r="CI50">
        <v>0</v>
      </c>
      <c r="CJ50">
        <v>0</v>
      </c>
      <c r="CK50" t="s">
        <v>195</v>
      </c>
      <c r="CL50" t="s">
        <v>88</v>
      </c>
    </row>
    <row r="51" spans="1:90" x14ac:dyDescent="0.3">
      <c r="A51" t="s">
        <v>71</v>
      </c>
      <c r="B51" t="s">
        <v>72</v>
      </c>
      <c r="C51" t="s">
        <v>73</v>
      </c>
      <c r="E51" t="str">
        <f>"009935164278"</f>
        <v>009935164278</v>
      </c>
      <c r="F51" s="1">
        <v>42432</v>
      </c>
      <c r="G51">
        <v>201609</v>
      </c>
      <c r="H51" t="s">
        <v>74</v>
      </c>
      <c r="I51" t="s">
        <v>75</v>
      </c>
      <c r="J51" t="s">
        <v>116</v>
      </c>
      <c r="K51" t="s">
        <v>77</v>
      </c>
      <c r="L51" t="s">
        <v>211</v>
      </c>
      <c r="M51" t="s">
        <v>212</v>
      </c>
      <c r="N51" t="s">
        <v>286</v>
      </c>
      <c r="O51" t="s">
        <v>81</v>
      </c>
      <c r="P51" t="str">
        <f t="shared" si="1"/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3.57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78.77</v>
      </c>
      <c r="BM51">
        <v>11.03</v>
      </c>
      <c r="BN51">
        <v>89.8</v>
      </c>
      <c r="BO51">
        <v>89.8</v>
      </c>
      <c r="BQ51" t="s">
        <v>287</v>
      </c>
      <c r="BR51" t="s">
        <v>121</v>
      </c>
      <c r="BS51" s="1">
        <v>42433</v>
      </c>
      <c r="BT51" s="2">
        <v>0.45833333333333331</v>
      </c>
      <c r="BU51" t="s">
        <v>288</v>
      </c>
      <c r="BV51" t="s">
        <v>85</v>
      </c>
      <c r="BY51">
        <v>1200</v>
      </c>
      <c r="CC51" t="s">
        <v>212</v>
      </c>
      <c r="CD51">
        <v>299</v>
      </c>
      <c r="CE51" t="s">
        <v>86</v>
      </c>
      <c r="CF51" s="1">
        <v>42439</v>
      </c>
      <c r="CI51">
        <v>0</v>
      </c>
      <c r="CJ51">
        <v>0</v>
      </c>
      <c r="CK51" t="s">
        <v>216</v>
      </c>
      <c r="CL51" t="s">
        <v>88</v>
      </c>
    </row>
    <row r="52" spans="1:90" x14ac:dyDescent="0.3">
      <c r="A52" t="s">
        <v>71</v>
      </c>
      <c r="B52" t="s">
        <v>72</v>
      </c>
      <c r="C52" t="s">
        <v>73</v>
      </c>
      <c r="E52" t="str">
        <f>"009935164275"</f>
        <v>009935164275</v>
      </c>
      <c r="F52" s="1">
        <v>42432</v>
      </c>
      <c r="G52">
        <v>201609</v>
      </c>
      <c r="H52" t="s">
        <v>74</v>
      </c>
      <c r="I52" t="s">
        <v>75</v>
      </c>
      <c r="J52" t="s">
        <v>116</v>
      </c>
      <c r="K52" t="s">
        <v>77</v>
      </c>
      <c r="L52" t="s">
        <v>96</v>
      </c>
      <c r="M52" t="s">
        <v>97</v>
      </c>
      <c r="N52" t="s">
        <v>289</v>
      </c>
      <c r="O52" t="s">
        <v>81</v>
      </c>
      <c r="P52" t="str">
        <f t="shared" si="1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2.68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60.33</v>
      </c>
      <c r="BM52">
        <v>8.4499999999999993</v>
      </c>
      <c r="BN52">
        <v>68.78</v>
      </c>
      <c r="BO52">
        <v>68.78</v>
      </c>
      <c r="BQ52" t="s">
        <v>121</v>
      </c>
      <c r="BR52" t="s">
        <v>121</v>
      </c>
      <c r="BS52" s="1">
        <v>42433</v>
      </c>
      <c r="BT52" s="2">
        <v>0.4375</v>
      </c>
      <c r="BU52" t="s">
        <v>290</v>
      </c>
      <c r="BV52" t="s">
        <v>85</v>
      </c>
      <c r="BY52">
        <v>1200</v>
      </c>
      <c r="CC52" t="s">
        <v>97</v>
      </c>
      <c r="CD52">
        <v>4036</v>
      </c>
      <c r="CE52" t="s">
        <v>86</v>
      </c>
      <c r="CF52" s="1">
        <v>42437</v>
      </c>
      <c r="CI52">
        <v>0</v>
      </c>
      <c r="CJ52">
        <v>0</v>
      </c>
      <c r="CK52" t="s">
        <v>95</v>
      </c>
      <c r="CL52" t="s">
        <v>88</v>
      </c>
    </row>
    <row r="53" spans="1:90" x14ac:dyDescent="0.3">
      <c r="A53" t="s">
        <v>71</v>
      </c>
      <c r="B53" t="s">
        <v>72</v>
      </c>
      <c r="C53" t="s">
        <v>73</v>
      </c>
      <c r="E53" t="str">
        <f>"009935164321"</f>
        <v>009935164321</v>
      </c>
      <c r="F53" s="1">
        <v>42433</v>
      </c>
      <c r="G53">
        <v>201609</v>
      </c>
      <c r="H53" t="s">
        <v>74</v>
      </c>
      <c r="I53" t="s">
        <v>75</v>
      </c>
      <c r="J53" t="s">
        <v>116</v>
      </c>
      <c r="K53" t="s">
        <v>77</v>
      </c>
      <c r="L53" t="s">
        <v>96</v>
      </c>
      <c r="M53" t="s">
        <v>97</v>
      </c>
      <c r="N53" t="s">
        <v>244</v>
      </c>
      <c r="O53" t="s">
        <v>81</v>
      </c>
      <c r="P53" t="str">
        <f t="shared" si="1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2.68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1.2</v>
      </c>
      <c r="BJ53">
        <v>0.7</v>
      </c>
      <c r="BK53">
        <v>2</v>
      </c>
      <c r="BL53">
        <v>60.33</v>
      </c>
      <c r="BM53">
        <v>8.4499999999999993</v>
      </c>
      <c r="BN53">
        <v>68.78</v>
      </c>
      <c r="BO53">
        <v>68.78</v>
      </c>
      <c r="BQ53" t="s">
        <v>245</v>
      </c>
      <c r="BR53" t="s">
        <v>121</v>
      </c>
      <c r="BS53" s="1">
        <v>42436</v>
      </c>
      <c r="BT53" s="2">
        <v>0.37638888888888888</v>
      </c>
      <c r="BU53" t="s">
        <v>245</v>
      </c>
      <c r="BV53" t="s">
        <v>85</v>
      </c>
      <c r="BY53">
        <v>3327.79</v>
      </c>
      <c r="CC53" t="s">
        <v>97</v>
      </c>
      <c r="CD53">
        <v>4019</v>
      </c>
      <c r="CE53" t="s">
        <v>86</v>
      </c>
      <c r="CF53" s="1">
        <v>42439</v>
      </c>
      <c r="CI53">
        <v>0</v>
      </c>
      <c r="CJ53">
        <v>0</v>
      </c>
      <c r="CK53" t="s">
        <v>95</v>
      </c>
      <c r="CL53" t="s">
        <v>88</v>
      </c>
    </row>
    <row r="54" spans="1:90" x14ac:dyDescent="0.3">
      <c r="A54" t="s">
        <v>71</v>
      </c>
      <c r="B54" t="s">
        <v>72</v>
      </c>
      <c r="C54" t="s">
        <v>73</v>
      </c>
      <c r="E54" t="str">
        <f>"009935164334"</f>
        <v>009935164334</v>
      </c>
      <c r="F54" s="1">
        <v>42433</v>
      </c>
      <c r="G54">
        <v>201609</v>
      </c>
      <c r="H54" t="s">
        <v>74</v>
      </c>
      <c r="I54" t="s">
        <v>75</v>
      </c>
      <c r="J54" t="s">
        <v>116</v>
      </c>
      <c r="K54" t="s">
        <v>77</v>
      </c>
      <c r="L54" t="s">
        <v>74</v>
      </c>
      <c r="M54" t="s">
        <v>75</v>
      </c>
      <c r="N54" t="s">
        <v>291</v>
      </c>
      <c r="O54" t="s">
        <v>81</v>
      </c>
      <c r="P54" t="str">
        <f t="shared" si="1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2.68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0.6</v>
      </c>
      <c r="BK54">
        <v>1</v>
      </c>
      <c r="BL54">
        <v>60.33</v>
      </c>
      <c r="BM54">
        <v>8.4499999999999993</v>
      </c>
      <c r="BN54">
        <v>68.78</v>
      </c>
      <c r="BO54">
        <v>68.78</v>
      </c>
      <c r="BQ54" t="s">
        <v>292</v>
      </c>
      <c r="BR54" t="s">
        <v>121</v>
      </c>
      <c r="BS54" s="1">
        <v>42436</v>
      </c>
      <c r="BT54" s="2">
        <v>0.46111111111111108</v>
      </c>
      <c r="BU54" t="s">
        <v>293</v>
      </c>
      <c r="BV54" t="s">
        <v>85</v>
      </c>
      <c r="BY54">
        <v>3165.55</v>
      </c>
      <c r="CC54" t="s">
        <v>75</v>
      </c>
      <c r="CD54">
        <v>2021</v>
      </c>
      <c r="CE54" t="s">
        <v>86</v>
      </c>
      <c r="CF54" s="1">
        <v>42438</v>
      </c>
      <c r="CI54">
        <v>0</v>
      </c>
      <c r="CJ54">
        <v>0</v>
      </c>
      <c r="CK54" t="s">
        <v>112</v>
      </c>
      <c r="CL54" t="s">
        <v>88</v>
      </c>
    </row>
    <row r="55" spans="1:90" x14ac:dyDescent="0.3">
      <c r="A55" t="s">
        <v>71</v>
      </c>
      <c r="B55" t="s">
        <v>72</v>
      </c>
      <c r="C55" t="s">
        <v>73</v>
      </c>
      <c r="E55" t="str">
        <f>"009935164283"</f>
        <v>009935164283</v>
      </c>
      <c r="F55" s="1">
        <v>42433</v>
      </c>
      <c r="G55">
        <v>201609</v>
      </c>
      <c r="H55" t="s">
        <v>74</v>
      </c>
      <c r="I55" t="s">
        <v>75</v>
      </c>
      <c r="J55" t="s">
        <v>116</v>
      </c>
      <c r="K55" t="s">
        <v>77</v>
      </c>
      <c r="L55" t="s">
        <v>90</v>
      </c>
      <c r="M55" t="s">
        <v>91</v>
      </c>
      <c r="N55" t="s">
        <v>294</v>
      </c>
      <c r="O55" t="s">
        <v>81</v>
      </c>
      <c r="P55" t="str">
        <f t="shared" si="1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2.68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2.2000000000000002</v>
      </c>
      <c r="BJ55">
        <v>1.2</v>
      </c>
      <c r="BK55">
        <v>3</v>
      </c>
      <c r="BL55">
        <v>60.33</v>
      </c>
      <c r="BM55">
        <v>8.4499999999999993</v>
      </c>
      <c r="BN55">
        <v>68.78</v>
      </c>
      <c r="BO55">
        <v>68.78</v>
      </c>
      <c r="BQ55" t="s">
        <v>295</v>
      </c>
      <c r="BR55" t="s">
        <v>121</v>
      </c>
      <c r="BS55" s="1">
        <v>42436</v>
      </c>
      <c r="BT55" s="2">
        <v>0.34375</v>
      </c>
      <c r="BU55" t="s">
        <v>296</v>
      </c>
      <c r="BV55" t="s">
        <v>85</v>
      </c>
      <c r="BY55">
        <v>5980.72</v>
      </c>
      <c r="CC55" t="s">
        <v>91</v>
      </c>
      <c r="CD55">
        <v>3603</v>
      </c>
      <c r="CE55" t="s">
        <v>86</v>
      </c>
      <c r="CF55" s="1">
        <v>42439</v>
      </c>
      <c r="CI55">
        <v>0</v>
      </c>
      <c r="CJ55">
        <v>0</v>
      </c>
      <c r="CK55" t="s">
        <v>95</v>
      </c>
      <c r="CL55" t="s">
        <v>88</v>
      </c>
    </row>
    <row r="56" spans="1:90" x14ac:dyDescent="0.3">
      <c r="A56" t="s">
        <v>71</v>
      </c>
      <c r="B56" t="s">
        <v>72</v>
      </c>
      <c r="C56" t="s">
        <v>73</v>
      </c>
      <c r="E56" t="str">
        <f>"009935164314"</f>
        <v>009935164314</v>
      </c>
      <c r="F56" s="1">
        <v>42433</v>
      </c>
      <c r="G56">
        <v>201609</v>
      </c>
      <c r="H56" t="s">
        <v>74</v>
      </c>
      <c r="I56" t="s">
        <v>75</v>
      </c>
      <c r="J56" t="s">
        <v>116</v>
      </c>
      <c r="K56" t="s">
        <v>77</v>
      </c>
      <c r="L56" t="s">
        <v>297</v>
      </c>
      <c r="M56" t="s">
        <v>298</v>
      </c>
      <c r="N56" t="s">
        <v>299</v>
      </c>
      <c r="O56" t="s">
        <v>81</v>
      </c>
      <c r="P56" t="str">
        <f t="shared" si="1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3.9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0.5</v>
      </c>
      <c r="BJ56">
        <v>0.2</v>
      </c>
      <c r="BK56">
        <v>1</v>
      </c>
      <c r="BL56">
        <v>85.54</v>
      </c>
      <c r="BM56">
        <v>11.98</v>
      </c>
      <c r="BN56">
        <v>97.52</v>
      </c>
      <c r="BO56">
        <v>97.52</v>
      </c>
      <c r="BQ56" t="s">
        <v>300</v>
      </c>
      <c r="BR56" t="s">
        <v>121</v>
      </c>
      <c r="BS56" s="1">
        <v>42436</v>
      </c>
      <c r="BT56" s="2">
        <v>0.41875000000000001</v>
      </c>
      <c r="BU56" t="s">
        <v>301</v>
      </c>
      <c r="BV56" t="s">
        <v>85</v>
      </c>
      <c r="BY56">
        <v>1200</v>
      </c>
      <c r="CC56" t="s">
        <v>298</v>
      </c>
      <c r="CD56">
        <v>7600</v>
      </c>
      <c r="CE56" t="s">
        <v>86</v>
      </c>
      <c r="CF56" s="1">
        <v>42438</v>
      </c>
      <c r="CI56">
        <v>0</v>
      </c>
      <c r="CJ56">
        <v>0</v>
      </c>
      <c r="CK56" t="s">
        <v>106</v>
      </c>
      <c r="CL56" t="s">
        <v>88</v>
      </c>
    </row>
    <row r="57" spans="1:90" x14ac:dyDescent="0.3">
      <c r="A57" t="s">
        <v>71</v>
      </c>
      <c r="B57" t="s">
        <v>72</v>
      </c>
      <c r="C57" t="s">
        <v>73</v>
      </c>
      <c r="E57" t="str">
        <f>"009935164285"</f>
        <v>009935164285</v>
      </c>
      <c r="F57" s="1">
        <v>42433</v>
      </c>
      <c r="G57">
        <v>201609</v>
      </c>
      <c r="H57" t="s">
        <v>74</v>
      </c>
      <c r="I57" t="s">
        <v>75</v>
      </c>
      <c r="J57" t="s">
        <v>116</v>
      </c>
      <c r="K57" t="s">
        <v>77</v>
      </c>
      <c r="L57" t="s">
        <v>302</v>
      </c>
      <c r="M57" t="s">
        <v>303</v>
      </c>
      <c r="N57" t="s">
        <v>304</v>
      </c>
      <c r="O57" t="s">
        <v>81</v>
      </c>
      <c r="P57" t="str">
        <f t="shared" si="1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3.28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0.2</v>
      </c>
      <c r="BK57">
        <v>1</v>
      </c>
      <c r="BL57">
        <v>72.63</v>
      </c>
      <c r="BM57">
        <v>10.17</v>
      </c>
      <c r="BN57">
        <v>82.8</v>
      </c>
      <c r="BO57">
        <v>82.8</v>
      </c>
      <c r="BQ57" t="s">
        <v>305</v>
      </c>
      <c r="BR57" t="s">
        <v>121</v>
      </c>
      <c r="BS57" s="1">
        <v>42438</v>
      </c>
      <c r="BT57" s="2">
        <v>0.45833333333333331</v>
      </c>
      <c r="BU57" t="s">
        <v>306</v>
      </c>
      <c r="BY57">
        <v>1200</v>
      </c>
      <c r="CC57" t="s">
        <v>303</v>
      </c>
      <c r="CD57">
        <v>157</v>
      </c>
      <c r="CE57" t="s">
        <v>86</v>
      </c>
      <c r="CF57" s="1">
        <v>42443</v>
      </c>
      <c r="CI57">
        <v>0</v>
      </c>
      <c r="CJ57">
        <v>0</v>
      </c>
      <c r="CK57" t="s">
        <v>195</v>
      </c>
      <c r="CL57" t="s">
        <v>88</v>
      </c>
    </row>
    <row r="58" spans="1:90" x14ac:dyDescent="0.3">
      <c r="A58" t="s">
        <v>71</v>
      </c>
      <c r="B58" t="s">
        <v>72</v>
      </c>
      <c r="C58" t="s">
        <v>73</v>
      </c>
      <c r="E58" t="str">
        <f>"009935164280"</f>
        <v>009935164280</v>
      </c>
      <c r="F58" s="1">
        <v>42433</v>
      </c>
      <c r="G58">
        <v>201609</v>
      </c>
      <c r="H58" t="s">
        <v>74</v>
      </c>
      <c r="I58" t="s">
        <v>75</v>
      </c>
      <c r="J58" t="s">
        <v>116</v>
      </c>
      <c r="K58" t="s">
        <v>77</v>
      </c>
      <c r="L58" t="s">
        <v>271</v>
      </c>
      <c r="M58" t="s">
        <v>272</v>
      </c>
      <c r="N58" t="s">
        <v>307</v>
      </c>
      <c r="O58" t="s">
        <v>81</v>
      </c>
      <c r="P58" t="str">
        <f t="shared" si="1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3.9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85.54</v>
      </c>
      <c r="BM58">
        <v>11.98</v>
      </c>
      <c r="BN58">
        <v>97.52</v>
      </c>
      <c r="BO58">
        <v>97.52</v>
      </c>
      <c r="BQ58" t="s">
        <v>308</v>
      </c>
      <c r="BR58" t="s">
        <v>121</v>
      </c>
      <c r="BS58" s="1">
        <v>42436</v>
      </c>
      <c r="BT58" s="2">
        <v>0.45833333333333331</v>
      </c>
      <c r="BU58" t="s">
        <v>309</v>
      </c>
      <c r="BV58" t="s">
        <v>85</v>
      </c>
      <c r="BY58">
        <v>1200</v>
      </c>
      <c r="CC58" t="s">
        <v>272</v>
      </c>
      <c r="CD58">
        <v>2351</v>
      </c>
      <c r="CE58" t="s">
        <v>86</v>
      </c>
      <c r="CF58" s="1">
        <v>42439</v>
      </c>
      <c r="CI58">
        <v>0</v>
      </c>
      <c r="CJ58">
        <v>0</v>
      </c>
      <c r="CK58" t="s">
        <v>106</v>
      </c>
      <c r="CL58" t="s">
        <v>88</v>
      </c>
    </row>
    <row r="59" spans="1:90" x14ac:dyDescent="0.3">
      <c r="A59" t="s">
        <v>71</v>
      </c>
      <c r="B59" t="s">
        <v>72</v>
      </c>
      <c r="C59" t="s">
        <v>73</v>
      </c>
      <c r="E59" t="str">
        <f>"009935164279"</f>
        <v>009935164279</v>
      </c>
      <c r="F59" s="1">
        <v>42433</v>
      </c>
      <c r="G59">
        <v>201609</v>
      </c>
      <c r="H59" t="s">
        <v>74</v>
      </c>
      <c r="I59" t="s">
        <v>75</v>
      </c>
      <c r="J59" t="s">
        <v>116</v>
      </c>
      <c r="K59" t="s">
        <v>77</v>
      </c>
      <c r="L59" t="s">
        <v>127</v>
      </c>
      <c r="M59" t="s">
        <v>128</v>
      </c>
      <c r="N59" t="s">
        <v>310</v>
      </c>
      <c r="O59" t="s">
        <v>81</v>
      </c>
      <c r="P59" t="str">
        <f t="shared" si="1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3.9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0.6</v>
      </c>
      <c r="BJ59">
        <v>0.6</v>
      </c>
      <c r="BK59">
        <v>1</v>
      </c>
      <c r="BL59">
        <v>85.54</v>
      </c>
      <c r="BM59">
        <v>11.98</v>
      </c>
      <c r="BN59">
        <v>97.52</v>
      </c>
      <c r="BO59">
        <v>97.52</v>
      </c>
      <c r="BQ59" t="s">
        <v>311</v>
      </c>
      <c r="BR59" t="s">
        <v>121</v>
      </c>
      <c r="BS59" s="1">
        <v>42436</v>
      </c>
      <c r="BT59" s="2">
        <v>0.42222222222222222</v>
      </c>
      <c r="BU59" t="s">
        <v>312</v>
      </c>
      <c r="BV59" t="s">
        <v>85</v>
      </c>
      <c r="BY59">
        <v>2761.2</v>
      </c>
      <c r="CC59" t="s">
        <v>128</v>
      </c>
      <c r="CD59">
        <v>5241</v>
      </c>
      <c r="CE59" t="s">
        <v>86</v>
      </c>
      <c r="CF59" s="1">
        <v>42439</v>
      </c>
      <c r="CI59">
        <v>0</v>
      </c>
      <c r="CJ59">
        <v>0</v>
      </c>
      <c r="CK59" t="s">
        <v>132</v>
      </c>
      <c r="CL59" t="s">
        <v>88</v>
      </c>
    </row>
    <row r="60" spans="1:90" x14ac:dyDescent="0.3">
      <c r="A60" t="s">
        <v>71</v>
      </c>
      <c r="B60" t="s">
        <v>72</v>
      </c>
      <c r="C60" t="s">
        <v>73</v>
      </c>
      <c r="E60" t="str">
        <f>"009935164281"</f>
        <v>009935164281</v>
      </c>
      <c r="F60" s="1">
        <v>42433</v>
      </c>
      <c r="G60">
        <v>201609</v>
      </c>
      <c r="H60" t="s">
        <v>74</v>
      </c>
      <c r="I60" t="s">
        <v>75</v>
      </c>
      <c r="J60" t="s">
        <v>116</v>
      </c>
      <c r="K60" t="s">
        <v>77</v>
      </c>
      <c r="L60" t="s">
        <v>313</v>
      </c>
      <c r="M60" t="s">
        <v>314</v>
      </c>
      <c r="N60" t="s">
        <v>315</v>
      </c>
      <c r="O60" t="s">
        <v>81</v>
      </c>
      <c r="P60" t="str">
        <f t="shared" si="1"/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3.87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0.2</v>
      </c>
      <c r="BK60">
        <v>1</v>
      </c>
      <c r="BL60">
        <v>84.92</v>
      </c>
      <c r="BM60">
        <v>11.89</v>
      </c>
      <c r="BN60">
        <v>96.81</v>
      </c>
      <c r="BO60">
        <v>96.81</v>
      </c>
      <c r="BQ60" t="s">
        <v>316</v>
      </c>
      <c r="BR60" t="s">
        <v>121</v>
      </c>
      <c r="BS60" s="1">
        <v>42436</v>
      </c>
      <c r="BT60" s="2">
        <v>0.34027777777777773</v>
      </c>
      <c r="BU60" t="s">
        <v>317</v>
      </c>
      <c r="BV60" t="s">
        <v>85</v>
      </c>
      <c r="BY60">
        <v>1200</v>
      </c>
      <c r="CC60" t="s">
        <v>314</v>
      </c>
      <c r="CD60">
        <v>3200</v>
      </c>
      <c r="CE60" t="s">
        <v>86</v>
      </c>
      <c r="CF60" s="1">
        <v>42438</v>
      </c>
      <c r="CI60">
        <v>0</v>
      </c>
      <c r="CJ60">
        <v>0</v>
      </c>
      <c r="CK60" t="s">
        <v>256</v>
      </c>
      <c r="CL60" t="s">
        <v>88</v>
      </c>
    </row>
    <row r="61" spans="1:90" x14ac:dyDescent="0.3">
      <c r="A61" t="s">
        <v>71</v>
      </c>
      <c r="B61" t="s">
        <v>72</v>
      </c>
      <c r="C61" t="s">
        <v>73</v>
      </c>
      <c r="E61" t="str">
        <f>"009935164333"</f>
        <v>009935164333</v>
      </c>
      <c r="F61" s="1">
        <v>42433</v>
      </c>
      <c r="G61">
        <v>201609</v>
      </c>
      <c r="H61" t="s">
        <v>74</v>
      </c>
      <c r="I61" t="s">
        <v>75</v>
      </c>
      <c r="J61" t="s">
        <v>116</v>
      </c>
      <c r="K61" t="s">
        <v>77</v>
      </c>
      <c r="L61" t="s">
        <v>318</v>
      </c>
      <c r="M61" t="s">
        <v>319</v>
      </c>
      <c r="N61" t="s">
        <v>320</v>
      </c>
      <c r="O61" t="s">
        <v>81</v>
      </c>
      <c r="P61" t="str">
        <f t="shared" si="1"/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4.6500000000000004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1.2</v>
      </c>
      <c r="BJ61">
        <v>0.9</v>
      </c>
      <c r="BK61">
        <v>2</v>
      </c>
      <c r="BL61">
        <v>100.91</v>
      </c>
      <c r="BM61">
        <v>14.13</v>
      </c>
      <c r="BN61">
        <v>115.04</v>
      </c>
      <c r="BO61">
        <v>115.04</v>
      </c>
      <c r="BQ61" t="s">
        <v>321</v>
      </c>
      <c r="BR61" t="s">
        <v>121</v>
      </c>
      <c r="BS61" s="1">
        <v>42436</v>
      </c>
      <c r="BT61" s="2">
        <v>0.53819444444444442</v>
      </c>
      <c r="BU61" t="s">
        <v>321</v>
      </c>
      <c r="BV61" t="s">
        <v>85</v>
      </c>
      <c r="BY61">
        <v>4387.0200000000004</v>
      </c>
      <c r="CC61" t="s">
        <v>319</v>
      </c>
      <c r="CD61">
        <v>2740</v>
      </c>
      <c r="CE61" t="s">
        <v>86</v>
      </c>
      <c r="CF61" s="1">
        <v>42439</v>
      </c>
      <c r="CI61">
        <v>0</v>
      </c>
      <c r="CJ61">
        <v>0</v>
      </c>
      <c r="CK61" t="s">
        <v>322</v>
      </c>
      <c r="CL61" t="s">
        <v>88</v>
      </c>
    </row>
    <row r="62" spans="1:90" x14ac:dyDescent="0.3">
      <c r="A62" t="s">
        <v>71</v>
      </c>
      <c r="B62" t="s">
        <v>72</v>
      </c>
      <c r="C62" t="s">
        <v>73</v>
      </c>
      <c r="E62" t="str">
        <f>"009935164282"</f>
        <v>009935164282</v>
      </c>
      <c r="F62" s="1">
        <v>42433</v>
      </c>
      <c r="G62">
        <v>201609</v>
      </c>
      <c r="H62" t="s">
        <v>74</v>
      </c>
      <c r="I62" t="s">
        <v>75</v>
      </c>
      <c r="J62" t="s">
        <v>116</v>
      </c>
      <c r="K62" t="s">
        <v>77</v>
      </c>
      <c r="L62" t="s">
        <v>101</v>
      </c>
      <c r="M62" t="s">
        <v>102</v>
      </c>
      <c r="N62" t="s">
        <v>323</v>
      </c>
      <c r="O62" t="s">
        <v>81</v>
      </c>
      <c r="P62" t="str">
        <f t="shared" si="1"/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3.9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0.5</v>
      </c>
      <c r="BK62">
        <v>1</v>
      </c>
      <c r="BL62">
        <v>85.54</v>
      </c>
      <c r="BM62">
        <v>11.98</v>
      </c>
      <c r="BN62">
        <v>97.52</v>
      </c>
      <c r="BO62">
        <v>97.52</v>
      </c>
      <c r="BQ62" t="s">
        <v>324</v>
      </c>
      <c r="BR62" t="s">
        <v>121</v>
      </c>
      <c r="BS62" s="1">
        <v>42436</v>
      </c>
      <c r="BT62" s="2">
        <v>0.41666666666666669</v>
      </c>
      <c r="BU62" t="s">
        <v>114</v>
      </c>
      <c r="BV62" t="s">
        <v>85</v>
      </c>
      <c r="BY62">
        <v>2621.81</v>
      </c>
      <c r="CC62" t="s">
        <v>102</v>
      </c>
      <c r="CD62">
        <v>7499</v>
      </c>
      <c r="CE62" t="s">
        <v>86</v>
      </c>
      <c r="CF62" s="1">
        <v>42438</v>
      </c>
      <c r="CI62">
        <v>0</v>
      </c>
      <c r="CJ62">
        <v>0</v>
      </c>
      <c r="CK62" t="s">
        <v>106</v>
      </c>
      <c r="CL62" t="s">
        <v>88</v>
      </c>
    </row>
    <row r="63" spans="1:90" x14ac:dyDescent="0.3">
      <c r="A63" t="s">
        <v>71</v>
      </c>
      <c r="B63" t="s">
        <v>72</v>
      </c>
      <c r="C63" t="s">
        <v>73</v>
      </c>
      <c r="E63" t="str">
        <f>"009934303932"</f>
        <v>009934303932</v>
      </c>
      <c r="F63" s="1">
        <v>42436</v>
      </c>
      <c r="G63">
        <v>201609</v>
      </c>
      <c r="H63" t="s">
        <v>74</v>
      </c>
      <c r="I63" t="s">
        <v>75</v>
      </c>
      <c r="J63" t="s">
        <v>116</v>
      </c>
      <c r="K63" t="s">
        <v>77</v>
      </c>
      <c r="L63" t="s">
        <v>281</v>
      </c>
      <c r="M63" t="s">
        <v>282</v>
      </c>
      <c r="N63" t="s">
        <v>325</v>
      </c>
      <c r="O63" t="s">
        <v>81</v>
      </c>
      <c r="P63" t="str">
        <f>"NO REF                        "</f>
        <v xml:space="preserve">NO REF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3.28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0.8</v>
      </c>
      <c r="BJ63">
        <v>0.7</v>
      </c>
      <c r="BK63">
        <v>1</v>
      </c>
      <c r="BL63">
        <v>72.63</v>
      </c>
      <c r="BM63">
        <v>10.17</v>
      </c>
      <c r="BN63">
        <v>82.8</v>
      </c>
      <c r="BO63">
        <v>82.8</v>
      </c>
      <c r="BQ63" t="s">
        <v>326</v>
      </c>
      <c r="BR63" t="s">
        <v>121</v>
      </c>
      <c r="BS63" s="1">
        <v>42437</v>
      </c>
      <c r="BT63" s="2">
        <v>0.58333333333333337</v>
      </c>
      <c r="BU63" t="s">
        <v>327</v>
      </c>
      <c r="BY63">
        <v>3448.62</v>
      </c>
      <c r="CC63" t="s">
        <v>282</v>
      </c>
      <c r="CD63">
        <v>62</v>
      </c>
      <c r="CE63" t="s">
        <v>86</v>
      </c>
      <c r="CF63" s="1">
        <v>42440</v>
      </c>
      <c r="CI63">
        <v>0</v>
      </c>
      <c r="CJ63">
        <v>0</v>
      </c>
      <c r="CK63" t="s">
        <v>195</v>
      </c>
      <c r="CL63" t="s">
        <v>88</v>
      </c>
    </row>
    <row r="64" spans="1:90" x14ac:dyDescent="0.3">
      <c r="A64" t="s">
        <v>71</v>
      </c>
      <c r="B64" t="s">
        <v>72</v>
      </c>
      <c r="C64" t="s">
        <v>73</v>
      </c>
      <c r="E64" t="str">
        <f>"009935164312"</f>
        <v>009935164312</v>
      </c>
      <c r="F64" s="1">
        <v>42436</v>
      </c>
      <c r="G64">
        <v>201609</v>
      </c>
      <c r="H64" t="s">
        <v>74</v>
      </c>
      <c r="I64" t="s">
        <v>75</v>
      </c>
      <c r="J64" t="s">
        <v>116</v>
      </c>
      <c r="K64" t="s">
        <v>77</v>
      </c>
      <c r="L64" t="s">
        <v>190</v>
      </c>
      <c r="M64" t="s">
        <v>191</v>
      </c>
      <c r="N64" t="s">
        <v>328</v>
      </c>
      <c r="O64" t="s">
        <v>81</v>
      </c>
      <c r="P64" t="str">
        <f>"NO REF                        "</f>
        <v xml:space="preserve">NO REF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3.28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0.5</v>
      </c>
      <c r="BJ64">
        <v>0.2</v>
      </c>
      <c r="BK64">
        <v>1</v>
      </c>
      <c r="BL64">
        <v>72.63</v>
      </c>
      <c r="BM64">
        <v>10.17</v>
      </c>
      <c r="BN64">
        <v>82.8</v>
      </c>
      <c r="BO64">
        <v>82.8</v>
      </c>
      <c r="BQ64" t="s">
        <v>329</v>
      </c>
      <c r="BR64" t="s">
        <v>121</v>
      </c>
      <c r="BS64" s="1">
        <v>42437</v>
      </c>
      <c r="BT64" s="2">
        <v>0.41666666666666669</v>
      </c>
      <c r="BU64" t="s">
        <v>330</v>
      </c>
      <c r="BV64" t="s">
        <v>85</v>
      </c>
      <c r="BY64">
        <v>1200</v>
      </c>
      <c r="CC64" t="s">
        <v>191</v>
      </c>
      <c r="CD64">
        <v>1930</v>
      </c>
      <c r="CE64" t="s">
        <v>86</v>
      </c>
      <c r="CF64" s="1">
        <v>42440</v>
      </c>
      <c r="CI64">
        <v>0</v>
      </c>
      <c r="CJ64">
        <v>0</v>
      </c>
      <c r="CK64" t="s">
        <v>195</v>
      </c>
      <c r="CL64" t="s">
        <v>88</v>
      </c>
    </row>
    <row r="65" spans="1:90" x14ac:dyDescent="0.3">
      <c r="A65" t="s">
        <v>71</v>
      </c>
      <c r="B65" t="s">
        <v>72</v>
      </c>
      <c r="C65" t="s">
        <v>73</v>
      </c>
      <c r="E65" t="str">
        <f>"009935164296"</f>
        <v>009935164296</v>
      </c>
      <c r="F65" s="1">
        <v>42436</v>
      </c>
      <c r="G65">
        <v>201609</v>
      </c>
      <c r="H65" t="s">
        <v>74</v>
      </c>
      <c r="I65" t="s">
        <v>75</v>
      </c>
      <c r="J65" t="s">
        <v>116</v>
      </c>
      <c r="K65" t="s">
        <v>77</v>
      </c>
      <c r="L65" t="s">
        <v>101</v>
      </c>
      <c r="M65" t="s">
        <v>102</v>
      </c>
      <c r="N65" t="s">
        <v>331</v>
      </c>
      <c r="O65" t="s">
        <v>81</v>
      </c>
      <c r="P65" t="str">
        <f>"NO REF                        "</f>
        <v xml:space="preserve">NO REF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3.9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0.2</v>
      </c>
      <c r="BK65">
        <v>1</v>
      </c>
      <c r="BL65">
        <v>85.54</v>
      </c>
      <c r="BM65">
        <v>11.98</v>
      </c>
      <c r="BN65">
        <v>97.52</v>
      </c>
      <c r="BO65">
        <v>97.52</v>
      </c>
      <c r="BQ65" t="s">
        <v>332</v>
      </c>
      <c r="BR65" t="s">
        <v>121</v>
      </c>
      <c r="BS65" s="1">
        <v>42437</v>
      </c>
      <c r="BT65" s="2">
        <v>0.43055555555555558</v>
      </c>
      <c r="BU65" t="s">
        <v>333</v>
      </c>
      <c r="BV65" t="s">
        <v>85</v>
      </c>
      <c r="BY65">
        <v>1200</v>
      </c>
      <c r="CC65" t="s">
        <v>102</v>
      </c>
      <c r="CD65">
        <v>8000</v>
      </c>
      <c r="CE65" t="s">
        <v>86</v>
      </c>
      <c r="CF65" s="1">
        <v>42439</v>
      </c>
      <c r="CI65">
        <v>0</v>
      </c>
      <c r="CJ65">
        <v>0</v>
      </c>
      <c r="CK65" t="s">
        <v>106</v>
      </c>
      <c r="CL65" t="s">
        <v>88</v>
      </c>
    </row>
    <row r="66" spans="1:90" x14ac:dyDescent="0.3">
      <c r="A66" t="s">
        <v>71</v>
      </c>
      <c r="B66" t="s">
        <v>72</v>
      </c>
      <c r="C66" t="s">
        <v>73</v>
      </c>
      <c r="E66" t="str">
        <f>"009935164323"</f>
        <v>009935164323</v>
      </c>
      <c r="F66" s="1">
        <v>42436</v>
      </c>
      <c r="G66">
        <v>201609</v>
      </c>
      <c r="H66" t="s">
        <v>74</v>
      </c>
      <c r="I66" t="s">
        <v>75</v>
      </c>
      <c r="J66" t="s">
        <v>116</v>
      </c>
      <c r="K66" t="s">
        <v>77</v>
      </c>
      <c r="L66" t="s">
        <v>101</v>
      </c>
      <c r="M66" t="s">
        <v>102</v>
      </c>
      <c r="N66" t="s">
        <v>76</v>
      </c>
      <c r="O66" t="s">
        <v>81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3.9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13.4</v>
      </c>
      <c r="BJ66">
        <v>4.5</v>
      </c>
      <c r="BK66">
        <v>14</v>
      </c>
      <c r="BL66">
        <v>85.54</v>
      </c>
      <c r="BM66">
        <v>11.98</v>
      </c>
      <c r="BN66">
        <v>97.52</v>
      </c>
      <c r="BO66">
        <v>97.52</v>
      </c>
      <c r="BQ66" t="s">
        <v>334</v>
      </c>
      <c r="BR66" t="s">
        <v>121</v>
      </c>
      <c r="BS66" s="1">
        <v>42438</v>
      </c>
      <c r="BT66" s="2">
        <v>0.41666666666666669</v>
      </c>
      <c r="BU66" t="s">
        <v>335</v>
      </c>
      <c r="BV66" t="s">
        <v>85</v>
      </c>
      <c r="BY66">
        <v>22566.04</v>
      </c>
      <c r="CC66" t="s">
        <v>102</v>
      </c>
      <c r="CD66">
        <v>8000</v>
      </c>
      <c r="CE66" t="s">
        <v>86</v>
      </c>
      <c r="CF66" s="1">
        <v>42440</v>
      </c>
      <c r="CI66">
        <v>0</v>
      </c>
      <c r="CJ66">
        <v>0</v>
      </c>
      <c r="CK66" t="s">
        <v>106</v>
      </c>
      <c r="CL66" t="s">
        <v>88</v>
      </c>
    </row>
    <row r="67" spans="1:90" x14ac:dyDescent="0.3">
      <c r="A67" t="s">
        <v>71</v>
      </c>
      <c r="B67" t="s">
        <v>72</v>
      </c>
      <c r="C67" t="s">
        <v>73</v>
      </c>
      <c r="E67" t="str">
        <f>"009935164298"</f>
        <v>009935164298</v>
      </c>
      <c r="F67" s="1">
        <v>42436</v>
      </c>
      <c r="G67">
        <v>201609</v>
      </c>
      <c r="H67" t="s">
        <v>74</v>
      </c>
      <c r="I67" t="s">
        <v>75</v>
      </c>
      <c r="J67" t="s">
        <v>116</v>
      </c>
      <c r="K67" t="s">
        <v>77</v>
      </c>
      <c r="L67" t="s">
        <v>117</v>
      </c>
      <c r="M67" t="s">
        <v>118</v>
      </c>
      <c r="N67" t="s">
        <v>336</v>
      </c>
      <c r="O67" t="s">
        <v>81</v>
      </c>
      <c r="P67" t="str">
        <f t="shared" ref="P67:P75" si="2">"NO REF                        "</f>
        <v xml:space="preserve">NO REF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4.6500000000000004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0.2</v>
      </c>
      <c r="BK67">
        <v>1</v>
      </c>
      <c r="BL67">
        <v>100.91</v>
      </c>
      <c r="BM67">
        <v>14.13</v>
      </c>
      <c r="BN67">
        <v>115.04</v>
      </c>
      <c r="BO67">
        <v>115.04</v>
      </c>
      <c r="BQ67" t="s">
        <v>337</v>
      </c>
      <c r="BR67" t="s">
        <v>121</v>
      </c>
      <c r="BS67" s="1">
        <v>42438</v>
      </c>
      <c r="BT67" s="2">
        <v>0.62569444444444444</v>
      </c>
      <c r="BU67" t="s">
        <v>338</v>
      </c>
      <c r="BV67" t="s">
        <v>85</v>
      </c>
      <c r="BY67">
        <v>1200</v>
      </c>
      <c r="CC67" t="s">
        <v>118</v>
      </c>
      <c r="CD67">
        <v>7200</v>
      </c>
      <c r="CE67" t="s">
        <v>86</v>
      </c>
      <c r="CF67" s="1">
        <v>42443</v>
      </c>
      <c r="CI67">
        <v>0</v>
      </c>
      <c r="CJ67">
        <v>0</v>
      </c>
      <c r="CK67" t="s">
        <v>123</v>
      </c>
      <c r="CL67" t="s">
        <v>88</v>
      </c>
    </row>
    <row r="68" spans="1:90" x14ac:dyDescent="0.3">
      <c r="A68" t="s">
        <v>71</v>
      </c>
      <c r="B68" t="s">
        <v>72</v>
      </c>
      <c r="C68" t="s">
        <v>73</v>
      </c>
      <c r="E68" t="str">
        <f>"009935164325"</f>
        <v>009935164325</v>
      </c>
      <c r="F68" s="1">
        <v>42436</v>
      </c>
      <c r="G68">
        <v>201609</v>
      </c>
      <c r="H68" t="s">
        <v>74</v>
      </c>
      <c r="I68" t="s">
        <v>75</v>
      </c>
      <c r="J68" t="s">
        <v>116</v>
      </c>
      <c r="K68" t="s">
        <v>77</v>
      </c>
      <c r="L68" t="s">
        <v>159</v>
      </c>
      <c r="M68" t="s">
        <v>160</v>
      </c>
      <c r="N68" t="s">
        <v>339</v>
      </c>
      <c r="O68" t="s">
        <v>81</v>
      </c>
      <c r="P68" t="str">
        <f t="shared" si="2"/>
        <v xml:space="preserve">NO REF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4.6500000000000004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0.2</v>
      </c>
      <c r="BK68">
        <v>1</v>
      </c>
      <c r="BL68">
        <v>100.91</v>
      </c>
      <c r="BM68">
        <v>14.13</v>
      </c>
      <c r="BN68">
        <v>115.04</v>
      </c>
      <c r="BO68">
        <v>115.04</v>
      </c>
      <c r="BQ68" t="s">
        <v>340</v>
      </c>
      <c r="BR68" t="s">
        <v>121</v>
      </c>
      <c r="BS68" s="1">
        <v>42437</v>
      </c>
      <c r="BT68" s="2">
        <v>0.64583333333333337</v>
      </c>
      <c r="BU68" t="s">
        <v>341</v>
      </c>
      <c r="BV68" t="s">
        <v>85</v>
      </c>
      <c r="BY68">
        <v>1200</v>
      </c>
      <c r="CC68" t="s">
        <v>160</v>
      </c>
      <c r="CD68">
        <v>6280</v>
      </c>
      <c r="CE68" t="s">
        <v>86</v>
      </c>
      <c r="CF68" s="1">
        <v>42444</v>
      </c>
      <c r="CI68">
        <v>0</v>
      </c>
      <c r="CJ68">
        <v>0</v>
      </c>
      <c r="CK68" t="s">
        <v>123</v>
      </c>
      <c r="CL68" t="s">
        <v>88</v>
      </c>
    </row>
    <row r="69" spans="1:90" x14ac:dyDescent="0.3">
      <c r="A69" t="s">
        <v>71</v>
      </c>
      <c r="B69" t="s">
        <v>72</v>
      </c>
      <c r="C69" t="s">
        <v>73</v>
      </c>
      <c r="E69" t="str">
        <f>"009935164313"</f>
        <v>009935164313</v>
      </c>
      <c r="F69" s="1">
        <v>42436</v>
      </c>
      <c r="G69">
        <v>201609</v>
      </c>
      <c r="H69" t="s">
        <v>74</v>
      </c>
      <c r="I69" t="s">
        <v>75</v>
      </c>
      <c r="J69" t="s">
        <v>116</v>
      </c>
      <c r="K69" t="s">
        <v>77</v>
      </c>
      <c r="L69" t="s">
        <v>342</v>
      </c>
      <c r="M69" t="s">
        <v>343</v>
      </c>
      <c r="N69" t="s">
        <v>344</v>
      </c>
      <c r="O69" t="s">
        <v>81</v>
      </c>
      <c r="P69" t="str">
        <f t="shared" si="2"/>
        <v xml:space="preserve">NO REF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4.6500000000000004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0.5</v>
      </c>
      <c r="BJ69">
        <v>0.2</v>
      </c>
      <c r="BK69">
        <v>1</v>
      </c>
      <c r="BL69">
        <v>100.91</v>
      </c>
      <c r="BM69">
        <v>14.13</v>
      </c>
      <c r="BN69">
        <v>115.04</v>
      </c>
      <c r="BO69">
        <v>115.04</v>
      </c>
      <c r="BQ69" t="s">
        <v>345</v>
      </c>
      <c r="BR69" t="s">
        <v>121</v>
      </c>
      <c r="BS69" s="1">
        <v>42437</v>
      </c>
      <c r="BT69" s="2">
        <v>0.5625</v>
      </c>
      <c r="BU69" t="s">
        <v>346</v>
      </c>
      <c r="BV69" t="s">
        <v>85</v>
      </c>
      <c r="BY69">
        <v>1200</v>
      </c>
      <c r="CC69" t="s">
        <v>343</v>
      </c>
      <c r="CD69">
        <v>850</v>
      </c>
      <c r="CE69" t="s">
        <v>86</v>
      </c>
      <c r="CF69" s="1">
        <v>42439</v>
      </c>
      <c r="CI69">
        <v>0</v>
      </c>
      <c r="CJ69">
        <v>0</v>
      </c>
      <c r="CK69" t="s">
        <v>322</v>
      </c>
      <c r="CL69" t="s">
        <v>88</v>
      </c>
    </row>
    <row r="70" spans="1:90" x14ac:dyDescent="0.3">
      <c r="A70" t="s">
        <v>71</v>
      </c>
      <c r="B70" t="s">
        <v>72</v>
      </c>
      <c r="C70" t="s">
        <v>73</v>
      </c>
      <c r="E70" t="str">
        <f>"009935164324"</f>
        <v>009935164324</v>
      </c>
      <c r="F70" s="1">
        <v>42436</v>
      </c>
      <c r="G70">
        <v>201609</v>
      </c>
      <c r="H70" t="s">
        <v>74</v>
      </c>
      <c r="I70" t="s">
        <v>75</v>
      </c>
      <c r="J70" t="s">
        <v>116</v>
      </c>
      <c r="K70" t="s">
        <v>77</v>
      </c>
      <c r="L70" t="s">
        <v>347</v>
      </c>
      <c r="M70" t="s">
        <v>348</v>
      </c>
      <c r="N70" t="s">
        <v>349</v>
      </c>
      <c r="O70" t="s">
        <v>81</v>
      </c>
      <c r="P70" t="str">
        <f t="shared" si="2"/>
        <v xml:space="preserve">NO REF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3.9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0.5</v>
      </c>
      <c r="BJ70">
        <v>0.2</v>
      </c>
      <c r="BK70">
        <v>1</v>
      </c>
      <c r="BL70">
        <v>85.54</v>
      </c>
      <c r="BM70">
        <v>11.98</v>
      </c>
      <c r="BN70">
        <v>97.52</v>
      </c>
      <c r="BO70">
        <v>97.52</v>
      </c>
      <c r="BQ70" t="s">
        <v>350</v>
      </c>
      <c r="BR70" t="s">
        <v>121</v>
      </c>
      <c r="BS70" s="1">
        <v>42437</v>
      </c>
      <c r="BT70" s="2">
        <v>0.49305555555555558</v>
      </c>
      <c r="BU70" t="s">
        <v>351</v>
      </c>
      <c r="BV70" t="s">
        <v>85</v>
      </c>
      <c r="BY70">
        <v>1200</v>
      </c>
      <c r="CC70" t="s">
        <v>348</v>
      </c>
      <c r="CD70">
        <v>7129</v>
      </c>
      <c r="CE70" t="s">
        <v>86</v>
      </c>
      <c r="CF70" s="1">
        <v>42439</v>
      </c>
      <c r="CI70">
        <v>0</v>
      </c>
      <c r="CJ70">
        <v>0</v>
      </c>
      <c r="CK70" t="s">
        <v>106</v>
      </c>
      <c r="CL70" t="s">
        <v>88</v>
      </c>
    </row>
    <row r="71" spans="1:90" x14ac:dyDescent="0.3">
      <c r="A71" t="s">
        <v>71</v>
      </c>
      <c r="B71" t="s">
        <v>72</v>
      </c>
      <c r="C71" t="s">
        <v>73</v>
      </c>
      <c r="E71" t="str">
        <f>"009935164287"</f>
        <v>009935164287</v>
      </c>
      <c r="F71" s="1">
        <v>42436</v>
      </c>
      <c r="G71">
        <v>201609</v>
      </c>
      <c r="H71" t="s">
        <v>74</v>
      </c>
      <c r="I71" t="s">
        <v>75</v>
      </c>
      <c r="J71" t="s">
        <v>116</v>
      </c>
      <c r="K71" t="s">
        <v>77</v>
      </c>
      <c r="L71" t="s">
        <v>96</v>
      </c>
      <c r="M71" t="s">
        <v>97</v>
      </c>
      <c r="N71" t="s">
        <v>352</v>
      </c>
      <c r="O71" t="s">
        <v>81</v>
      </c>
      <c r="P71" t="str">
        <f t="shared" si="2"/>
        <v xml:space="preserve">NO REF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2.68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0.9</v>
      </c>
      <c r="BK71">
        <v>1</v>
      </c>
      <c r="BL71">
        <v>60.33</v>
      </c>
      <c r="BM71">
        <v>8.4499999999999993</v>
      </c>
      <c r="BN71">
        <v>68.78</v>
      </c>
      <c r="BO71">
        <v>68.78</v>
      </c>
      <c r="BQ71" t="s">
        <v>353</v>
      </c>
      <c r="BR71" t="s">
        <v>121</v>
      </c>
      <c r="BS71" s="1">
        <v>42437</v>
      </c>
      <c r="BT71" s="2">
        <v>0.34166666666666662</v>
      </c>
      <c r="BU71" t="s">
        <v>354</v>
      </c>
      <c r="BV71" t="s">
        <v>85</v>
      </c>
      <c r="BY71">
        <v>4506.3900000000003</v>
      </c>
      <c r="CC71" t="s">
        <v>97</v>
      </c>
      <c r="CD71">
        <v>4000</v>
      </c>
      <c r="CE71" t="s">
        <v>86</v>
      </c>
      <c r="CF71" s="1">
        <v>42439</v>
      </c>
      <c r="CI71">
        <v>0</v>
      </c>
      <c r="CJ71">
        <v>0</v>
      </c>
      <c r="CK71" t="s">
        <v>95</v>
      </c>
      <c r="CL71" t="s">
        <v>88</v>
      </c>
    </row>
    <row r="72" spans="1:90" x14ac:dyDescent="0.3">
      <c r="A72" t="s">
        <v>71</v>
      </c>
      <c r="B72" t="s">
        <v>72</v>
      </c>
      <c r="C72" t="s">
        <v>73</v>
      </c>
      <c r="E72" t="str">
        <f>"009935164297"</f>
        <v>009935164297</v>
      </c>
      <c r="F72" s="1">
        <v>42436</v>
      </c>
      <c r="G72">
        <v>201609</v>
      </c>
      <c r="H72" t="s">
        <v>74</v>
      </c>
      <c r="I72" t="s">
        <v>75</v>
      </c>
      <c r="J72" t="s">
        <v>116</v>
      </c>
      <c r="K72" t="s">
        <v>77</v>
      </c>
      <c r="L72" t="s">
        <v>211</v>
      </c>
      <c r="M72" t="s">
        <v>212</v>
      </c>
      <c r="N72" t="s">
        <v>286</v>
      </c>
      <c r="O72" t="s">
        <v>81</v>
      </c>
      <c r="P72" t="str">
        <f t="shared" si="2"/>
        <v xml:space="preserve">NO REF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3.57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0.5</v>
      </c>
      <c r="BJ72">
        <v>0.2</v>
      </c>
      <c r="BK72">
        <v>1</v>
      </c>
      <c r="BL72">
        <v>78.77</v>
      </c>
      <c r="BM72">
        <v>11.03</v>
      </c>
      <c r="BN72">
        <v>89.8</v>
      </c>
      <c r="BO72">
        <v>89.8</v>
      </c>
      <c r="BQ72" t="s">
        <v>355</v>
      </c>
      <c r="BR72" t="s">
        <v>121</v>
      </c>
      <c r="BS72" s="1">
        <v>42437</v>
      </c>
      <c r="BT72" s="2">
        <v>0.3923611111111111</v>
      </c>
      <c r="BU72" t="s">
        <v>356</v>
      </c>
      <c r="BV72" t="s">
        <v>85</v>
      </c>
      <c r="BY72">
        <v>1200</v>
      </c>
      <c r="CC72" t="s">
        <v>212</v>
      </c>
      <c r="CD72">
        <v>299</v>
      </c>
      <c r="CE72" t="s">
        <v>86</v>
      </c>
      <c r="CF72" s="1">
        <v>42440</v>
      </c>
      <c r="CI72">
        <v>0</v>
      </c>
      <c r="CJ72">
        <v>0</v>
      </c>
      <c r="CK72" t="s">
        <v>216</v>
      </c>
      <c r="CL72" t="s">
        <v>88</v>
      </c>
    </row>
    <row r="73" spans="1:90" x14ac:dyDescent="0.3">
      <c r="A73" t="s">
        <v>71</v>
      </c>
      <c r="B73" t="s">
        <v>72</v>
      </c>
      <c r="C73" t="s">
        <v>73</v>
      </c>
      <c r="E73" t="str">
        <f>"009935164292"</f>
        <v>009935164292</v>
      </c>
      <c r="F73" s="1">
        <v>42436</v>
      </c>
      <c r="G73">
        <v>201609</v>
      </c>
      <c r="H73" t="s">
        <v>74</v>
      </c>
      <c r="I73" t="s">
        <v>75</v>
      </c>
      <c r="J73" t="s">
        <v>116</v>
      </c>
      <c r="K73" t="s">
        <v>77</v>
      </c>
      <c r="L73" t="s">
        <v>101</v>
      </c>
      <c r="M73" t="s">
        <v>102</v>
      </c>
      <c r="N73" t="s">
        <v>357</v>
      </c>
      <c r="O73" t="s">
        <v>81</v>
      </c>
      <c r="P73" t="str">
        <f t="shared" si="2"/>
        <v xml:space="preserve">NO REF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3.9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0.2</v>
      </c>
      <c r="BK73">
        <v>1</v>
      </c>
      <c r="BL73">
        <v>85.54</v>
      </c>
      <c r="BM73">
        <v>11.98</v>
      </c>
      <c r="BN73">
        <v>97.52</v>
      </c>
      <c r="BO73">
        <v>97.52</v>
      </c>
      <c r="BQ73" t="s">
        <v>358</v>
      </c>
      <c r="BR73" t="s">
        <v>121</v>
      </c>
      <c r="BS73" s="1">
        <v>42437</v>
      </c>
      <c r="BT73" s="2">
        <v>0.37986111111111115</v>
      </c>
      <c r="BU73" t="s">
        <v>359</v>
      </c>
      <c r="BV73" t="s">
        <v>85</v>
      </c>
      <c r="BY73">
        <v>1200</v>
      </c>
      <c r="CC73" t="s">
        <v>102</v>
      </c>
      <c r="CD73">
        <v>7499</v>
      </c>
      <c r="CE73" t="s">
        <v>86</v>
      </c>
      <c r="CF73" s="1">
        <v>42439</v>
      </c>
      <c r="CI73">
        <v>0</v>
      </c>
      <c r="CJ73">
        <v>0</v>
      </c>
      <c r="CK73" t="s">
        <v>106</v>
      </c>
      <c r="CL73" t="s">
        <v>88</v>
      </c>
    </row>
    <row r="74" spans="1:90" x14ac:dyDescent="0.3">
      <c r="A74" t="s">
        <v>71</v>
      </c>
      <c r="B74" t="s">
        <v>72</v>
      </c>
      <c r="C74" t="s">
        <v>73</v>
      </c>
      <c r="E74" t="str">
        <f>"009935164288"</f>
        <v>009935164288</v>
      </c>
      <c r="F74" s="1">
        <v>42436</v>
      </c>
      <c r="G74">
        <v>201609</v>
      </c>
      <c r="H74" t="s">
        <v>74</v>
      </c>
      <c r="I74" t="s">
        <v>75</v>
      </c>
      <c r="J74" t="s">
        <v>116</v>
      </c>
      <c r="K74" t="s">
        <v>77</v>
      </c>
      <c r="L74" t="s">
        <v>281</v>
      </c>
      <c r="M74" t="s">
        <v>282</v>
      </c>
      <c r="N74" t="s">
        <v>360</v>
      </c>
      <c r="O74" t="s">
        <v>81</v>
      </c>
      <c r="P74" t="str">
        <f t="shared" si="2"/>
        <v xml:space="preserve">NO REF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3.28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0.2</v>
      </c>
      <c r="BK74">
        <v>1</v>
      </c>
      <c r="BL74">
        <v>72.63</v>
      </c>
      <c r="BM74">
        <v>10.17</v>
      </c>
      <c r="BN74">
        <v>82.8</v>
      </c>
      <c r="BO74">
        <v>82.8</v>
      </c>
      <c r="BQ74" t="s">
        <v>361</v>
      </c>
      <c r="BR74" t="s">
        <v>121</v>
      </c>
      <c r="BS74" s="1">
        <v>42437</v>
      </c>
      <c r="BT74" s="2">
        <v>0.38472222222222219</v>
      </c>
      <c r="BU74" t="s">
        <v>182</v>
      </c>
      <c r="BY74">
        <v>1200</v>
      </c>
      <c r="CC74" t="s">
        <v>282</v>
      </c>
      <c r="CD74">
        <v>1</v>
      </c>
      <c r="CE74" t="s">
        <v>86</v>
      </c>
      <c r="CF74" s="1">
        <v>42439</v>
      </c>
      <c r="CI74">
        <v>0</v>
      </c>
      <c r="CJ74">
        <v>0</v>
      </c>
      <c r="CK74" t="s">
        <v>195</v>
      </c>
      <c r="CL74" t="s">
        <v>88</v>
      </c>
    </row>
    <row r="75" spans="1:90" x14ac:dyDescent="0.3">
      <c r="A75" t="s">
        <v>71</v>
      </c>
      <c r="B75" t="s">
        <v>72</v>
      </c>
      <c r="C75" t="s">
        <v>73</v>
      </c>
      <c r="E75" t="str">
        <f>"009935164290"</f>
        <v>009935164290</v>
      </c>
      <c r="F75" s="1">
        <v>42436</v>
      </c>
      <c r="G75">
        <v>201609</v>
      </c>
      <c r="H75" t="s">
        <v>74</v>
      </c>
      <c r="I75" t="s">
        <v>75</v>
      </c>
      <c r="J75" t="s">
        <v>116</v>
      </c>
      <c r="K75" t="s">
        <v>77</v>
      </c>
      <c r="L75" t="s">
        <v>362</v>
      </c>
      <c r="M75" t="s">
        <v>363</v>
      </c>
      <c r="N75" t="s">
        <v>364</v>
      </c>
      <c r="O75" t="s">
        <v>81</v>
      </c>
      <c r="P75" t="str">
        <f t="shared" si="2"/>
        <v xml:space="preserve">NO REF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2.68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0.8</v>
      </c>
      <c r="BK75">
        <v>1</v>
      </c>
      <c r="BL75">
        <v>60.33</v>
      </c>
      <c r="BM75">
        <v>8.4499999999999993</v>
      </c>
      <c r="BN75">
        <v>68.78</v>
      </c>
      <c r="BO75">
        <v>68.78</v>
      </c>
      <c r="BQ75" t="s">
        <v>365</v>
      </c>
      <c r="BR75" t="s">
        <v>121</v>
      </c>
      <c r="BS75" s="1">
        <v>42437</v>
      </c>
      <c r="BT75" s="2">
        <v>0.38680555555555557</v>
      </c>
      <c r="BU75" t="s">
        <v>366</v>
      </c>
      <c r="BV75" t="s">
        <v>85</v>
      </c>
      <c r="BY75">
        <v>3814.13</v>
      </c>
      <c r="CC75" t="s">
        <v>363</v>
      </c>
      <c r="CD75">
        <v>1540</v>
      </c>
      <c r="CE75" t="s">
        <v>86</v>
      </c>
      <c r="CF75" s="1">
        <v>42439</v>
      </c>
      <c r="CI75">
        <v>0</v>
      </c>
      <c r="CJ75">
        <v>0</v>
      </c>
      <c r="CK75" t="s">
        <v>112</v>
      </c>
      <c r="CL75" t="s">
        <v>88</v>
      </c>
    </row>
    <row r="76" spans="1:90" x14ac:dyDescent="0.3">
      <c r="A76" t="s">
        <v>71</v>
      </c>
      <c r="B76" t="s">
        <v>72</v>
      </c>
      <c r="C76" t="s">
        <v>73</v>
      </c>
      <c r="E76" t="str">
        <f>"009935164293"</f>
        <v>009935164293</v>
      </c>
      <c r="F76" s="1">
        <v>42436</v>
      </c>
      <c r="G76">
        <v>201609</v>
      </c>
      <c r="H76" t="s">
        <v>74</v>
      </c>
      <c r="I76" t="s">
        <v>75</v>
      </c>
      <c r="J76" t="s">
        <v>116</v>
      </c>
      <c r="K76" t="s">
        <v>77</v>
      </c>
      <c r="L76" t="s">
        <v>101</v>
      </c>
      <c r="M76" t="s">
        <v>102</v>
      </c>
      <c r="N76" t="s">
        <v>367</v>
      </c>
      <c r="O76" t="s">
        <v>81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3.9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0.2</v>
      </c>
      <c r="BK76">
        <v>1</v>
      </c>
      <c r="BL76">
        <v>85.54</v>
      </c>
      <c r="BM76">
        <v>11.98</v>
      </c>
      <c r="BN76">
        <v>97.52</v>
      </c>
      <c r="BO76">
        <v>97.52</v>
      </c>
      <c r="BQ76" t="s">
        <v>368</v>
      </c>
      <c r="BR76" t="s">
        <v>121</v>
      </c>
      <c r="BS76" s="1">
        <v>42437</v>
      </c>
      <c r="BT76" s="2">
        <v>0.3923611111111111</v>
      </c>
      <c r="BU76" t="s">
        <v>369</v>
      </c>
      <c r="BV76" t="s">
        <v>85</v>
      </c>
      <c r="BY76">
        <v>1200</v>
      </c>
      <c r="CC76" t="s">
        <v>102</v>
      </c>
      <c r="CD76">
        <v>7800</v>
      </c>
      <c r="CE76" t="s">
        <v>86</v>
      </c>
      <c r="CF76" s="1">
        <v>42439</v>
      </c>
      <c r="CI76">
        <v>0</v>
      </c>
      <c r="CJ76">
        <v>0</v>
      </c>
      <c r="CK76" t="s">
        <v>106</v>
      </c>
      <c r="CL76" t="s">
        <v>88</v>
      </c>
    </row>
    <row r="77" spans="1:90" x14ac:dyDescent="0.3">
      <c r="A77" t="s">
        <v>71</v>
      </c>
      <c r="B77" t="s">
        <v>72</v>
      </c>
      <c r="C77" t="s">
        <v>73</v>
      </c>
      <c r="E77" t="str">
        <f>"009935164289"</f>
        <v>009935164289</v>
      </c>
      <c r="F77" s="1">
        <v>42436</v>
      </c>
      <c r="G77">
        <v>201609</v>
      </c>
      <c r="H77" t="s">
        <v>74</v>
      </c>
      <c r="I77" t="s">
        <v>75</v>
      </c>
      <c r="J77" t="s">
        <v>116</v>
      </c>
      <c r="K77" t="s">
        <v>77</v>
      </c>
      <c r="L77" t="s">
        <v>271</v>
      </c>
      <c r="M77" t="s">
        <v>272</v>
      </c>
      <c r="N77" t="s">
        <v>370</v>
      </c>
      <c r="O77" t="s">
        <v>81</v>
      </c>
      <c r="P77" t="str">
        <f t="shared" ref="P77:P96" si="3">"NO REF                        "</f>
        <v xml:space="preserve">NO REF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3.9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0.6</v>
      </c>
      <c r="BK77">
        <v>1</v>
      </c>
      <c r="BL77">
        <v>85.54</v>
      </c>
      <c r="BM77">
        <v>11.98</v>
      </c>
      <c r="BN77">
        <v>97.52</v>
      </c>
      <c r="BO77">
        <v>97.52</v>
      </c>
      <c r="BQ77" t="s">
        <v>371</v>
      </c>
      <c r="BR77" t="s">
        <v>121</v>
      </c>
      <c r="BS77" s="1">
        <v>42437</v>
      </c>
      <c r="BT77" s="2">
        <v>0.53819444444444442</v>
      </c>
      <c r="BU77" t="s">
        <v>372</v>
      </c>
      <c r="BV77" t="s">
        <v>85</v>
      </c>
      <c r="BY77">
        <v>2911.9</v>
      </c>
      <c r="CC77" t="s">
        <v>272</v>
      </c>
      <c r="CD77">
        <v>2351</v>
      </c>
      <c r="CE77" t="s">
        <v>86</v>
      </c>
      <c r="CF77" s="1">
        <v>42441</v>
      </c>
      <c r="CI77">
        <v>0</v>
      </c>
      <c r="CJ77">
        <v>0</v>
      </c>
      <c r="CK77" t="s">
        <v>106</v>
      </c>
      <c r="CL77" t="s">
        <v>88</v>
      </c>
    </row>
    <row r="78" spans="1:90" x14ac:dyDescent="0.3">
      <c r="A78" t="s">
        <v>71</v>
      </c>
      <c r="B78" t="s">
        <v>72</v>
      </c>
      <c r="C78" t="s">
        <v>73</v>
      </c>
      <c r="E78" t="str">
        <f>"009935164295"</f>
        <v>009935164295</v>
      </c>
      <c r="F78" s="1">
        <v>42436</v>
      </c>
      <c r="G78">
        <v>201609</v>
      </c>
      <c r="H78" t="s">
        <v>74</v>
      </c>
      <c r="I78" t="s">
        <v>75</v>
      </c>
      <c r="J78" t="s">
        <v>116</v>
      </c>
      <c r="K78" t="s">
        <v>77</v>
      </c>
      <c r="L78" t="s">
        <v>101</v>
      </c>
      <c r="M78" t="s">
        <v>102</v>
      </c>
      <c r="N78" t="s">
        <v>373</v>
      </c>
      <c r="O78" t="s">
        <v>81</v>
      </c>
      <c r="P78" t="str">
        <f t="shared" si="3"/>
        <v xml:space="preserve">NO REF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3.9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0.8</v>
      </c>
      <c r="BJ78">
        <v>0.9</v>
      </c>
      <c r="BK78">
        <v>1</v>
      </c>
      <c r="BL78">
        <v>85.54</v>
      </c>
      <c r="BM78">
        <v>11.98</v>
      </c>
      <c r="BN78">
        <v>97.52</v>
      </c>
      <c r="BO78">
        <v>97.52</v>
      </c>
      <c r="BQ78" t="s">
        <v>374</v>
      </c>
      <c r="BR78" t="s">
        <v>121</v>
      </c>
      <c r="BS78" s="1">
        <v>42437</v>
      </c>
      <c r="BT78" s="2">
        <v>0.41666666666666669</v>
      </c>
      <c r="BU78" t="s">
        <v>375</v>
      </c>
      <c r="BV78" t="s">
        <v>85</v>
      </c>
      <c r="BY78">
        <v>4321.8</v>
      </c>
      <c r="CC78" t="s">
        <v>102</v>
      </c>
      <c r="CD78">
        <v>7530</v>
      </c>
      <c r="CE78" t="s">
        <v>86</v>
      </c>
      <c r="CF78" s="1">
        <v>42439</v>
      </c>
      <c r="CI78">
        <v>0</v>
      </c>
      <c r="CJ78">
        <v>0</v>
      </c>
      <c r="CK78" t="s">
        <v>106</v>
      </c>
      <c r="CL78" t="s">
        <v>88</v>
      </c>
    </row>
    <row r="79" spans="1:90" x14ac:dyDescent="0.3">
      <c r="A79" t="s">
        <v>71</v>
      </c>
      <c r="B79" t="s">
        <v>72</v>
      </c>
      <c r="C79" t="s">
        <v>73</v>
      </c>
      <c r="E79" t="str">
        <f>"009935164294"</f>
        <v>009935164294</v>
      </c>
      <c r="F79" s="1">
        <v>42436</v>
      </c>
      <c r="G79">
        <v>201609</v>
      </c>
      <c r="H79" t="s">
        <v>74</v>
      </c>
      <c r="I79" t="s">
        <v>75</v>
      </c>
      <c r="J79" t="s">
        <v>116</v>
      </c>
      <c r="K79" t="s">
        <v>77</v>
      </c>
      <c r="L79" t="s">
        <v>376</v>
      </c>
      <c r="M79" t="s">
        <v>377</v>
      </c>
      <c r="N79" t="s">
        <v>378</v>
      </c>
      <c r="O79" t="s">
        <v>81</v>
      </c>
      <c r="P79" t="str">
        <f t="shared" si="3"/>
        <v xml:space="preserve">NO REF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4.6500000000000004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0.2</v>
      </c>
      <c r="BK79">
        <v>1</v>
      </c>
      <c r="BL79">
        <v>100.91</v>
      </c>
      <c r="BM79">
        <v>14.13</v>
      </c>
      <c r="BN79">
        <v>115.04</v>
      </c>
      <c r="BO79">
        <v>115.04</v>
      </c>
      <c r="BQ79" t="s">
        <v>379</v>
      </c>
      <c r="BR79" t="s">
        <v>121</v>
      </c>
      <c r="BS79" s="1">
        <v>42438</v>
      </c>
      <c r="BT79" s="2">
        <v>0.32291666666666669</v>
      </c>
      <c r="BU79" t="s">
        <v>380</v>
      </c>
      <c r="BV79" t="s">
        <v>85</v>
      </c>
      <c r="BY79">
        <v>1200</v>
      </c>
      <c r="CC79" t="s">
        <v>377</v>
      </c>
      <c r="CD79">
        <v>7230</v>
      </c>
      <c r="CE79" t="s">
        <v>86</v>
      </c>
      <c r="CF79" s="1">
        <v>42443</v>
      </c>
      <c r="CI79">
        <v>0</v>
      </c>
      <c r="CJ79">
        <v>0</v>
      </c>
      <c r="CK79" t="s">
        <v>123</v>
      </c>
      <c r="CL79" t="s">
        <v>88</v>
      </c>
    </row>
    <row r="80" spans="1:90" x14ac:dyDescent="0.3">
      <c r="A80" t="s">
        <v>71</v>
      </c>
      <c r="B80" t="s">
        <v>72</v>
      </c>
      <c r="C80" t="s">
        <v>73</v>
      </c>
      <c r="E80" t="str">
        <f>"009935164326"</f>
        <v>009935164326</v>
      </c>
      <c r="F80" s="1">
        <v>42436</v>
      </c>
      <c r="G80">
        <v>201609</v>
      </c>
      <c r="H80" t="s">
        <v>74</v>
      </c>
      <c r="I80" t="s">
        <v>75</v>
      </c>
      <c r="J80" t="s">
        <v>116</v>
      </c>
      <c r="K80" t="s">
        <v>77</v>
      </c>
      <c r="L80" t="s">
        <v>90</v>
      </c>
      <c r="M80" t="s">
        <v>91</v>
      </c>
      <c r="N80" t="s">
        <v>381</v>
      </c>
      <c r="O80" t="s">
        <v>81</v>
      </c>
      <c r="P80" t="str">
        <f t="shared" si="3"/>
        <v xml:space="preserve">NO REF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2.91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16.399999999999999</v>
      </c>
      <c r="BJ80">
        <v>4.2</v>
      </c>
      <c r="BK80">
        <v>17</v>
      </c>
      <c r="BL80">
        <v>65</v>
      </c>
      <c r="BM80">
        <v>9.1</v>
      </c>
      <c r="BN80">
        <v>74.099999999999994</v>
      </c>
      <c r="BO80">
        <v>74.099999999999994</v>
      </c>
      <c r="BQ80" t="s">
        <v>382</v>
      </c>
      <c r="BR80" t="s">
        <v>121</v>
      </c>
      <c r="BS80" s="1">
        <v>42437</v>
      </c>
      <c r="BT80" s="2">
        <v>0.54166666666666663</v>
      </c>
      <c r="BU80" t="s">
        <v>182</v>
      </c>
      <c r="BV80" t="s">
        <v>85</v>
      </c>
      <c r="BY80">
        <v>21210.48</v>
      </c>
      <c r="CC80" t="s">
        <v>91</v>
      </c>
      <c r="CD80">
        <v>3610</v>
      </c>
      <c r="CE80" t="s">
        <v>86</v>
      </c>
      <c r="CF80" s="1">
        <v>42440</v>
      </c>
      <c r="CI80">
        <v>0</v>
      </c>
      <c r="CJ80">
        <v>0</v>
      </c>
      <c r="CK80" t="s">
        <v>95</v>
      </c>
      <c r="CL80" t="s">
        <v>88</v>
      </c>
    </row>
    <row r="81" spans="1:90" x14ac:dyDescent="0.3">
      <c r="A81" t="s">
        <v>71</v>
      </c>
      <c r="B81" t="s">
        <v>72</v>
      </c>
      <c r="C81" t="s">
        <v>73</v>
      </c>
      <c r="E81" t="str">
        <f>"009935164291"</f>
        <v>009935164291</v>
      </c>
      <c r="F81" s="1">
        <v>42436</v>
      </c>
      <c r="G81">
        <v>201609</v>
      </c>
      <c r="H81" t="s">
        <v>74</v>
      </c>
      <c r="I81" t="s">
        <v>75</v>
      </c>
      <c r="J81" t="s">
        <v>116</v>
      </c>
      <c r="K81" t="s">
        <v>77</v>
      </c>
      <c r="L81" t="s">
        <v>313</v>
      </c>
      <c r="M81" t="s">
        <v>314</v>
      </c>
      <c r="N81" t="s">
        <v>383</v>
      </c>
      <c r="O81" t="s">
        <v>81</v>
      </c>
      <c r="P81" t="str">
        <f t="shared" si="3"/>
        <v xml:space="preserve">NO REF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3.87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1.1000000000000001</v>
      </c>
      <c r="BK81">
        <v>2</v>
      </c>
      <c r="BL81">
        <v>84.92</v>
      </c>
      <c r="BM81">
        <v>11.89</v>
      </c>
      <c r="BN81">
        <v>96.81</v>
      </c>
      <c r="BO81">
        <v>96.81</v>
      </c>
      <c r="BQ81" t="s">
        <v>384</v>
      </c>
      <c r="BR81" t="s">
        <v>121</v>
      </c>
      <c r="BS81" s="1">
        <v>42437</v>
      </c>
      <c r="BT81" s="2">
        <v>0.40277777777777773</v>
      </c>
      <c r="BU81" t="s">
        <v>385</v>
      </c>
      <c r="BV81" t="s">
        <v>85</v>
      </c>
      <c r="BY81">
        <v>5548.95</v>
      </c>
      <c r="CC81" t="s">
        <v>314</v>
      </c>
      <c r="CD81">
        <v>3200</v>
      </c>
      <c r="CE81" t="s">
        <v>86</v>
      </c>
      <c r="CF81" s="1">
        <v>42439</v>
      </c>
      <c r="CI81">
        <v>0</v>
      </c>
      <c r="CJ81">
        <v>0</v>
      </c>
      <c r="CK81" t="s">
        <v>256</v>
      </c>
      <c r="CL81" t="s">
        <v>88</v>
      </c>
    </row>
    <row r="82" spans="1:90" x14ac:dyDescent="0.3">
      <c r="A82" t="s">
        <v>71</v>
      </c>
      <c r="B82" t="s">
        <v>72</v>
      </c>
      <c r="C82" t="s">
        <v>73</v>
      </c>
      <c r="E82" t="str">
        <f>"009935164299"</f>
        <v>009935164299</v>
      </c>
      <c r="F82" s="1">
        <v>42437</v>
      </c>
      <c r="G82">
        <v>201609</v>
      </c>
      <c r="H82" t="s">
        <v>74</v>
      </c>
      <c r="I82" t="s">
        <v>75</v>
      </c>
      <c r="J82" t="s">
        <v>116</v>
      </c>
      <c r="K82" t="s">
        <v>77</v>
      </c>
      <c r="L82" t="s">
        <v>386</v>
      </c>
      <c r="M82" t="s">
        <v>387</v>
      </c>
      <c r="N82" t="s">
        <v>388</v>
      </c>
      <c r="O82" t="s">
        <v>81</v>
      </c>
      <c r="P82" t="str">
        <f t="shared" si="3"/>
        <v xml:space="preserve">NO REF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3.9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0.2</v>
      </c>
      <c r="BK82">
        <v>1</v>
      </c>
      <c r="BL82">
        <v>85.54</v>
      </c>
      <c r="BM82">
        <v>11.98</v>
      </c>
      <c r="BN82">
        <v>97.52</v>
      </c>
      <c r="BO82">
        <v>97.52</v>
      </c>
      <c r="BQ82" t="s">
        <v>267</v>
      </c>
      <c r="BR82" t="s">
        <v>121</v>
      </c>
      <c r="BS82" s="1">
        <v>42438</v>
      </c>
      <c r="BT82" s="2">
        <v>0.58611111111111114</v>
      </c>
      <c r="BU82" t="s">
        <v>333</v>
      </c>
      <c r="BV82" t="s">
        <v>85</v>
      </c>
      <c r="BY82">
        <v>1200</v>
      </c>
      <c r="CC82" t="s">
        <v>387</v>
      </c>
      <c r="CD82">
        <v>2410</v>
      </c>
      <c r="CE82" t="s">
        <v>86</v>
      </c>
      <c r="CF82" s="1">
        <v>42443</v>
      </c>
      <c r="CI82">
        <v>0</v>
      </c>
      <c r="CJ82">
        <v>0</v>
      </c>
      <c r="CK82" t="s">
        <v>106</v>
      </c>
      <c r="CL82" t="s">
        <v>88</v>
      </c>
    </row>
    <row r="83" spans="1:90" x14ac:dyDescent="0.3">
      <c r="A83" t="s">
        <v>71</v>
      </c>
      <c r="B83" t="s">
        <v>72</v>
      </c>
      <c r="C83" t="s">
        <v>73</v>
      </c>
      <c r="E83" t="str">
        <f>"009935164301"</f>
        <v>009935164301</v>
      </c>
      <c r="F83" s="1">
        <v>42437</v>
      </c>
      <c r="G83">
        <v>201609</v>
      </c>
      <c r="H83" t="s">
        <v>74</v>
      </c>
      <c r="I83" t="s">
        <v>75</v>
      </c>
      <c r="J83" t="s">
        <v>116</v>
      </c>
      <c r="K83" t="s">
        <v>77</v>
      </c>
      <c r="L83" t="s">
        <v>389</v>
      </c>
      <c r="M83" t="s">
        <v>390</v>
      </c>
      <c r="N83" t="s">
        <v>391</v>
      </c>
      <c r="O83" t="s">
        <v>81</v>
      </c>
      <c r="P83" t="str">
        <f t="shared" si="3"/>
        <v xml:space="preserve">NO REF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2.68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0.2</v>
      </c>
      <c r="BK83">
        <v>1</v>
      </c>
      <c r="BL83">
        <v>60.33</v>
      </c>
      <c r="BM83">
        <v>8.4499999999999993</v>
      </c>
      <c r="BN83">
        <v>68.78</v>
      </c>
      <c r="BO83">
        <v>68.78</v>
      </c>
      <c r="BQ83" t="s">
        <v>392</v>
      </c>
      <c r="BR83" t="s">
        <v>121</v>
      </c>
      <c r="BS83" s="1">
        <v>42438</v>
      </c>
      <c r="BT83" s="2">
        <v>0.4375</v>
      </c>
      <c r="BU83" t="s">
        <v>333</v>
      </c>
      <c r="BV83" t="s">
        <v>85</v>
      </c>
      <c r="BY83">
        <v>1200</v>
      </c>
      <c r="CC83" t="s">
        <v>390</v>
      </c>
      <c r="CD83">
        <v>4319</v>
      </c>
      <c r="CE83" t="s">
        <v>86</v>
      </c>
      <c r="CF83" s="1">
        <v>42440</v>
      </c>
      <c r="CI83">
        <v>0</v>
      </c>
      <c r="CJ83">
        <v>0</v>
      </c>
      <c r="CK83" t="s">
        <v>95</v>
      </c>
      <c r="CL83" t="s">
        <v>88</v>
      </c>
    </row>
    <row r="84" spans="1:90" x14ac:dyDescent="0.3">
      <c r="A84" t="s">
        <v>71</v>
      </c>
      <c r="B84" t="s">
        <v>72</v>
      </c>
      <c r="C84" t="s">
        <v>73</v>
      </c>
      <c r="E84" t="str">
        <f>"009935164311"</f>
        <v>009935164311</v>
      </c>
      <c r="F84" s="1">
        <v>42437</v>
      </c>
      <c r="G84">
        <v>201609</v>
      </c>
      <c r="H84" t="s">
        <v>74</v>
      </c>
      <c r="I84" t="s">
        <v>75</v>
      </c>
      <c r="J84" t="s">
        <v>116</v>
      </c>
      <c r="K84" t="s">
        <v>77</v>
      </c>
      <c r="L84" t="s">
        <v>281</v>
      </c>
      <c r="M84" t="s">
        <v>282</v>
      </c>
      <c r="N84" t="s">
        <v>393</v>
      </c>
      <c r="O84" t="s">
        <v>81</v>
      </c>
      <c r="P84" t="str">
        <f t="shared" si="3"/>
        <v xml:space="preserve">NO REF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3.28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0.2</v>
      </c>
      <c r="BK84">
        <v>1</v>
      </c>
      <c r="BL84">
        <v>72.63</v>
      </c>
      <c r="BM84">
        <v>10.17</v>
      </c>
      <c r="BN84">
        <v>82.8</v>
      </c>
      <c r="BO84">
        <v>82.8</v>
      </c>
      <c r="BQ84" t="s">
        <v>394</v>
      </c>
      <c r="BR84" t="s">
        <v>121</v>
      </c>
      <c r="BS84" s="1">
        <v>42438</v>
      </c>
      <c r="BT84" s="2">
        <v>0.34861111111111115</v>
      </c>
      <c r="BU84" t="s">
        <v>395</v>
      </c>
      <c r="BY84">
        <v>1200</v>
      </c>
      <c r="CC84" t="s">
        <v>282</v>
      </c>
      <c r="CD84">
        <v>184</v>
      </c>
      <c r="CE84" t="s">
        <v>86</v>
      </c>
      <c r="CF84" s="1">
        <v>42441</v>
      </c>
      <c r="CI84">
        <v>0</v>
      </c>
      <c r="CJ84">
        <v>0</v>
      </c>
      <c r="CK84" t="s">
        <v>195</v>
      </c>
      <c r="CL84" t="s">
        <v>88</v>
      </c>
    </row>
    <row r="85" spans="1:90" x14ac:dyDescent="0.3">
      <c r="A85" t="s">
        <v>71</v>
      </c>
      <c r="B85" t="s">
        <v>72</v>
      </c>
      <c r="C85" t="s">
        <v>73</v>
      </c>
      <c r="E85" t="str">
        <f>"009935164303"</f>
        <v>009935164303</v>
      </c>
      <c r="F85" s="1">
        <v>42437</v>
      </c>
      <c r="G85">
        <v>201609</v>
      </c>
      <c r="H85" t="s">
        <v>74</v>
      </c>
      <c r="I85" t="s">
        <v>75</v>
      </c>
      <c r="J85" t="s">
        <v>116</v>
      </c>
      <c r="K85" t="s">
        <v>77</v>
      </c>
      <c r="L85" t="s">
        <v>396</v>
      </c>
      <c r="M85" t="s">
        <v>397</v>
      </c>
      <c r="N85" t="s">
        <v>398</v>
      </c>
      <c r="O85" t="s">
        <v>81</v>
      </c>
      <c r="P85" t="str">
        <f t="shared" si="3"/>
        <v xml:space="preserve">NO REF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3.57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0.2</v>
      </c>
      <c r="BK85">
        <v>1</v>
      </c>
      <c r="BL85">
        <v>78.77</v>
      </c>
      <c r="BM85">
        <v>11.03</v>
      </c>
      <c r="BN85">
        <v>89.8</v>
      </c>
      <c r="BO85">
        <v>89.8</v>
      </c>
      <c r="BQ85" t="s">
        <v>267</v>
      </c>
      <c r="BR85" t="s">
        <v>121</v>
      </c>
      <c r="BS85" s="1">
        <v>42438</v>
      </c>
      <c r="BT85" s="2">
        <v>0.48125000000000001</v>
      </c>
      <c r="BU85" t="s">
        <v>267</v>
      </c>
      <c r="BV85" t="s">
        <v>85</v>
      </c>
      <c r="BY85">
        <v>1200</v>
      </c>
      <c r="CC85" t="s">
        <v>397</v>
      </c>
      <c r="CD85">
        <v>2210</v>
      </c>
      <c r="CE85" t="s">
        <v>86</v>
      </c>
      <c r="CF85" s="1">
        <v>42439</v>
      </c>
      <c r="CI85">
        <v>0</v>
      </c>
      <c r="CJ85">
        <v>0</v>
      </c>
      <c r="CK85" t="s">
        <v>216</v>
      </c>
      <c r="CL85" t="s">
        <v>88</v>
      </c>
    </row>
    <row r="86" spans="1:90" x14ac:dyDescent="0.3">
      <c r="A86" t="s">
        <v>71</v>
      </c>
      <c r="B86" t="s">
        <v>72</v>
      </c>
      <c r="C86" t="s">
        <v>73</v>
      </c>
      <c r="E86" t="str">
        <f>"009935164306"</f>
        <v>009935164306</v>
      </c>
      <c r="F86" s="1">
        <v>42437</v>
      </c>
      <c r="G86">
        <v>201609</v>
      </c>
      <c r="H86" t="s">
        <v>74</v>
      </c>
      <c r="I86" t="s">
        <v>75</v>
      </c>
      <c r="J86" t="s">
        <v>116</v>
      </c>
      <c r="K86" t="s">
        <v>77</v>
      </c>
      <c r="L86" t="s">
        <v>136</v>
      </c>
      <c r="M86" t="s">
        <v>137</v>
      </c>
      <c r="N86" t="s">
        <v>399</v>
      </c>
      <c r="O86" t="s">
        <v>81</v>
      </c>
      <c r="P86" t="str">
        <f t="shared" si="3"/>
        <v xml:space="preserve">NO REF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2.68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0.8</v>
      </c>
      <c r="BJ86">
        <v>0.5</v>
      </c>
      <c r="BK86">
        <v>1</v>
      </c>
      <c r="BL86">
        <v>60.33</v>
      </c>
      <c r="BM86">
        <v>8.4499999999999993</v>
      </c>
      <c r="BN86">
        <v>68.78</v>
      </c>
      <c r="BO86">
        <v>68.78</v>
      </c>
      <c r="BQ86" t="s">
        <v>400</v>
      </c>
      <c r="BR86" t="s">
        <v>121</v>
      </c>
      <c r="BS86" s="1">
        <v>42438</v>
      </c>
      <c r="BT86" s="2">
        <v>0.34722222222222227</v>
      </c>
      <c r="BU86" t="s">
        <v>401</v>
      </c>
      <c r="BV86" t="s">
        <v>85</v>
      </c>
      <c r="BY86">
        <v>2728.87</v>
      </c>
      <c r="CC86" t="s">
        <v>137</v>
      </c>
      <c r="CD86">
        <v>9300</v>
      </c>
      <c r="CE86" t="s">
        <v>86</v>
      </c>
      <c r="CF86" s="1">
        <v>42440</v>
      </c>
      <c r="CI86">
        <v>0</v>
      </c>
      <c r="CJ86">
        <v>0</v>
      </c>
      <c r="CK86" t="s">
        <v>87</v>
      </c>
      <c r="CL86" t="s">
        <v>88</v>
      </c>
    </row>
    <row r="87" spans="1:90" x14ac:dyDescent="0.3">
      <c r="A87" t="s">
        <v>71</v>
      </c>
      <c r="B87" t="s">
        <v>72</v>
      </c>
      <c r="C87" t="s">
        <v>73</v>
      </c>
      <c r="E87" t="str">
        <f>"009935164308"</f>
        <v>009935164308</v>
      </c>
      <c r="F87" s="1">
        <v>42437</v>
      </c>
      <c r="G87">
        <v>201609</v>
      </c>
      <c r="H87" t="s">
        <v>74</v>
      </c>
      <c r="I87" t="s">
        <v>75</v>
      </c>
      <c r="J87" t="s">
        <v>116</v>
      </c>
      <c r="K87" t="s">
        <v>77</v>
      </c>
      <c r="L87" t="s">
        <v>136</v>
      </c>
      <c r="M87" t="s">
        <v>137</v>
      </c>
      <c r="N87" t="s">
        <v>402</v>
      </c>
      <c r="O87" t="s">
        <v>81</v>
      </c>
      <c r="P87" t="str">
        <f t="shared" si="3"/>
        <v xml:space="preserve">NO REF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2.68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0.8</v>
      </c>
      <c r="BJ87">
        <v>0.8</v>
      </c>
      <c r="BK87">
        <v>1</v>
      </c>
      <c r="BL87">
        <v>60.33</v>
      </c>
      <c r="BM87">
        <v>8.4499999999999993</v>
      </c>
      <c r="BN87">
        <v>68.78</v>
      </c>
      <c r="BO87">
        <v>68.78</v>
      </c>
      <c r="BQ87" t="s">
        <v>403</v>
      </c>
      <c r="BR87" t="s">
        <v>121</v>
      </c>
      <c r="BS87" s="1">
        <v>42438</v>
      </c>
      <c r="BT87" s="2">
        <v>0.36180555555555555</v>
      </c>
      <c r="BU87" t="s">
        <v>404</v>
      </c>
      <c r="BV87" t="s">
        <v>85</v>
      </c>
      <c r="BY87">
        <v>3870.15</v>
      </c>
      <c r="CC87" t="s">
        <v>137</v>
      </c>
      <c r="CD87">
        <v>9301</v>
      </c>
      <c r="CE87" t="s">
        <v>86</v>
      </c>
      <c r="CF87" s="1">
        <v>42440</v>
      </c>
      <c r="CI87">
        <v>0</v>
      </c>
      <c r="CJ87">
        <v>0</v>
      </c>
      <c r="CK87" t="s">
        <v>87</v>
      </c>
      <c r="CL87" t="s">
        <v>88</v>
      </c>
    </row>
    <row r="88" spans="1:90" x14ac:dyDescent="0.3">
      <c r="A88" t="s">
        <v>71</v>
      </c>
      <c r="B88" t="s">
        <v>72</v>
      </c>
      <c r="C88" t="s">
        <v>73</v>
      </c>
      <c r="E88" t="str">
        <f>"009935164304"</f>
        <v>009935164304</v>
      </c>
      <c r="F88" s="1">
        <v>42437</v>
      </c>
      <c r="G88">
        <v>201609</v>
      </c>
      <c r="H88" t="s">
        <v>74</v>
      </c>
      <c r="I88" t="s">
        <v>75</v>
      </c>
      <c r="J88" t="s">
        <v>116</v>
      </c>
      <c r="K88" t="s">
        <v>77</v>
      </c>
      <c r="L88" t="s">
        <v>101</v>
      </c>
      <c r="M88" t="s">
        <v>102</v>
      </c>
      <c r="N88" t="s">
        <v>405</v>
      </c>
      <c r="O88" t="s">
        <v>81</v>
      </c>
      <c r="P88" t="str">
        <f t="shared" si="3"/>
        <v xml:space="preserve">NO REF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3.9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85.54</v>
      </c>
      <c r="BM88">
        <v>11.98</v>
      </c>
      <c r="BN88">
        <v>97.52</v>
      </c>
      <c r="BO88">
        <v>97.52</v>
      </c>
      <c r="BQ88" t="s">
        <v>406</v>
      </c>
      <c r="BR88" t="s">
        <v>121</v>
      </c>
      <c r="BS88" s="1">
        <v>42438</v>
      </c>
      <c r="BT88" s="2">
        <v>0.34722222222222227</v>
      </c>
      <c r="BU88" t="s">
        <v>407</v>
      </c>
      <c r="BV88" t="s">
        <v>85</v>
      </c>
      <c r="BY88">
        <v>1200</v>
      </c>
      <c r="CC88" t="s">
        <v>102</v>
      </c>
      <c r="CD88">
        <v>7780</v>
      </c>
      <c r="CE88" t="s">
        <v>86</v>
      </c>
      <c r="CF88" s="1">
        <v>42440</v>
      </c>
      <c r="CI88">
        <v>0</v>
      </c>
      <c r="CJ88">
        <v>0</v>
      </c>
      <c r="CK88" t="s">
        <v>106</v>
      </c>
      <c r="CL88" t="s">
        <v>88</v>
      </c>
    </row>
    <row r="89" spans="1:90" x14ac:dyDescent="0.3">
      <c r="A89" t="s">
        <v>71</v>
      </c>
      <c r="B89" t="s">
        <v>72</v>
      </c>
      <c r="C89" t="s">
        <v>73</v>
      </c>
      <c r="E89" t="str">
        <f>"009935164270"</f>
        <v>009935164270</v>
      </c>
      <c r="F89" s="1">
        <v>42437</v>
      </c>
      <c r="G89">
        <v>201609</v>
      </c>
      <c r="H89" t="s">
        <v>74</v>
      </c>
      <c r="I89" t="s">
        <v>75</v>
      </c>
      <c r="J89" t="s">
        <v>116</v>
      </c>
      <c r="K89" t="s">
        <v>77</v>
      </c>
      <c r="L89" t="s">
        <v>281</v>
      </c>
      <c r="M89" t="s">
        <v>282</v>
      </c>
      <c r="N89" t="s">
        <v>408</v>
      </c>
      <c r="O89" t="s">
        <v>81</v>
      </c>
      <c r="P89" t="str">
        <f t="shared" si="3"/>
        <v xml:space="preserve">NO REF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3.28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0.2</v>
      </c>
      <c r="BK89">
        <v>1</v>
      </c>
      <c r="BL89">
        <v>72.63</v>
      </c>
      <c r="BM89">
        <v>10.17</v>
      </c>
      <c r="BN89">
        <v>82.8</v>
      </c>
      <c r="BO89">
        <v>82.8</v>
      </c>
      <c r="BQ89" t="s">
        <v>409</v>
      </c>
      <c r="BR89" t="s">
        <v>121</v>
      </c>
      <c r="BS89" s="1">
        <v>42438</v>
      </c>
      <c r="BT89" s="2">
        <v>0.60069444444444442</v>
      </c>
      <c r="BU89" t="s">
        <v>410</v>
      </c>
      <c r="BY89">
        <v>1200</v>
      </c>
      <c r="CA89" t="s">
        <v>411</v>
      </c>
      <c r="CC89" t="s">
        <v>282</v>
      </c>
      <c r="CD89">
        <v>1</v>
      </c>
      <c r="CE89" t="s">
        <v>86</v>
      </c>
      <c r="CF89" s="1">
        <v>42444</v>
      </c>
      <c r="CI89">
        <v>0</v>
      </c>
      <c r="CJ89">
        <v>0</v>
      </c>
      <c r="CK89" t="s">
        <v>195</v>
      </c>
      <c r="CL89" t="s">
        <v>88</v>
      </c>
    </row>
    <row r="90" spans="1:90" x14ac:dyDescent="0.3">
      <c r="A90" t="s">
        <v>71</v>
      </c>
      <c r="B90" t="s">
        <v>72</v>
      </c>
      <c r="C90" t="s">
        <v>73</v>
      </c>
      <c r="E90" t="str">
        <f>"009935164310"</f>
        <v>009935164310</v>
      </c>
      <c r="F90" s="1">
        <v>42437</v>
      </c>
      <c r="G90">
        <v>201609</v>
      </c>
      <c r="H90" t="s">
        <v>74</v>
      </c>
      <c r="I90" t="s">
        <v>75</v>
      </c>
      <c r="J90" t="s">
        <v>116</v>
      </c>
      <c r="K90" t="s">
        <v>77</v>
      </c>
      <c r="L90" t="s">
        <v>342</v>
      </c>
      <c r="M90" t="s">
        <v>343</v>
      </c>
      <c r="N90" t="s">
        <v>412</v>
      </c>
      <c r="O90" t="s">
        <v>81</v>
      </c>
      <c r="P90" t="str">
        <f t="shared" si="3"/>
        <v xml:space="preserve">NO REF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4.6500000000000004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0.5</v>
      </c>
      <c r="BJ90">
        <v>0.2</v>
      </c>
      <c r="BK90">
        <v>1</v>
      </c>
      <c r="BL90">
        <v>100.91</v>
      </c>
      <c r="BM90">
        <v>14.13</v>
      </c>
      <c r="BN90">
        <v>115.04</v>
      </c>
      <c r="BO90">
        <v>115.04</v>
      </c>
      <c r="BQ90" t="s">
        <v>413</v>
      </c>
      <c r="BR90" t="s">
        <v>121</v>
      </c>
      <c r="BS90" s="1">
        <v>42438</v>
      </c>
      <c r="BT90" s="2">
        <v>0.5541666666666667</v>
      </c>
      <c r="BU90" t="s">
        <v>414</v>
      </c>
      <c r="BV90" t="s">
        <v>85</v>
      </c>
      <c r="BY90">
        <v>1200</v>
      </c>
      <c r="CC90" t="s">
        <v>343</v>
      </c>
      <c r="CD90">
        <v>850</v>
      </c>
      <c r="CE90" t="s">
        <v>86</v>
      </c>
      <c r="CF90" s="1">
        <v>42441</v>
      </c>
      <c r="CI90">
        <v>0</v>
      </c>
      <c r="CJ90">
        <v>0</v>
      </c>
      <c r="CK90" t="s">
        <v>322</v>
      </c>
      <c r="CL90" t="s">
        <v>88</v>
      </c>
    </row>
    <row r="91" spans="1:90" x14ac:dyDescent="0.3">
      <c r="A91" t="s">
        <v>71</v>
      </c>
      <c r="B91" t="s">
        <v>72</v>
      </c>
      <c r="C91" t="s">
        <v>73</v>
      </c>
      <c r="E91" t="str">
        <f>"009935164307"</f>
        <v>009935164307</v>
      </c>
      <c r="F91" s="1">
        <v>42437</v>
      </c>
      <c r="G91">
        <v>201609</v>
      </c>
      <c r="H91" t="s">
        <v>74</v>
      </c>
      <c r="I91" t="s">
        <v>75</v>
      </c>
      <c r="J91" t="s">
        <v>116</v>
      </c>
      <c r="K91" t="s">
        <v>77</v>
      </c>
      <c r="L91" t="s">
        <v>96</v>
      </c>
      <c r="M91" t="s">
        <v>97</v>
      </c>
      <c r="N91" t="s">
        <v>415</v>
      </c>
      <c r="O91" t="s">
        <v>81</v>
      </c>
      <c r="P91" t="str">
        <f t="shared" si="3"/>
        <v xml:space="preserve">NO REF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2.68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0.5</v>
      </c>
      <c r="BJ91">
        <v>0.2</v>
      </c>
      <c r="BK91">
        <v>1</v>
      </c>
      <c r="BL91">
        <v>60.33</v>
      </c>
      <c r="BM91">
        <v>8.4499999999999993</v>
      </c>
      <c r="BN91">
        <v>68.78</v>
      </c>
      <c r="BO91">
        <v>68.78</v>
      </c>
      <c r="BQ91" t="s">
        <v>416</v>
      </c>
      <c r="BR91" t="s">
        <v>121</v>
      </c>
      <c r="BS91" s="1">
        <v>42438</v>
      </c>
      <c r="BT91" s="2">
        <v>0.54166666666666663</v>
      </c>
      <c r="BU91" t="s">
        <v>182</v>
      </c>
      <c r="BV91" t="s">
        <v>85</v>
      </c>
      <c r="BY91">
        <v>1200</v>
      </c>
      <c r="CC91" t="s">
        <v>97</v>
      </c>
      <c r="CD91">
        <v>4001</v>
      </c>
      <c r="CE91" t="s">
        <v>86</v>
      </c>
      <c r="CF91" s="1">
        <v>42440</v>
      </c>
      <c r="CI91">
        <v>0</v>
      </c>
      <c r="CJ91">
        <v>0</v>
      </c>
      <c r="CK91" t="s">
        <v>95</v>
      </c>
      <c r="CL91" t="s">
        <v>88</v>
      </c>
    </row>
    <row r="92" spans="1:90" x14ac:dyDescent="0.3">
      <c r="A92" t="s">
        <v>71</v>
      </c>
      <c r="B92" t="s">
        <v>72</v>
      </c>
      <c r="C92" t="s">
        <v>73</v>
      </c>
      <c r="E92" t="str">
        <f>"009935164300"</f>
        <v>009935164300</v>
      </c>
      <c r="F92" s="1">
        <v>42437</v>
      </c>
      <c r="G92">
        <v>201609</v>
      </c>
      <c r="H92" t="s">
        <v>74</v>
      </c>
      <c r="I92" t="s">
        <v>75</v>
      </c>
      <c r="J92" t="s">
        <v>417</v>
      </c>
      <c r="K92" t="s">
        <v>77</v>
      </c>
      <c r="L92" t="s">
        <v>190</v>
      </c>
      <c r="M92" t="s">
        <v>191</v>
      </c>
      <c r="N92" t="s">
        <v>418</v>
      </c>
      <c r="O92" t="s">
        <v>81</v>
      </c>
      <c r="P92" t="str">
        <f t="shared" si="3"/>
        <v xml:space="preserve">NO REF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3.28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0.5</v>
      </c>
      <c r="BK92">
        <v>1</v>
      </c>
      <c r="BL92">
        <v>72.63</v>
      </c>
      <c r="BM92">
        <v>10.17</v>
      </c>
      <c r="BN92">
        <v>82.8</v>
      </c>
      <c r="BO92">
        <v>82.8</v>
      </c>
      <c r="BQ92" t="s">
        <v>419</v>
      </c>
      <c r="BS92" s="1">
        <v>42438</v>
      </c>
      <c r="BT92" s="2">
        <v>0.41666666666666669</v>
      </c>
      <c r="BU92" t="s">
        <v>420</v>
      </c>
      <c r="BV92" t="s">
        <v>85</v>
      </c>
      <c r="BY92">
        <v>2400</v>
      </c>
      <c r="CC92" t="s">
        <v>191</v>
      </c>
      <c r="CD92">
        <v>1939</v>
      </c>
      <c r="CE92" t="s">
        <v>86</v>
      </c>
      <c r="CF92" s="1">
        <v>42441</v>
      </c>
      <c r="CI92">
        <v>0</v>
      </c>
      <c r="CJ92">
        <v>0</v>
      </c>
      <c r="CK92" t="s">
        <v>195</v>
      </c>
      <c r="CL92" t="s">
        <v>88</v>
      </c>
    </row>
    <row r="93" spans="1:90" x14ac:dyDescent="0.3">
      <c r="A93" t="s">
        <v>71</v>
      </c>
      <c r="B93" t="s">
        <v>72</v>
      </c>
      <c r="C93" t="s">
        <v>73</v>
      </c>
      <c r="E93" t="str">
        <f>"009935164305"</f>
        <v>009935164305</v>
      </c>
      <c r="F93" s="1">
        <v>42437</v>
      </c>
      <c r="G93">
        <v>201609</v>
      </c>
      <c r="H93" t="s">
        <v>74</v>
      </c>
      <c r="I93" t="s">
        <v>75</v>
      </c>
      <c r="J93" t="s">
        <v>116</v>
      </c>
      <c r="K93" t="s">
        <v>77</v>
      </c>
      <c r="L93" t="s">
        <v>257</v>
      </c>
      <c r="M93" t="s">
        <v>258</v>
      </c>
      <c r="N93" t="s">
        <v>421</v>
      </c>
      <c r="O93" t="s">
        <v>81</v>
      </c>
      <c r="P93" t="str">
        <f t="shared" si="3"/>
        <v xml:space="preserve">NO REF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3.57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78.77</v>
      </c>
      <c r="BM93">
        <v>11.03</v>
      </c>
      <c r="BN93">
        <v>89.8</v>
      </c>
      <c r="BO93">
        <v>89.8</v>
      </c>
      <c r="BQ93" t="s">
        <v>422</v>
      </c>
      <c r="BR93" t="s">
        <v>121</v>
      </c>
      <c r="BS93" s="1">
        <v>42438</v>
      </c>
      <c r="BT93" s="2">
        <v>0.52847222222222223</v>
      </c>
      <c r="BU93" t="s">
        <v>423</v>
      </c>
      <c r="BV93" t="s">
        <v>85</v>
      </c>
      <c r="BY93">
        <v>1200</v>
      </c>
      <c r="CC93" t="s">
        <v>258</v>
      </c>
      <c r="CD93">
        <v>1055</v>
      </c>
      <c r="CE93" t="s">
        <v>86</v>
      </c>
      <c r="CF93" s="1">
        <v>42441</v>
      </c>
      <c r="CI93">
        <v>0</v>
      </c>
      <c r="CJ93">
        <v>0</v>
      </c>
      <c r="CK93" t="s">
        <v>216</v>
      </c>
      <c r="CL93" t="s">
        <v>88</v>
      </c>
    </row>
    <row r="94" spans="1:90" x14ac:dyDescent="0.3">
      <c r="A94" t="s">
        <v>71</v>
      </c>
      <c r="B94" t="s">
        <v>72</v>
      </c>
      <c r="C94" t="s">
        <v>73</v>
      </c>
      <c r="E94" t="str">
        <f>"009935164302"</f>
        <v>009935164302</v>
      </c>
      <c r="F94" s="1">
        <v>42437</v>
      </c>
      <c r="G94">
        <v>201609</v>
      </c>
      <c r="H94" t="s">
        <v>74</v>
      </c>
      <c r="I94" t="s">
        <v>75</v>
      </c>
      <c r="J94" t="s">
        <v>116</v>
      </c>
      <c r="K94" t="s">
        <v>77</v>
      </c>
      <c r="L94" t="s">
        <v>424</v>
      </c>
      <c r="M94" t="s">
        <v>425</v>
      </c>
      <c r="N94" t="s">
        <v>426</v>
      </c>
      <c r="O94" t="s">
        <v>81</v>
      </c>
      <c r="P94" t="str">
        <f t="shared" si="3"/>
        <v xml:space="preserve">NO REF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3.9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85.54</v>
      </c>
      <c r="BM94">
        <v>11.98</v>
      </c>
      <c r="BN94">
        <v>97.52</v>
      </c>
      <c r="BO94">
        <v>97.52</v>
      </c>
      <c r="BQ94" t="s">
        <v>427</v>
      </c>
      <c r="BR94" t="s">
        <v>121</v>
      </c>
      <c r="BS94" s="1">
        <v>42438</v>
      </c>
      <c r="BT94" s="2">
        <v>0.60416666666666663</v>
      </c>
      <c r="BU94" t="s">
        <v>428</v>
      </c>
      <c r="BV94" t="s">
        <v>85</v>
      </c>
      <c r="BY94">
        <v>1200</v>
      </c>
      <c r="CC94" t="s">
        <v>425</v>
      </c>
      <c r="CD94">
        <v>2309</v>
      </c>
      <c r="CE94" t="s">
        <v>86</v>
      </c>
      <c r="CF94" s="1">
        <v>42443</v>
      </c>
      <c r="CI94">
        <v>0</v>
      </c>
      <c r="CJ94">
        <v>0</v>
      </c>
      <c r="CK94" t="s">
        <v>106</v>
      </c>
      <c r="CL94" t="s">
        <v>88</v>
      </c>
    </row>
    <row r="95" spans="1:90" x14ac:dyDescent="0.3">
      <c r="A95" t="s">
        <v>71</v>
      </c>
      <c r="B95" t="s">
        <v>72</v>
      </c>
      <c r="C95" t="s">
        <v>73</v>
      </c>
      <c r="E95" t="str">
        <f>"009935164309"</f>
        <v>009935164309</v>
      </c>
      <c r="F95" s="1">
        <v>42437</v>
      </c>
      <c r="G95">
        <v>201609</v>
      </c>
      <c r="H95" t="s">
        <v>74</v>
      </c>
      <c r="I95" t="s">
        <v>75</v>
      </c>
      <c r="J95" t="s">
        <v>116</v>
      </c>
      <c r="K95" t="s">
        <v>77</v>
      </c>
      <c r="L95" t="s">
        <v>429</v>
      </c>
      <c r="M95" t="s">
        <v>430</v>
      </c>
      <c r="N95" t="s">
        <v>431</v>
      </c>
      <c r="O95" t="s">
        <v>81</v>
      </c>
      <c r="P95" t="str">
        <f t="shared" si="3"/>
        <v xml:space="preserve">NO REF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4.6500000000000004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100.91</v>
      </c>
      <c r="BM95">
        <v>14.13</v>
      </c>
      <c r="BN95">
        <v>115.04</v>
      </c>
      <c r="BO95">
        <v>115.04</v>
      </c>
      <c r="BQ95" t="s">
        <v>358</v>
      </c>
      <c r="BR95" t="s">
        <v>121</v>
      </c>
      <c r="BS95" s="1">
        <v>42439</v>
      </c>
      <c r="BT95" s="2">
        <v>0.5</v>
      </c>
      <c r="BU95" t="s">
        <v>432</v>
      </c>
      <c r="BV95" t="s">
        <v>85</v>
      </c>
      <c r="BY95">
        <v>1200</v>
      </c>
      <c r="CC95" t="s">
        <v>430</v>
      </c>
      <c r="CD95">
        <v>7299</v>
      </c>
      <c r="CE95" t="s">
        <v>86</v>
      </c>
      <c r="CF95" s="1">
        <v>42443</v>
      </c>
      <c r="CI95">
        <v>0</v>
      </c>
      <c r="CJ95">
        <v>0</v>
      </c>
      <c r="CK95" t="s">
        <v>123</v>
      </c>
      <c r="CL95" t="s">
        <v>88</v>
      </c>
    </row>
    <row r="96" spans="1:90" x14ac:dyDescent="0.3">
      <c r="A96" t="s">
        <v>71</v>
      </c>
      <c r="B96" t="s">
        <v>72</v>
      </c>
      <c r="C96" t="s">
        <v>73</v>
      </c>
      <c r="E96" t="str">
        <f>"009935164272"</f>
        <v>009935164272</v>
      </c>
      <c r="F96" s="1">
        <v>42437</v>
      </c>
      <c r="G96">
        <v>201609</v>
      </c>
      <c r="H96" t="s">
        <v>74</v>
      </c>
      <c r="I96" t="s">
        <v>75</v>
      </c>
      <c r="J96" t="s">
        <v>116</v>
      </c>
      <c r="K96" t="s">
        <v>77</v>
      </c>
      <c r="L96" t="s">
        <v>149</v>
      </c>
      <c r="M96" t="s">
        <v>150</v>
      </c>
      <c r="N96" t="s">
        <v>433</v>
      </c>
      <c r="O96" t="s">
        <v>81</v>
      </c>
      <c r="P96" t="str">
        <f t="shared" si="3"/>
        <v xml:space="preserve">NO REF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4.6500000000000004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0.2</v>
      </c>
      <c r="BK96">
        <v>1</v>
      </c>
      <c r="BL96">
        <v>100.91</v>
      </c>
      <c r="BM96">
        <v>14.13</v>
      </c>
      <c r="BN96">
        <v>115.04</v>
      </c>
      <c r="BO96">
        <v>115.04</v>
      </c>
      <c r="BQ96" t="s">
        <v>434</v>
      </c>
      <c r="BR96" t="s">
        <v>121</v>
      </c>
      <c r="BS96" s="1">
        <v>42460</v>
      </c>
      <c r="BT96" s="2">
        <v>0.43055555555555558</v>
      </c>
      <c r="BU96" t="s">
        <v>205</v>
      </c>
      <c r="BY96">
        <v>1200</v>
      </c>
      <c r="CC96" t="s">
        <v>150</v>
      </c>
      <c r="CD96">
        <v>6529</v>
      </c>
      <c r="CE96" t="s">
        <v>86</v>
      </c>
      <c r="CI96">
        <v>0</v>
      </c>
      <c r="CJ96">
        <v>0</v>
      </c>
      <c r="CK96" t="s">
        <v>123</v>
      </c>
      <c r="CL96" t="s">
        <v>88</v>
      </c>
    </row>
    <row r="97" spans="1:90" x14ac:dyDescent="0.3">
      <c r="A97" t="s">
        <v>71</v>
      </c>
      <c r="B97" t="s">
        <v>72</v>
      </c>
      <c r="C97" t="s">
        <v>73</v>
      </c>
      <c r="E97" t="str">
        <f>"009935164259"</f>
        <v>009935164259</v>
      </c>
      <c r="F97" s="1">
        <v>42440</v>
      </c>
      <c r="G97">
        <v>201609</v>
      </c>
      <c r="H97" t="s">
        <v>74</v>
      </c>
      <c r="I97" t="s">
        <v>75</v>
      </c>
      <c r="J97" t="s">
        <v>116</v>
      </c>
      <c r="K97" t="s">
        <v>77</v>
      </c>
      <c r="L97" t="s">
        <v>127</v>
      </c>
      <c r="M97" t="s">
        <v>128</v>
      </c>
      <c r="N97" t="s">
        <v>435</v>
      </c>
      <c r="O97" t="s">
        <v>81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3.9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0.8</v>
      </c>
      <c r="BJ97">
        <v>0.9</v>
      </c>
      <c r="BK97">
        <v>1</v>
      </c>
      <c r="BL97">
        <v>85.54</v>
      </c>
      <c r="BM97">
        <v>11.98</v>
      </c>
      <c r="BN97">
        <v>97.52</v>
      </c>
      <c r="BO97">
        <v>97.52</v>
      </c>
      <c r="BQ97" t="s">
        <v>436</v>
      </c>
      <c r="BR97" t="s">
        <v>121</v>
      </c>
      <c r="BS97" s="1">
        <v>42443</v>
      </c>
      <c r="BT97" s="2">
        <v>0.47916666666666669</v>
      </c>
      <c r="BU97" t="s">
        <v>437</v>
      </c>
      <c r="BV97" t="s">
        <v>85</v>
      </c>
      <c r="BY97">
        <v>4410.78</v>
      </c>
      <c r="CC97" t="s">
        <v>128</v>
      </c>
      <c r="CD97">
        <v>5201</v>
      </c>
      <c r="CE97" t="s">
        <v>86</v>
      </c>
      <c r="CF97" s="1">
        <v>42445</v>
      </c>
      <c r="CI97">
        <v>0</v>
      </c>
      <c r="CJ97">
        <v>0</v>
      </c>
      <c r="CK97" t="s">
        <v>132</v>
      </c>
      <c r="CL97" t="s">
        <v>88</v>
      </c>
    </row>
    <row r="98" spans="1:90" x14ac:dyDescent="0.3">
      <c r="A98" t="s">
        <v>71</v>
      </c>
      <c r="B98" t="s">
        <v>72</v>
      </c>
      <c r="C98" t="s">
        <v>73</v>
      </c>
      <c r="E98" t="str">
        <f>"009934303729D"</f>
        <v>009934303729D</v>
      </c>
      <c r="F98" s="1">
        <v>42355</v>
      </c>
      <c r="G98">
        <v>201609</v>
      </c>
      <c r="H98" t="s">
        <v>74</v>
      </c>
      <c r="I98" t="s">
        <v>75</v>
      </c>
      <c r="J98" t="s">
        <v>438</v>
      </c>
      <c r="K98" t="s">
        <v>77</v>
      </c>
      <c r="L98" t="s">
        <v>74</v>
      </c>
      <c r="M98" t="s">
        <v>75</v>
      </c>
      <c r="N98" t="s">
        <v>439</v>
      </c>
      <c r="O98" t="s">
        <v>81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4.83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0.2</v>
      </c>
      <c r="BK98">
        <v>1</v>
      </c>
      <c r="BL98">
        <v>62.48</v>
      </c>
      <c r="BM98">
        <v>8.75</v>
      </c>
      <c r="BN98">
        <v>71.23</v>
      </c>
      <c r="BO98">
        <v>71.23</v>
      </c>
      <c r="BQ98" t="s">
        <v>440</v>
      </c>
      <c r="BR98" t="s">
        <v>83</v>
      </c>
      <c r="BS98" s="1">
        <v>42356</v>
      </c>
      <c r="BT98" s="2">
        <v>0.58333333333333337</v>
      </c>
      <c r="BU98" t="s">
        <v>441</v>
      </c>
      <c r="BV98" t="s">
        <v>85</v>
      </c>
      <c r="BY98">
        <v>1200</v>
      </c>
      <c r="CC98" t="s">
        <v>75</v>
      </c>
      <c r="CD98">
        <v>2091</v>
      </c>
      <c r="CE98" t="s">
        <v>86</v>
      </c>
      <c r="CF98" s="1">
        <v>42362</v>
      </c>
      <c r="CI98">
        <v>0</v>
      </c>
      <c r="CJ98">
        <v>0</v>
      </c>
      <c r="CK98" t="s">
        <v>112</v>
      </c>
      <c r="CL98" t="s">
        <v>88</v>
      </c>
    </row>
    <row r="99" spans="1:90" x14ac:dyDescent="0.3">
      <c r="A99" t="s">
        <v>71</v>
      </c>
      <c r="B99" t="s">
        <v>72</v>
      </c>
      <c r="C99" t="s">
        <v>73</v>
      </c>
      <c r="E99" t="str">
        <f>"009935164250"</f>
        <v>009935164250</v>
      </c>
      <c r="F99" s="1">
        <v>42440</v>
      </c>
      <c r="G99">
        <v>201609</v>
      </c>
      <c r="H99" t="s">
        <v>74</v>
      </c>
      <c r="I99" t="s">
        <v>75</v>
      </c>
      <c r="J99" t="s">
        <v>116</v>
      </c>
      <c r="K99" t="s">
        <v>77</v>
      </c>
      <c r="L99" t="s">
        <v>313</v>
      </c>
      <c r="M99" t="s">
        <v>314</v>
      </c>
      <c r="N99" t="s">
        <v>442</v>
      </c>
      <c r="O99" t="s">
        <v>81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3.87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84.92</v>
      </c>
      <c r="BM99">
        <v>11.89</v>
      </c>
      <c r="BN99">
        <v>96.81</v>
      </c>
      <c r="BO99">
        <v>96.81</v>
      </c>
      <c r="BQ99" t="s">
        <v>443</v>
      </c>
      <c r="BR99" t="s">
        <v>121</v>
      </c>
      <c r="BS99" s="1">
        <v>42443</v>
      </c>
      <c r="BT99" s="2">
        <v>0.46319444444444446</v>
      </c>
      <c r="BU99" t="s">
        <v>444</v>
      </c>
      <c r="BV99" t="s">
        <v>85</v>
      </c>
      <c r="BY99">
        <v>1200</v>
      </c>
      <c r="CC99" t="s">
        <v>314</v>
      </c>
      <c r="CD99">
        <v>3200</v>
      </c>
      <c r="CE99" t="s">
        <v>86</v>
      </c>
      <c r="CF99" s="1">
        <v>42445</v>
      </c>
      <c r="CI99">
        <v>0</v>
      </c>
      <c r="CJ99">
        <v>0</v>
      </c>
      <c r="CK99" t="s">
        <v>256</v>
      </c>
      <c r="CL99" t="s">
        <v>88</v>
      </c>
    </row>
    <row r="100" spans="1:90" x14ac:dyDescent="0.3">
      <c r="A100" t="s">
        <v>71</v>
      </c>
      <c r="B100" t="s">
        <v>72</v>
      </c>
      <c r="C100" t="s">
        <v>73</v>
      </c>
      <c r="E100" t="str">
        <f>"009934303898"</f>
        <v>009934303898</v>
      </c>
      <c r="F100" s="1">
        <v>42438</v>
      </c>
      <c r="G100">
        <v>201609</v>
      </c>
      <c r="H100" t="s">
        <v>74</v>
      </c>
      <c r="I100" t="s">
        <v>75</v>
      </c>
      <c r="J100" t="s">
        <v>76</v>
      </c>
      <c r="K100" t="s">
        <v>77</v>
      </c>
      <c r="L100" t="s">
        <v>445</v>
      </c>
      <c r="M100" t="s">
        <v>446</v>
      </c>
      <c r="N100" t="s">
        <v>447</v>
      </c>
      <c r="O100" t="s">
        <v>81</v>
      </c>
      <c r="P100" t="str">
        <f t="shared" ref="P100:P123" si="4">"NO REF                        "</f>
        <v xml:space="preserve">NO REF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3.9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85.54</v>
      </c>
      <c r="BM100">
        <v>11.98</v>
      </c>
      <c r="BN100">
        <v>97.52</v>
      </c>
      <c r="BO100">
        <v>97.52</v>
      </c>
      <c r="BQ100" t="s">
        <v>448</v>
      </c>
      <c r="BR100" t="s">
        <v>83</v>
      </c>
      <c r="BS100" s="1">
        <v>42443</v>
      </c>
      <c r="BT100" s="2">
        <v>0.45833333333333331</v>
      </c>
      <c r="BU100" t="s">
        <v>449</v>
      </c>
      <c r="BV100" t="s">
        <v>85</v>
      </c>
      <c r="BY100">
        <v>1200</v>
      </c>
      <c r="CC100" t="s">
        <v>446</v>
      </c>
      <c r="CD100">
        <v>1095</v>
      </c>
      <c r="CE100" t="s">
        <v>86</v>
      </c>
      <c r="CF100" s="1">
        <v>42445</v>
      </c>
      <c r="CI100">
        <v>0</v>
      </c>
      <c r="CJ100">
        <v>0</v>
      </c>
      <c r="CK100" t="s">
        <v>106</v>
      </c>
      <c r="CL100" t="s">
        <v>88</v>
      </c>
    </row>
    <row r="101" spans="1:90" x14ac:dyDescent="0.3">
      <c r="A101" t="s">
        <v>71</v>
      </c>
      <c r="B101" t="s">
        <v>72</v>
      </c>
      <c r="C101" t="s">
        <v>73</v>
      </c>
      <c r="E101" t="str">
        <f>"009934303917"</f>
        <v>009934303917</v>
      </c>
      <c r="F101" s="1">
        <v>42438</v>
      </c>
      <c r="G101">
        <v>201609</v>
      </c>
      <c r="H101" t="s">
        <v>74</v>
      </c>
      <c r="I101" t="s">
        <v>75</v>
      </c>
      <c r="J101" t="s">
        <v>76</v>
      </c>
      <c r="K101" t="s">
        <v>77</v>
      </c>
      <c r="L101" t="s">
        <v>313</v>
      </c>
      <c r="M101" t="s">
        <v>314</v>
      </c>
      <c r="N101" t="s">
        <v>450</v>
      </c>
      <c r="O101" t="s">
        <v>81</v>
      </c>
      <c r="P101" t="str">
        <f t="shared" si="4"/>
        <v xml:space="preserve">NO REF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3.87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84.92</v>
      </c>
      <c r="BM101">
        <v>11.89</v>
      </c>
      <c r="BN101">
        <v>96.81</v>
      </c>
      <c r="BO101">
        <v>96.81</v>
      </c>
      <c r="BQ101" t="s">
        <v>451</v>
      </c>
      <c r="BR101" t="s">
        <v>83</v>
      </c>
      <c r="BS101" s="1">
        <v>42439</v>
      </c>
      <c r="BT101" s="2">
        <v>0.45833333333333331</v>
      </c>
      <c r="BU101" t="s">
        <v>452</v>
      </c>
      <c r="BV101" t="s">
        <v>85</v>
      </c>
      <c r="BY101">
        <v>1200</v>
      </c>
      <c r="CC101" t="s">
        <v>314</v>
      </c>
      <c r="CD101">
        <v>3200</v>
      </c>
      <c r="CE101" t="s">
        <v>86</v>
      </c>
      <c r="CF101" s="1">
        <v>42441</v>
      </c>
      <c r="CI101">
        <v>0</v>
      </c>
      <c r="CJ101">
        <v>0</v>
      </c>
      <c r="CK101" t="s">
        <v>256</v>
      </c>
      <c r="CL101" t="s">
        <v>88</v>
      </c>
    </row>
    <row r="102" spans="1:90" x14ac:dyDescent="0.3">
      <c r="A102" t="s">
        <v>71</v>
      </c>
      <c r="B102" t="s">
        <v>72</v>
      </c>
      <c r="C102" t="s">
        <v>73</v>
      </c>
      <c r="E102" t="str">
        <f>"009934303894"</f>
        <v>009934303894</v>
      </c>
      <c r="F102" s="1">
        <v>42438</v>
      </c>
      <c r="G102">
        <v>201609</v>
      </c>
      <c r="H102" t="s">
        <v>74</v>
      </c>
      <c r="I102" t="s">
        <v>75</v>
      </c>
      <c r="J102" t="s">
        <v>76</v>
      </c>
      <c r="K102" t="s">
        <v>77</v>
      </c>
      <c r="L102" t="s">
        <v>453</v>
      </c>
      <c r="M102" t="s">
        <v>454</v>
      </c>
      <c r="N102" t="s">
        <v>455</v>
      </c>
      <c r="O102" t="s">
        <v>81</v>
      </c>
      <c r="P102" t="str">
        <f t="shared" si="4"/>
        <v xml:space="preserve">NO REF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4.6500000000000004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0.7</v>
      </c>
      <c r="BK102">
        <v>1</v>
      </c>
      <c r="BL102">
        <v>100.91</v>
      </c>
      <c r="BM102">
        <v>14.13</v>
      </c>
      <c r="BN102">
        <v>115.04</v>
      </c>
      <c r="BO102">
        <v>115.04</v>
      </c>
      <c r="BQ102" t="s">
        <v>456</v>
      </c>
      <c r="BR102" t="s">
        <v>83</v>
      </c>
      <c r="BS102" s="1">
        <v>42439</v>
      </c>
      <c r="BT102" s="2">
        <v>0.64583333333333337</v>
      </c>
      <c r="BU102" t="s">
        <v>457</v>
      </c>
      <c r="BV102" t="s">
        <v>85</v>
      </c>
      <c r="BY102">
        <v>3600</v>
      </c>
      <c r="CC102" t="s">
        <v>454</v>
      </c>
      <c r="CD102">
        <v>6300</v>
      </c>
      <c r="CE102" t="s">
        <v>86</v>
      </c>
      <c r="CF102" s="1">
        <v>42443</v>
      </c>
      <c r="CI102">
        <v>0</v>
      </c>
      <c r="CJ102">
        <v>0</v>
      </c>
      <c r="CK102" t="s">
        <v>123</v>
      </c>
      <c r="CL102" t="s">
        <v>88</v>
      </c>
    </row>
    <row r="103" spans="1:90" x14ac:dyDescent="0.3">
      <c r="A103" t="s">
        <v>71</v>
      </c>
      <c r="B103" t="s">
        <v>72</v>
      </c>
      <c r="C103" t="s">
        <v>73</v>
      </c>
      <c r="E103" t="str">
        <f>"009934303879"</f>
        <v>009934303879</v>
      </c>
      <c r="F103" s="1">
        <v>42438</v>
      </c>
      <c r="G103">
        <v>201609</v>
      </c>
      <c r="H103" t="s">
        <v>74</v>
      </c>
      <c r="I103" t="s">
        <v>75</v>
      </c>
      <c r="J103" t="s">
        <v>76</v>
      </c>
      <c r="K103" t="s">
        <v>77</v>
      </c>
      <c r="L103" t="s">
        <v>313</v>
      </c>
      <c r="M103" t="s">
        <v>314</v>
      </c>
      <c r="N103" t="s">
        <v>458</v>
      </c>
      <c r="O103" t="s">
        <v>81</v>
      </c>
      <c r="P103" t="str">
        <f t="shared" si="4"/>
        <v xml:space="preserve">NO REF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3.87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0.5</v>
      </c>
      <c r="BJ103">
        <v>0.2</v>
      </c>
      <c r="BK103">
        <v>1</v>
      </c>
      <c r="BL103">
        <v>84.92</v>
      </c>
      <c r="BM103">
        <v>11.89</v>
      </c>
      <c r="BN103">
        <v>96.81</v>
      </c>
      <c r="BO103">
        <v>96.81</v>
      </c>
      <c r="BQ103" t="s">
        <v>459</v>
      </c>
      <c r="BR103" t="s">
        <v>83</v>
      </c>
      <c r="BS103" s="1">
        <v>42439</v>
      </c>
      <c r="BT103" s="2">
        <v>0.43402777777777773</v>
      </c>
      <c r="BU103" t="s">
        <v>460</v>
      </c>
      <c r="BV103" t="s">
        <v>85</v>
      </c>
      <c r="BY103">
        <v>1200</v>
      </c>
      <c r="CC103" t="s">
        <v>314</v>
      </c>
      <c r="CD103">
        <v>3200</v>
      </c>
      <c r="CE103" t="s">
        <v>86</v>
      </c>
      <c r="CF103" s="1">
        <v>42441</v>
      </c>
      <c r="CI103">
        <v>0</v>
      </c>
      <c r="CJ103">
        <v>0</v>
      </c>
      <c r="CK103" t="s">
        <v>256</v>
      </c>
      <c r="CL103" t="s">
        <v>88</v>
      </c>
    </row>
    <row r="104" spans="1:90" x14ac:dyDescent="0.3">
      <c r="A104" t="s">
        <v>71</v>
      </c>
      <c r="B104" t="s">
        <v>72</v>
      </c>
      <c r="C104" t="s">
        <v>73</v>
      </c>
      <c r="E104" t="str">
        <f>"009934303877"</f>
        <v>009934303877</v>
      </c>
      <c r="F104" s="1">
        <v>42438</v>
      </c>
      <c r="G104">
        <v>201609</v>
      </c>
      <c r="H104" t="s">
        <v>74</v>
      </c>
      <c r="I104" t="s">
        <v>75</v>
      </c>
      <c r="J104" t="s">
        <v>76</v>
      </c>
      <c r="K104" t="s">
        <v>77</v>
      </c>
      <c r="L104" t="s">
        <v>461</v>
      </c>
      <c r="M104" t="s">
        <v>462</v>
      </c>
      <c r="N104" t="s">
        <v>463</v>
      </c>
      <c r="O104" t="s">
        <v>81</v>
      </c>
      <c r="P104" t="str">
        <f t="shared" si="4"/>
        <v xml:space="preserve">NO REF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2.68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0.5</v>
      </c>
      <c r="BJ104">
        <v>0.2</v>
      </c>
      <c r="BK104">
        <v>1</v>
      </c>
      <c r="BL104">
        <v>60.33</v>
      </c>
      <c r="BM104">
        <v>8.4499999999999993</v>
      </c>
      <c r="BN104">
        <v>68.78</v>
      </c>
      <c r="BO104">
        <v>68.78</v>
      </c>
      <c r="BQ104" t="s">
        <v>464</v>
      </c>
      <c r="BR104" t="s">
        <v>83</v>
      </c>
      <c r="BS104" s="1">
        <v>42439</v>
      </c>
      <c r="BT104" s="2">
        <v>0.39444444444444443</v>
      </c>
      <c r="BU104" t="s">
        <v>465</v>
      </c>
      <c r="BV104" t="s">
        <v>85</v>
      </c>
      <c r="BY104">
        <v>1200</v>
      </c>
      <c r="CC104" t="s">
        <v>462</v>
      </c>
      <c r="CD104">
        <v>1459</v>
      </c>
      <c r="CE104" t="s">
        <v>86</v>
      </c>
      <c r="CF104" s="1">
        <v>42441</v>
      </c>
      <c r="CI104">
        <v>0</v>
      </c>
      <c r="CJ104">
        <v>0</v>
      </c>
      <c r="CK104" t="s">
        <v>112</v>
      </c>
      <c r="CL104" t="s">
        <v>88</v>
      </c>
    </row>
    <row r="105" spans="1:90" x14ac:dyDescent="0.3">
      <c r="A105" t="s">
        <v>71</v>
      </c>
      <c r="B105" t="s">
        <v>72</v>
      </c>
      <c r="C105" t="s">
        <v>73</v>
      </c>
      <c r="E105" t="str">
        <f>"009934303915"</f>
        <v>009934303915</v>
      </c>
      <c r="F105" s="1">
        <v>42438</v>
      </c>
      <c r="G105">
        <v>201609</v>
      </c>
      <c r="H105" t="s">
        <v>74</v>
      </c>
      <c r="I105" t="s">
        <v>75</v>
      </c>
      <c r="J105" t="s">
        <v>76</v>
      </c>
      <c r="K105" t="s">
        <v>77</v>
      </c>
      <c r="L105" t="s">
        <v>313</v>
      </c>
      <c r="M105" t="s">
        <v>314</v>
      </c>
      <c r="N105" t="s">
        <v>466</v>
      </c>
      <c r="O105" t="s">
        <v>81</v>
      </c>
      <c r="P105" t="str">
        <f t="shared" si="4"/>
        <v xml:space="preserve">NO REF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3.87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84.92</v>
      </c>
      <c r="BM105">
        <v>11.89</v>
      </c>
      <c r="BN105">
        <v>96.81</v>
      </c>
      <c r="BO105">
        <v>96.81</v>
      </c>
      <c r="BQ105" t="s">
        <v>467</v>
      </c>
      <c r="BR105" t="s">
        <v>83</v>
      </c>
      <c r="BS105" s="1">
        <v>42439</v>
      </c>
      <c r="BT105" s="2">
        <v>0.40277777777777773</v>
      </c>
      <c r="BU105" t="s">
        <v>468</v>
      </c>
      <c r="BV105" t="s">
        <v>85</v>
      </c>
      <c r="BY105">
        <v>1200</v>
      </c>
      <c r="CC105" t="s">
        <v>314</v>
      </c>
      <c r="CD105">
        <v>3200</v>
      </c>
      <c r="CE105" t="s">
        <v>86</v>
      </c>
      <c r="CF105" s="1">
        <v>42441</v>
      </c>
      <c r="CI105">
        <v>0</v>
      </c>
      <c r="CJ105">
        <v>0</v>
      </c>
      <c r="CK105" t="s">
        <v>256</v>
      </c>
      <c r="CL105" t="s">
        <v>88</v>
      </c>
    </row>
    <row r="106" spans="1:90" x14ac:dyDescent="0.3">
      <c r="A106" t="s">
        <v>71</v>
      </c>
      <c r="B106" t="s">
        <v>72</v>
      </c>
      <c r="C106" t="s">
        <v>73</v>
      </c>
      <c r="E106" t="str">
        <f>"009934303887"</f>
        <v>009934303887</v>
      </c>
      <c r="F106" s="1">
        <v>42438</v>
      </c>
      <c r="G106">
        <v>201609</v>
      </c>
      <c r="H106" t="s">
        <v>74</v>
      </c>
      <c r="I106" t="s">
        <v>75</v>
      </c>
      <c r="J106" t="s">
        <v>76</v>
      </c>
      <c r="K106" t="s">
        <v>77</v>
      </c>
      <c r="L106" t="s">
        <v>469</v>
      </c>
      <c r="M106" t="s">
        <v>470</v>
      </c>
      <c r="N106" t="s">
        <v>471</v>
      </c>
      <c r="O106" t="s">
        <v>81</v>
      </c>
      <c r="P106" t="str">
        <f t="shared" si="4"/>
        <v xml:space="preserve">NO REF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3.28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0.7</v>
      </c>
      <c r="BK106">
        <v>2</v>
      </c>
      <c r="BL106">
        <v>72.63</v>
      </c>
      <c r="BM106">
        <v>10.17</v>
      </c>
      <c r="BN106">
        <v>82.8</v>
      </c>
      <c r="BO106">
        <v>82.8</v>
      </c>
      <c r="BQ106" t="s">
        <v>472</v>
      </c>
      <c r="BR106" t="s">
        <v>83</v>
      </c>
      <c r="BS106" s="1">
        <v>42439</v>
      </c>
      <c r="BT106" s="2">
        <v>0.41666666666666669</v>
      </c>
      <c r="BU106" t="s">
        <v>473</v>
      </c>
      <c r="BV106" t="s">
        <v>85</v>
      </c>
      <c r="BY106">
        <v>3600</v>
      </c>
      <c r="CC106" t="s">
        <v>470</v>
      </c>
      <c r="CD106">
        <v>1911</v>
      </c>
      <c r="CE106" t="s">
        <v>86</v>
      </c>
      <c r="CF106" s="1">
        <v>42444</v>
      </c>
      <c r="CI106">
        <v>0</v>
      </c>
      <c r="CJ106">
        <v>0</v>
      </c>
      <c r="CK106" t="s">
        <v>195</v>
      </c>
      <c r="CL106" t="s">
        <v>88</v>
      </c>
    </row>
    <row r="107" spans="1:90" x14ac:dyDescent="0.3">
      <c r="A107" t="s">
        <v>71</v>
      </c>
      <c r="B107" t="s">
        <v>72</v>
      </c>
      <c r="C107" t="s">
        <v>73</v>
      </c>
      <c r="E107" t="str">
        <f>"009934303913"</f>
        <v>009934303913</v>
      </c>
      <c r="F107" s="1">
        <v>42438</v>
      </c>
      <c r="G107">
        <v>201609</v>
      </c>
      <c r="H107" t="s">
        <v>74</v>
      </c>
      <c r="I107" t="s">
        <v>75</v>
      </c>
      <c r="J107" t="s">
        <v>76</v>
      </c>
      <c r="K107" t="s">
        <v>77</v>
      </c>
      <c r="L107" t="s">
        <v>74</v>
      </c>
      <c r="M107" t="s">
        <v>75</v>
      </c>
      <c r="N107" t="s">
        <v>474</v>
      </c>
      <c r="O107" t="s">
        <v>81</v>
      </c>
      <c r="P107" t="str">
        <f t="shared" si="4"/>
        <v xml:space="preserve">NO REF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2.68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0.2</v>
      </c>
      <c r="BK107">
        <v>1</v>
      </c>
      <c r="BL107">
        <v>60.33</v>
      </c>
      <c r="BM107">
        <v>8.4499999999999993</v>
      </c>
      <c r="BN107">
        <v>68.78</v>
      </c>
      <c r="BO107">
        <v>68.78</v>
      </c>
      <c r="BQ107" t="s">
        <v>475</v>
      </c>
      <c r="BR107" t="s">
        <v>83</v>
      </c>
      <c r="BS107" s="1">
        <v>42439</v>
      </c>
      <c r="BT107" s="2">
        <v>0.51388888888888895</v>
      </c>
      <c r="BU107" t="s">
        <v>476</v>
      </c>
      <c r="BV107" t="s">
        <v>85</v>
      </c>
      <c r="BY107">
        <v>1200</v>
      </c>
      <c r="CC107" t="s">
        <v>75</v>
      </c>
      <c r="CD107">
        <v>2037</v>
      </c>
      <c r="CE107" t="s">
        <v>86</v>
      </c>
      <c r="CF107" s="1">
        <v>42443</v>
      </c>
      <c r="CI107">
        <v>0</v>
      </c>
      <c r="CJ107">
        <v>0</v>
      </c>
      <c r="CK107" t="s">
        <v>112</v>
      </c>
      <c r="CL107" t="s">
        <v>88</v>
      </c>
    </row>
    <row r="108" spans="1:90" x14ac:dyDescent="0.3">
      <c r="A108" t="s">
        <v>71</v>
      </c>
      <c r="B108" t="s">
        <v>72</v>
      </c>
      <c r="C108" t="s">
        <v>73</v>
      </c>
      <c r="E108" t="str">
        <f>"009934303888"</f>
        <v>009934303888</v>
      </c>
      <c r="F108" s="1">
        <v>42438</v>
      </c>
      <c r="G108">
        <v>201609</v>
      </c>
      <c r="H108" t="s">
        <v>74</v>
      </c>
      <c r="I108" t="s">
        <v>75</v>
      </c>
      <c r="J108" t="s">
        <v>76</v>
      </c>
      <c r="K108" t="s">
        <v>77</v>
      </c>
      <c r="L108" t="s">
        <v>74</v>
      </c>
      <c r="M108" t="s">
        <v>75</v>
      </c>
      <c r="N108" t="s">
        <v>477</v>
      </c>
      <c r="O108" t="s">
        <v>81</v>
      </c>
      <c r="P108" t="str">
        <f t="shared" si="4"/>
        <v xml:space="preserve">NO REF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2.68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0.2</v>
      </c>
      <c r="BK108">
        <v>1</v>
      </c>
      <c r="BL108">
        <v>60.33</v>
      </c>
      <c r="BM108">
        <v>8.4499999999999993</v>
      </c>
      <c r="BN108">
        <v>68.78</v>
      </c>
      <c r="BO108">
        <v>68.78</v>
      </c>
      <c r="BQ108" t="s">
        <v>478</v>
      </c>
      <c r="BR108" t="s">
        <v>83</v>
      </c>
      <c r="BS108" s="1">
        <v>42439</v>
      </c>
      <c r="BT108" s="2">
        <v>0.46527777777777773</v>
      </c>
      <c r="BU108" t="s">
        <v>479</v>
      </c>
      <c r="BV108" t="s">
        <v>85</v>
      </c>
      <c r="BY108">
        <v>1200</v>
      </c>
      <c r="CC108" t="s">
        <v>75</v>
      </c>
      <c r="CD108">
        <v>2196</v>
      </c>
      <c r="CE108" t="s">
        <v>86</v>
      </c>
      <c r="CF108" s="1">
        <v>42443</v>
      </c>
      <c r="CI108">
        <v>0</v>
      </c>
      <c r="CJ108">
        <v>0</v>
      </c>
      <c r="CK108" t="s">
        <v>112</v>
      </c>
      <c r="CL108" t="s">
        <v>88</v>
      </c>
    </row>
    <row r="109" spans="1:90" x14ac:dyDescent="0.3">
      <c r="A109" t="s">
        <v>71</v>
      </c>
      <c r="B109" t="s">
        <v>72</v>
      </c>
      <c r="C109" t="s">
        <v>73</v>
      </c>
      <c r="E109" t="str">
        <f>"009934303885"</f>
        <v>009934303885</v>
      </c>
      <c r="F109" s="1">
        <v>42438</v>
      </c>
      <c r="G109">
        <v>201609</v>
      </c>
      <c r="H109" t="s">
        <v>74</v>
      </c>
      <c r="I109" t="s">
        <v>75</v>
      </c>
      <c r="J109" t="s">
        <v>76</v>
      </c>
      <c r="K109" t="s">
        <v>77</v>
      </c>
      <c r="L109" t="s">
        <v>396</v>
      </c>
      <c r="M109" t="s">
        <v>397</v>
      </c>
      <c r="N109" t="s">
        <v>398</v>
      </c>
      <c r="O109" t="s">
        <v>81</v>
      </c>
      <c r="P109" t="str">
        <f t="shared" si="4"/>
        <v xml:space="preserve">NO REF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3.57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0.2</v>
      </c>
      <c r="BK109">
        <v>1</v>
      </c>
      <c r="BL109">
        <v>78.77</v>
      </c>
      <c r="BM109">
        <v>11.03</v>
      </c>
      <c r="BN109">
        <v>89.8</v>
      </c>
      <c r="BO109">
        <v>89.8</v>
      </c>
      <c r="BQ109" t="s">
        <v>480</v>
      </c>
      <c r="BR109" t="s">
        <v>83</v>
      </c>
      <c r="BS109" s="1">
        <v>42439</v>
      </c>
      <c r="BT109" s="2">
        <v>0.62083333333333335</v>
      </c>
      <c r="BU109" t="s">
        <v>481</v>
      </c>
      <c r="BV109" t="s">
        <v>85</v>
      </c>
      <c r="BY109">
        <v>1200</v>
      </c>
      <c r="CC109" t="s">
        <v>397</v>
      </c>
      <c r="CD109">
        <v>2210</v>
      </c>
      <c r="CE109" t="s">
        <v>86</v>
      </c>
      <c r="CF109" s="1">
        <v>42441</v>
      </c>
      <c r="CI109">
        <v>0</v>
      </c>
      <c r="CJ109">
        <v>0</v>
      </c>
      <c r="CK109" t="s">
        <v>216</v>
      </c>
      <c r="CL109" t="s">
        <v>88</v>
      </c>
    </row>
    <row r="110" spans="1:90" x14ac:dyDescent="0.3">
      <c r="A110" t="s">
        <v>71</v>
      </c>
      <c r="B110" t="s">
        <v>72</v>
      </c>
      <c r="C110" t="s">
        <v>73</v>
      </c>
      <c r="E110" t="str">
        <f>"009934303925"</f>
        <v>009934303925</v>
      </c>
      <c r="F110" s="1">
        <v>42438</v>
      </c>
      <c r="G110">
        <v>201609</v>
      </c>
      <c r="H110" t="s">
        <v>74</v>
      </c>
      <c r="I110" t="s">
        <v>75</v>
      </c>
      <c r="J110" t="s">
        <v>76</v>
      </c>
      <c r="K110" t="s">
        <v>77</v>
      </c>
      <c r="L110" t="s">
        <v>313</v>
      </c>
      <c r="M110" t="s">
        <v>314</v>
      </c>
      <c r="N110" t="s">
        <v>482</v>
      </c>
      <c r="O110" t="s">
        <v>81</v>
      </c>
      <c r="P110" t="str">
        <f t="shared" si="4"/>
        <v xml:space="preserve">NO REF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3.87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84.92</v>
      </c>
      <c r="BM110">
        <v>11.89</v>
      </c>
      <c r="BN110">
        <v>96.81</v>
      </c>
      <c r="BO110">
        <v>96.81</v>
      </c>
      <c r="BQ110" t="s">
        <v>483</v>
      </c>
      <c r="BR110" t="s">
        <v>83</v>
      </c>
      <c r="BS110" s="1">
        <v>42439</v>
      </c>
      <c r="BT110" s="2">
        <v>0.53125</v>
      </c>
      <c r="BU110" t="s">
        <v>484</v>
      </c>
      <c r="BV110" t="s">
        <v>85</v>
      </c>
      <c r="BY110">
        <v>1200</v>
      </c>
      <c r="CC110" t="s">
        <v>314</v>
      </c>
      <c r="CD110">
        <v>3200</v>
      </c>
      <c r="CE110" t="s">
        <v>86</v>
      </c>
      <c r="CF110" s="1">
        <v>42441</v>
      </c>
      <c r="CI110">
        <v>0</v>
      </c>
      <c r="CJ110">
        <v>0</v>
      </c>
      <c r="CK110" t="s">
        <v>256</v>
      </c>
      <c r="CL110" t="s">
        <v>88</v>
      </c>
    </row>
    <row r="111" spans="1:90" x14ac:dyDescent="0.3">
      <c r="A111" t="s">
        <v>71</v>
      </c>
      <c r="B111" t="s">
        <v>72</v>
      </c>
      <c r="C111" t="s">
        <v>73</v>
      </c>
      <c r="E111" t="str">
        <f>"009934303893"</f>
        <v>009934303893</v>
      </c>
      <c r="F111" s="1">
        <v>42438</v>
      </c>
      <c r="G111">
        <v>201609</v>
      </c>
      <c r="H111" t="s">
        <v>74</v>
      </c>
      <c r="I111" t="s">
        <v>75</v>
      </c>
      <c r="J111" t="s">
        <v>76</v>
      </c>
      <c r="K111" t="s">
        <v>77</v>
      </c>
      <c r="L111" t="s">
        <v>211</v>
      </c>
      <c r="M111" t="s">
        <v>212</v>
      </c>
      <c r="N111" t="s">
        <v>485</v>
      </c>
      <c r="O111" t="s">
        <v>81</v>
      </c>
      <c r="P111" t="str">
        <f t="shared" si="4"/>
        <v xml:space="preserve">NO REF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3.57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0.8</v>
      </c>
      <c r="BJ111">
        <v>0.8</v>
      </c>
      <c r="BK111">
        <v>1</v>
      </c>
      <c r="BL111">
        <v>78.77</v>
      </c>
      <c r="BM111">
        <v>11.03</v>
      </c>
      <c r="BN111">
        <v>89.8</v>
      </c>
      <c r="BO111">
        <v>89.8</v>
      </c>
      <c r="BQ111" t="s">
        <v>486</v>
      </c>
      <c r="BR111" t="s">
        <v>83</v>
      </c>
      <c r="BS111" s="1">
        <v>42439</v>
      </c>
      <c r="BT111" s="2">
        <v>0.45763888888888887</v>
      </c>
      <c r="BU111" t="s">
        <v>153</v>
      </c>
      <c r="BV111" t="s">
        <v>85</v>
      </c>
      <c r="BY111">
        <v>3974.6</v>
      </c>
      <c r="CC111" t="s">
        <v>212</v>
      </c>
      <c r="CD111">
        <v>299</v>
      </c>
      <c r="CE111" t="s">
        <v>86</v>
      </c>
      <c r="CF111" s="1">
        <v>42444</v>
      </c>
      <c r="CI111">
        <v>0</v>
      </c>
      <c r="CJ111">
        <v>0</v>
      </c>
      <c r="CK111" t="s">
        <v>216</v>
      </c>
      <c r="CL111" t="s">
        <v>88</v>
      </c>
    </row>
    <row r="112" spans="1:90" x14ac:dyDescent="0.3">
      <c r="A112" t="s">
        <v>71</v>
      </c>
      <c r="B112" t="s">
        <v>72</v>
      </c>
      <c r="C112" t="s">
        <v>73</v>
      </c>
      <c r="E112" t="str">
        <f>"009934303895"</f>
        <v>009934303895</v>
      </c>
      <c r="F112" s="1">
        <v>42438</v>
      </c>
      <c r="G112">
        <v>201609</v>
      </c>
      <c r="H112" t="s">
        <v>74</v>
      </c>
      <c r="I112" t="s">
        <v>75</v>
      </c>
      <c r="J112" t="s">
        <v>76</v>
      </c>
      <c r="K112" t="s">
        <v>77</v>
      </c>
      <c r="L112" t="s">
        <v>190</v>
      </c>
      <c r="M112" t="s">
        <v>191</v>
      </c>
      <c r="N112" t="s">
        <v>276</v>
      </c>
      <c r="O112" t="s">
        <v>81</v>
      </c>
      <c r="P112" t="str">
        <f t="shared" si="4"/>
        <v xml:space="preserve">NO REF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3.28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0.2</v>
      </c>
      <c r="BK112">
        <v>1</v>
      </c>
      <c r="BL112">
        <v>72.63</v>
      </c>
      <c r="BM112">
        <v>10.17</v>
      </c>
      <c r="BN112">
        <v>82.8</v>
      </c>
      <c r="BO112">
        <v>82.8</v>
      </c>
      <c r="BQ112" t="s">
        <v>487</v>
      </c>
      <c r="BR112" t="s">
        <v>83</v>
      </c>
      <c r="BS112" s="1">
        <v>42439</v>
      </c>
      <c r="BT112" s="2">
        <v>0.41666666666666669</v>
      </c>
      <c r="BU112" t="s">
        <v>420</v>
      </c>
      <c r="BV112" t="s">
        <v>85</v>
      </c>
      <c r="BY112">
        <v>1200</v>
      </c>
      <c r="CC112" t="s">
        <v>191</v>
      </c>
      <c r="CD112">
        <v>1936</v>
      </c>
      <c r="CE112" t="s">
        <v>86</v>
      </c>
      <c r="CF112" s="1">
        <v>42444</v>
      </c>
      <c r="CI112">
        <v>0</v>
      </c>
      <c r="CJ112">
        <v>0</v>
      </c>
      <c r="CK112" t="s">
        <v>195</v>
      </c>
      <c r="CL112" t="s">
        <v>88</v>
      </c>
    </row>
    <row r="113" spans="1:90" x14ac:dyDescent="0.3">
      <c r="A113" t="s">
        <v>71</v>
      </c>
      <c r="B113" t="s">
        <v>72</v>
      </c>
      <c r="C113" t="s">
        <v>73</v>
      </c>
      <c r="E113" t="str">
        <f>"009934303928"</f>
        <v>009934303928</v>
      </c>
      <c r="F113" s="1">
        <v>42438</v>
      </c>
      <c r="G113">
        <v>201609</v>
      </c>
      <c r="H113" t="s">
        <v>74</v>
      </c>
      <c r="I113" t="s">
        <v>75</v>
      </c>
      <c r="J113" t="s">
        <v>76</v>
      </c>
      <c r="K113" t="s">
        <v>77</v>
      </c>
      <c r="L113" t="s">
        <v>488</v>
      </c>
      <c r="M113" t="s">
        <v>489</v>
      </c>
      <c r="N113" t="s">
        <v>490</v>
      </c>
      <c r="O113" t="s">
        <v>81</v>
      </c>
      <c r="P113" t="str">
        <f t="shared" si="4"/>
        <v xml:space="preserve">NO REF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3.9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0.7</v>
      </c>
      <c r="BK113">
        <v>1</v>
      </c>
      <c r="BL113">
        <v>85.54</v>
      </c>
      <c r="BM113">
        <v>11.98</v>
      </c>
      <c r="BN113">
        <v>97.52</v>
      </c>
      <c r="BO113">
        <v>97.52</v>
      </c>
      <c r="BQ113" t="s">
        <v>491</v>
      </c>
      <c r="BR113" t="s">
        <v>83</v>
      </c>
      <c r="BS113" s="1">
        <v>42439</v>
      </c>
      <c r="BT113" s="2">
        <v>0.51944444444444449</v>
      </c>
      <c r="BU113" t="s">
        <v>182</v>
      </c>
      <c r="BV113" t="s">
        <v>85</v>
      </c>
      <c r="BY113">
        <v>3600</v>
      </c>
      <c r="CC113" t="s">
        <v>489</v>
      </c>
      <c r="CD113">
        <v>6065</v>
      </c>
      <c r="CE113" t="s">
        <v>86</v>
      </c>
      <c r="CF113" s="1">
        <v>42443</v>
      </c>
      <c r="CI113">
        <v>0</v>
      </c>
      <c r="CJ113">
        <v>0</v>
      </c>
      <c r="CK113" t="s">
        <v>106</v>
      </c>
      <c r="CL113" t="s">
        <v>88</v>
      </c>
    </row>
    <row r="114" spans="1:90" x14ac:dyDescent="0.3">
      <c r="A114" t="s">
        <v>71</v>
      </c>
      <c r="B114" t="s">
        <v>72</v>
      </c>
      <c r="C114" t="s">
        <v>73</v>
      </c>
      <c r="E114" t="str">
        <f>"009934303880"</f>
        <v>009934303880</v>
      </c>
      <c r="F114" s="1">
        <v>42438</v>
      </c>
      <c r="G114">
        <v>201609</v>
      </c>
      <c r="H114" t="s">
        <v>74</v>
      </c>
      <c r="I114" t="s">
        <v>75</v>
      </c>
      <c r="J114" t="s">
        <v>76</v>
      </c>
      <c r="K114" t="s">
        <v>77</v>
      </c>
      <c r="L114" t="s">
        <v>101</v>
      </c>
      <c r="M114" t="s">
        <v>102</v>
      </c>
      <c r="N114" t="s">
        <v>492</v>
      </c>
      <c r="O114" t="s">
        <v>81</v>
      </c>
      <c r="P114" t="str">
        <f t="shared" si="4"/>
        <v xml:space="preserve">NO REF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3.9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0.2</v>
      </c>
      <c r="BK114">
        <v>1</v>
      </c>
      <c r="BL114">
        <v>85.54</v>
      </c>
      <c r="BM114">
        <v>11.98</v>
      </c>
      <c r="BN114">
        <v>97.52</v>
      </c>
      <c r="BO114">
        <v>97.52</v>
      </c>
      <c r="BQ114" t="s">
        <v>493</v>
      </c>
      <c r="BR114" t="s">
        <v>83</v>
      </c>
      <c r="BS114" s="1">
        <v>42439</v>
      </c>
      <c r="BT114" s="2">
        <v>0.41666666666666669</v>
      </c>
      <c r="BU114" t="s">
        <v>494</v>
      </c>
      <c r="BV114" t="s">
        <v>85</v>
      </c>
      <c r="BY114">
        <v>1200</v>
      </c>
      <c r="CC114" t="s">
        <v>102</v>
      </c>
      <c r="CD114">
        <v>7500</v>
      </c>
      <c r="CE114" t="s">
        <v>86</v>
      </c>
      <c r="CF114" s="1">
        <v>42443</v>
      </c>
      <c r="CI114">
        <v>0</v>
      </c>
      <c r="CJ114">
        <v>0</v>
      </c>
      <c r="CK114" t="s">
        <v>106</v>
      </c>
      <c r="CL114" t="s">
        <v>88</v>
      </c>
    </row>
    <row r="115" spans="1:90" x14ac:dyDescent="0.3">
      <c r="A115" t="s">
        <v>71</v>
      </c>
      <c r="B115" t="s">
        <v>72</v>
      </c>
      <c r="C115" t="s">
        <v>73</v>
      </c>
      <c r="E115" t="str">
        <f>"009934303930"</f>
        <v>009934303930</v>
      </c>
      <c r="F115" s="1">
        <v>42438</v>
      </c>
      <c r="G115">
        <v>201609</v>
      </c>
      <c r="H115" t="s">
        <v>74</v>
      </c>
      <c r="I115" t="s">
        <v>75</v>
      </c>
      <c r="J115" t="s">
        <v>76</v>
      </c>
      <c r="K115" t="s">
        <v>77</v>
      </c>
      <c r="L115" t="s">
        <v>313</v>
      </c>
      <c r="M115" t="s">
        <v>314</v>
      </c>
      <c r="N115" t="s">
        <v>495</v>
      </c>
      <c r="O115" t="s">
        <v>81</v>
      </c>
      <c r="P115" t="str">
        <f t="shared" si="4"/>
        <v xml:space="preserve">NO REF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3.87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84.92</v>
      </c>
      <c r="BM115">
        <v>11.89</v>
      </c>
      <c r="BN115">
        <v>96.81</v>
      </c>
      <c r="BO115">
        <v>96.81</v>
      </c>
      <c r="BQ115" t="s">
        <v>496</v>
      </c>
      <c r="BR115" t="s">
        <v>83</v>
      </c>
      <c r="BS115" s="1">
        <v>42439</v>
      </c>
      <c r="BT115" s="2">
        <v>0.39513888888888887</v>
      </c>
      <c r="BU115" t="s">
        <v>497</v>
      </c>
      <c r="BV115" t="s">
        <v>85</v>
      </c>
      <c r="BY115">
        <v>1200</v>
      </c>
      <c r="CC115" t="s">
        <v>314</v>
      </c>
      <c r="CD115">
        <v>3201</v>
      </c>
      <c r="CE115" t="s">
        <v>86</v>
      </c>
      <c r="CF115" s="1">
        <v>42441</v>
      </c>
      <c r="CI115">
        <v>0</v>
      </c>
      <c r="CJ115">
        <v>0</v>
      </c>
      <c r="CK115" t="s">
        <v>256</v>
      </c>
      <c r="CL115" t="s">
        <v>88</v>
      </c>
    </row>
    <row r="116" spans="1:90" x14ac:dyDescent="0.3">
      <c r="A116" t="s">
        <v>71</v>
      </c>
      <c r="B116" t="s">
        <v>72</v>
      </c>
      <c r="C116" t="s">
        <v>73</v>
      </c>
      <c r="E116" t="str">
        <f>"009934303891"</f>
        <v>009934303891</v>
      </c>
      <c r="F116" s="1">
        <v>42438</v>
      </c>
      <c r="G116">
        <v>201609</v>
      </c>
      <c r="H116" t="s">
        <v>74</v>
      </c>
      <c r="I116" t="s">
        <v>75</v>
      </c>
      <c r="J116" t="s">
        <v>76</v>
      </c>
      <c r="K116" t="s">
        <v>77</v>
      </c>
      <c r="L116" t="s">
        <v>429</v>
      </c>
      <c r="M116" t="s">
        <v>430</v>
      </c>
      <c r="N116" t="s">
        <v>498</v>
      </c>
      <c r="O116" t="s">
        <v>81</v>
      </c>
      <c r="P116" t="str">
        <f t="shared" si="4"/>
        <v xml:space="preserve">NO REF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4.6500000000000004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100.91</v>
      </c>
      <c r="BM116">
        <v>14.13</v>
      </c>
      <c r="BN116">
        <v>115.04</v>
      </c>
      <c r="BO116">
        <v>115.04</v>
      </c>
      <c r="BQ116" t="s">
        <v>499</v>
      </c>
      <c r="BR116" t="s">
        <v>83</v>
      </c>
      <c r="BS116" s="1">
        <v>42439</v>
      </c>
      <c r="BT116" s="2">
        <v>0.5</v>
      </c>
      <c r="BU116" t="s">
        <v>432</v>
      </c>
      <c r="BV116" t="s">
        <v>85</v>
      </c>
      <c r="BY116">
        <v>1200</v>
      </c>
      <c r="CC116" t="s">
        <v>430</v>
      </c>
      <c r="CD116">
        <v>7300</v>
      </c>
      <c r="CE116" t="s">
        <v>86</v>
      </c>
      <c r="CF116" s="1">
        <v>42443</v>
      </c>
      <c r="CI116">
        <v>0</v>
      </c>
      <c r="CJ116">
        <v>0</v>
      </c>
      <c r="CK116" t="s">
        <v>123</v>
      </c>
      <c r="CL116" t="s">
        <v>88</v>
      </c>
    </row>
    <row r="117" spans="1:90" x14ac:dyDescent="0.3">
      <c r="A117" t="s">
        <v>71</v>
      </c>
      <c r="B117" t="s">
        <v>72</v>
      </c>
      <c r="C117" t="s">
        <v>73</v>
      </c>
      <c r="E117" t="str">
        <f>"009934303922"</f>
        <v>009934303922</v>
      </c>
      <c r="F117" s="1">
        <v>42438</v>
      </c>
      <c r="G117">
        <v>201609</v>
      </c>
      <c r="H117" t="s">
        <v>74</v>
      </c>
      <c r="I117" t="s">
        <v>75</v>
      </c>
      <c r="J117" t="s">
        <v>76</v>
      </c>
      <c r="K117" t="s">
        <v>77</v>
      </c>
      <c r="L117" t="s">
        <v>90</v>
      </c>
      <c r="M117" t="s">
        <v>91</v>
      </c>
      <c r="N117" t="s">
        <v>500</v>
      </c>
      <c r="O117" t="s">
        <v>81</v>
      </c>
      <c r="P117" t="str">
        <f t="shared" si="4"/>
        <v xml:space="preserve">NO REF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2.68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0.2</v>
      </c>
      <c r="BK117">
        <v>1</v>
      </c>
      <c r="BL117">
        <v>60.33</v>
      </c>
      <c r="BM117">
        <v>8.4499999999999993</v>
      </c>
      <c r="BN117">
        <v>68.78</v>
      </c>
      <c r="BO117">
        <v>68.78</v>
      </c>
      <c r="BQ117" t="s">
        <v>501</v>
      </c>
      <c r="BR117" t="s">
        <v>83</v>
      </c>
      <c r="BS117" s="1">
        <v>42439</v>
      </c>
      <c r="BT117" s="2">
        <v>0.375</v>
      </c>
      <c r="BU117" t="s">
        <v>502</v>
      </c>
      <c r="BV117" t="s">
        <v>85</v>
      </c>
      <c r="BY117">
        <v>1200</v>
      </c>
      <c r="CC117" t="s">
        <v>91</v>
      </c>
      <c r="CD117">
        <v>3610</v>
      </c>
      <c r="CE117" t="s">
        <v>86</v>
      </c>
      <c r="CF117" s="1">
        <v>42443</v>
      </c>
      <c r="CI117">
        <v>0</v>
      </c>
      <c r="CJ117">
        <v>0</v>
      </c>
      <c r="CK117" t="s">
        <v>95</v>
      </c>
      <c r="CL117" t="s">
        <v>88</v>
      </c>
    </row>
    <row r="118" spans="1:90" x14ac:dyDescent="0.3">
      <c r="A118" t="s">
        <v>71</v>
      </c>
      <c r="B118" t="s">
        <v>72</v>
      </c>
      <c r="C118" t="s">
        <v>73</v>
      </c>
      <c r="E118" t="str">
        <f>"009934303907"</f>
        <v>009934303907</v>
      </c>
      <c r="F118" s="1">
        <v>42438</v>
      </c>
      <c r="G118">
        <v>201609</v>
      </c>
      <c r="H118" t="s">
        <v>74</v>
      </c>
      <c r="I118" t="s">
        <v>75</v>
      </c>
      <c r="J118" t="s">
        <v>76</v>
      </c>
      <c r="K118" t="s">
        <v>77</v>
      </c>
      <c r="L118" t="s">
        <v>503</v>
      </c>
      <c r="M118" t="s">
        <v>504</v>
      </c>
      <c r="N118" t="s">
        <v>505</v>
      </c>
      <c r="O118" t="s">
        <v>81</v>
      </c>
      <c r="P118" t="str">
        <f t="shared" si="4"/>
        <v xml:space="preserve">NO REF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4.6500000000000004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0.8</v>
      </c>
      <c r="BJ118">
        <v>0.4</v>
      </c>
      <c r="BK118">
        <v>1</v>
      </c>
      <c r="BL118">
        <v>100.91</v>
      </c>
      <c r="BM118">
        <v>14.13</v>
      </c>
      <c r="BN118">
        <v>115.04</v>
      </c>
      <c r="BO118">
        <v>115.04</v>
      </c>
      <c r="BQ118" t="s">
        <v>506</v>
      </c>
      <c r="BR118" t="s">
        <v>83</v>
      </c>
      <c r="BS118" s="1">
        <v>42439</v>
      </c>
      <c r="BT118" s="2">
        <v>0.66666666666666663</v>
      </c>
      <c r="BU118" t="s">
        <v>507</v>
      </c>
      <c r="BY118">
        <v>1792</v>
      </c>
      <c r="CC118" t="s">
        <v>504</v>
      </c>
      <c r="CD118">
        <v>387</v>
      </c>
      <c r="CE118" t="s">
        <v>86</v>
      </c>
      <c r="CF118" s="1">
        <v>42444</v>
      </c>
      <c r="CI118">
        <v>0</v>
      </c>
      <c r="CJ118">
        <v>0</v>
      </c>
      <c r="CK118" t="s">
        <v>322</v>
      </c>
      <c r="CL118" t="s">
        <v>88</v>
      </c>
    </row>
    <row r="119" spans="1:90" x14ac:dyDescent="0.3">
      <c r="A119" t="s">
        <v>71</v>
      </c>
      <c r="B119" t="s">
        <v>72</v>
      </c>
      <c r="C119" t="s">
        <v>73</v>
      </c>
      <c r="E119" t="str">
        <f>"009934303924"</f>
        <v>009934303924</v>
      </c>
      <c r="F119" s="1">
        <v>42438</v>
      </c>
      <c r="G119">
        <v>201609</v>
      </c>
      <c r="H119" t="s">
        <v>74</v>
      </c>
      <c r="I119" t="s">
        <v>75</v>
      </c>
      <c r="J119" t="s">
        <v>76</v>
      </c>
      <c r="K119" t="s">
        <v>77</v>
      </c>
      <c r="L119" t="s">
        <v>172</v>
      </c>
      <c r="M119" t="s">
        <v>173</v>
      </c>
      <c r="N119" t="s">
        <v>508</v>
      </c>
      <c r="O119" t="s">
        <v>81</v>
      </c>
      <c r="P119" t="str">
        <f t="shared" si="4"/>
        <v xml:space="preserve">NO REF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2.68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1.9</v>
      </c>
      <c r="BJ119">
        <v>1.3</v>
      </c>
      <c r="BK119">
        <v>2</v>
      </c>
      <c r="BL119">
        <v>60.33</v>
      </c>
      <c r="BM119">
        <v>8.4499999999999993</v>
      </c>
      <c r="BN119">
        <v>68.78</v>
      </c>
      <c r="BO119">
        <v>68.78</v>
      </c>
      <c r="BQ119" t="s">
        <v>509</v>
      </c>
      <c r="BR119" t="s">
        <v>83</v>
      </c>
      <c r="BS119" s="1">
        <v>42439</v>
      </c>
      <c r="BT119" s="2">
        <v>0.44444444444444442</v>
      </c>
      <c r="BU119" t="s">
        <v>510</v>
      </c>
      <c r="BV119" t="s">
        <v>85</v>
      </c>
      <c r="BY119">
        <v>6273</v>
      </c>
      <c r="CC119" t="s">
        <v>173</v>
      </c>
      <c r="CD119">
        <v>699</v>
      </c>
      <c r="CE119" t="s">
        <v>86</v>
      </c>
      <c r="CF119" s="1">
        <v>42441</v>
      </c>
      <c r="CI119">
        <v>0</v>
      </c>
      <c r="CJ119">
        <v>0</v>
      </c>
      <c r="CK119" t="s">
        <v>87</v>
      </c>
      <c r="CL119" t="s">
        <v>88</v>
      </c>
    </row>
    <row r="120" spans="1:90" x14ac:dyDescent="0.3">
      <c r="A120" t="s">
        <v>71</v>
      </c>
      <c r="B120" t="s">
        <v>72</v>
      </c>
      <c r="C120" t="s">
        <v>73</v>
      </c>
      <c r="E120" t="str">
        <f>"009934303904"</f>
        <v>009934303904</v>
      </c>
      <c r="F120" s="1">
        <v>42438</v>
      </c>
      <c r="G120">
        <v>201609</v>
      </c>
      <c r="H120" t="s">
        <v>74</v>
      </c>
      <c r="I120" t="s">
        <v>75</v>
      </c>
      <c r="J120" t="s">
        <v>76</v>
      </c>
      <c r="K120" t="s">
        <v>77</v>
      </c>
      <c r="L120" t="s">
        <v>281</v>
      </c>
      <c r="M120" t="s">
        <v>282</v>
      </c>
      <c r="N120" t="s">
        <v>511</v>
      </c>
      <c r="O120" t="s">
        <v>81</v>
      </c>
      <c r="P120" t="str">
        <f t="shared" si="4"/>
        <v xml:space="preserve">NO REF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3.28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72.63</v>
      </c>
      <c r="BM120">
        <v>10.17</v>
      </c>
      <c r="BN120">
        <v>82.8</v>
      </c>
      <c r="BO120">
        <v>82.8</v>
      </c>
      <c r="BQ120" t="s">
        <v>512</v>
      </c>
      <c r="BR120" t="s">
        <v>83</v>
      </c>
      <c r="BS120" s="1">
        <v>42447</v>
      </c>
      <c r="BT120" s="2">
        <v>0.39930555555555558</v>
      </c>
      <c r="BU120" t="s">
        <v>513</v>
      </c>
      <c r="BW120" t="s">
        <v>514</v>
      </c>
      <c r="BX120" t="s">
        <v>515</v>
      </c>
      <c r="BY120">
        <v>1200</v>
      </c>
      <c r="CC120" t="s">
        <v>282</v>
      </c>
      <c r="CD120">
        <v>129</v>
      </c>
      <c r="CE120" t="s">
        <v>86</v>
      </c>
      <c r="CF120" s="1">
        <v>42453</v>
      </c>
      <c r="CI120">
        <v>0</v>
      </c>
      <c r="CJ120">
        <v>0</v>
      </c>
      <c r="CK120" t="s">
        <v>195</v>
      </c>
      <c r="CL120" t="s">
        <v>88</v>
      </c>
    </row>
    <row r="121" spans="1:90" x14ac:dyDescent="0.3">
      <c r="A121" t="s">
        <v>71</v>
      </c>
      <c r="B121" t="s">
        <v>72</v>
      </c>
      <c r="C121" t="s">
        <v>73</v>
      </c>
      <c r="E121" t="str">
        <f>"009934303886"</f>
        <v>009934303886</v>
      </c>
      <c r="F121" s="1">
        <v>42438</v>
      </c>
      <c r="G121">
        <v>201609</v>
      </c>
      <c r="H121" t="s">
        <v>74</v>
      </c>
      <c r="I121" t="s">
        <v>75</v>
      </c>
      <c r="J121" t="s">
        <v>76</v>
      </c>
      <c r="K121" t="s">
        <v>77</v>
      </c>
      <c r="L121" t="s">
        <v>101</v>
      </c>
      <c r="M121" t="s">
        <v>102</v>
      </c>
      <c r="N121" t="s">
        <v>516</v>
      </c>
      <c r="O121" t="s">
        <v>81</v>
      </c>
      <c r="P121" t="str">
        <f t="shared" si="4"/>
        <v xml:space="preserve">NO REF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3.9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85.54</v>
      </c>
      <c r="BM121">
        <v>11.98</v>
      </c>
      <c r="BN121">
        <v>97.52</v>
      </c>
      <c r="BO121">
        <v>97.52</v>
      </c>
      <c r="BQ121" t="s">
        <v>178</v>
      </c>
      <c r="BR121" t="s">
        <v>83</v>
      </c>
      <c r="BS121" s="1">
        <v>42439</v>
      </c>
      <c r="BT121" s="2">
        <v>0.35069444444444442</v>
      </c>
      <c r="BU121" t="s">
        <v>517</v>
      </c>
      <c r="BV121" t="s">
        <v>85</v>
      </c>
      <c r="BY121">
        <v>1200</v>
      </c>
      <c r="CC121" t="s">
        <v>102</v>
      </c>
      <c r="CD121">
        <v>7441</v>
      </c>
      <c r="CE121" t="s">
        <v>86</v>
      </c>
      <c r="CF121" s="1">
        <v>42443</v>
      </c>
      <c r="CI121">
        <v>0</v>
      </c>
      <c r="CJ121">
        <v>0</v>
      </c>
      <c r="CK121" t="s">
        <v>106</v>
      </c>
      <c r="CL121" t="s">
        <v>88</v>
      </c>
    </row>
    <row r="122" spans="1:90" x14ac:dyDescent="0.3">
      <c r="A122" t="s">
        <v>71</v>
      </c>
      <c r="B122" t="s">
        <v>72</v>
      </c>
      <c r="C122" t="s">
        <v>73</v>
      </c>
      <c r="E122" t="str">
        <f>"009934303902"</f>
        <v>009934303902</v>
      </c>
      <c r="F122" s="1">
        <v>42438</v>
      </c>
      <c r="G122">
        <v>201609</v>
      </c>
      <c r="H122" t="s">
        <v>74</v>
      </c>
      <c r="I122" t="s">
        <v>75</v>
      </c>
      <c r="J122" t="s">
        <v>76</v>
      </c>
      <c r="K122" t="s">
        <v>77</v>
      </c>
      <c r="L122" t="s">
        <v>185</v>
      </c>
      <c r="M122" t="s">
        <v>186</v>
      </c>
      <c r="N122" t="s">
        <v>518</v>
      </c>
      <c r="O122" t="s">
        <v>81</v>
      </c>
      <c r="P122" t="str">
        <f t="shared" si="4"/>
        <v xml:space="preserve">NO REF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4.6500000000000004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0.5</v>
      </c>
      <c r="BK122">
        <v>1</v>
      </c>
      <c r="BL122">
        <v>100.91</v>
      </c>
      <c r="BM122">
        <v>14.13</v>
      </c>
      <c r="BN122">
        <v>115.04</v>
      </c>
      <c r="BO122">
        <v>115.04</v>
      </c>
      <c r="BQ122" t="s">
        <v>519</v>
      </c>
      <c r="BR122" t="s">
        <v>83</v>
      </c>
      <c r="BS122" s="1">
        <v>42440</v>
      </c>
      <c r="BT122" s="2">
        <v>0.63124999999999998</v>
      </c>
      <c r="BU122" t="s">
        <v>520</v>
      </c>
      <c r="BV122" t="s">
        <v>85</v>
      </c>
      <c r="BY122">
        <v>2307.9499999999998</v>
      </c>
      <c r="CC122" t="s">
        <v>186</v>
      </c>
      <c r="CD122">
        <v>7280</v>
      </c>
      <c r="CE122" t="s">
        <v>86</v>
      </c>
      <c r="CF122" s="1">
        <v>42445</v>
      </c>
      <c r="CI122">
        <v>0</v>
      </c>
      <c r="CJ122">
        <v>0</v>
      </c>
      <c r="CK122" t="s">
        <v>123</v>
      </c>
      <c r="CL122" t="s">
        <v>88</v>
      </c>
    </row>
    <row r="123" spans="1:90" x14ac:dyDescent="0.3">
      <c r="A123" t="s">
        <v>71</v>
      </c>
      <c r="B123" t="s">
        <v>72</v>
      </c>
      <c r="C123" t="s">
        <v>73</v>
      </c>
      <c r="E123" t="str">
        <f>"009934303919"</f>
        <v>009934303919</v>
      </c>
      <c r="F123" s="1">
        <v>42438</v>
      </c>
      <c r="G123">
        <v>201609</v>
      </c>
      <c r="H123" t="s">
        <v>74</v>
      </c>
      <c r="I123" t="s">
        <v>75</v>
      </c>
      <c r="J123" t="s">
        <v>76</v>
      </c>
      <c r="K123" t="s">
        <v>77</v>
      </c>
      <c r="L123" t="s">
        <v>362</v>
      </c>
      <c r="M123" t="s">
        <v>363</v>
      </c>
      <c r="N123" t="s">
        <v>364</v>
      </c>
      <c r="O123" t="s">
        <v>81</v>
      </c>
      <c r="P123" t="str">
        <f t="shared" si="4"/>
        <v xml:space="preserve">NO REF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2.68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0.2</v>
      </c>
      <c r="BK123">
        <v>1</v>
      </c>
      <c r="BL123">
        <v>60.33</v>
      </c>
      <c r="BM123">
        <v>8.4499999999999993</v>
      </c>
      <c r="BN123">
        <v>68.78</v>
      </c>
      <c r="BO123">
        <v>68.78</v>
      </c>
      <c r="BQ123" t="s">
        <v>521</v>
      </c>
      <c r="BR123" t="s">
        <v>83</v>
      </c>
      <c r="BS123" s="1">
        <v>42440</v>
      </c>
      <c r="BT123" s="2">
        <v>0.4291666666666667</v>
      </c>
      <c r="BU123" t="s">
        <v>522</v>
      </c>
      <c r="BV123" t="s">
        <v>88</v>
      </c>
      <c r="BW123" t="s">
        <v>110</v>
      </c>
      <c r="BX123" t="s">
        <v>523</v>
      </c>
      <c r="BY123">
        <v>1200</v>
      </c>
      <c r="CC123" t="s">
        <v>363</v>
      </c>
      <c r="CD123">
        <v>1543</v>
      </c>
      <c r="CE123" t="s">
        <v>86</v>
      </c>
      <c r="CF123" s="1">
        <v>42445</v>
      </c>
      <c r="CI123">
        <v>0</v>
      </c>
      <c r="CJ123">
        <v>0</v>
      </c>
      <c r="CK123" t="s">
        <v>112</v>
      </c>
      <c r="CL123" t="s">
        <v>88</v>
      </c>
    </row>
    <row r="124" spans="1:90" x14ac:dyDescent="0.3">
      <c r="A124" t="s">
        <v>71</v>
      </c>
      <c r="B124" t="s">
        <v>72</v>
      </c>
      <c r="C124" t="s">
        <v>73</v>
      </c>
      <c r="E124" t="str">
        <f>"009934303911"</f>
        <v>009934303911</v>
      </c>
      <c r="F124" s="1">
        <v>42438</v>
      </c>
      <c r="G124">
        <v>201609</v>
      </c>
      <c r="H124" t="s">
        <v>74</v>
      </c>
      <c r="I124" t="s">
        <v>75</v>
      </c>
      <c r="J124" t="s">
        <v>76</v>
      </c>
      <c r="K124" t="s">
        <v>77</v>
      </c>
      <c r="L124" t="s">
        <v>386</v>
      </c>
      <c r="M124" t="s">
        <v>387</v>
      </c>
      <c r="N124" t="s">
        <v>524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3.9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0.5</v>
      </c>
      <c r="BJ124">
        <v>0.2</v>
      </c>
      <c r="BK124">
        <v>1</v>
      </c>
      <c r="BL124">
        <v>85.54</v>
      </c>
      <c r="BM124">
        <v>11.98</v>
      </c>
      <c r="BN124">
        <v>97.52</v>
      </c>
      <c r="BO124">
        <v>97.52</v>
      </c>
      <c r="BQ124" t="s">
        <v>525</v>
      </c>
      <c r="BR124" t="s">
        <v>83</v>
      </c>
      <c r="BS124" s="1">
        <v>42440</v>
      </c>
      <c r="BT124" s="2">
        <v>0.68055555555555547</v>
      </c>
      <c r="BU124" t="s">
        <v>333</v>
      </c>
      <c r="BV124" t="s">
        <v>88</v>
      </c>
      <c r="BY124">
        <v>1200</v>
      </c>
      <c r="CC124" t="s">
        <v>387</v>
      </c>
      <c r="CD124">
        <v>2410</v>
      </c>
      <c r="CE124" t="s">
        <v>86</v>
      </c>
      <c r="CF124" s="1">
        <v>42445</v>
      </c>
      <c r="CI124">
        <v>0</v>
      </c>
      <c r="CJ124">
        <v>0</v>
      </c>
      <c r="CK124" t="s">
        <v>106</v>
      </c>
      <c r="CL124" t="s">
        <v>88</v>
      </c>
    </row>
    <row r="125" spans="1:90" x14ac:dyDescent="0.3">
      <c r="A125" t="s">
        <v>71</v>
      </c>
      <c r="B125" t="s">
        <v>72</v>
      </c>
      <c r="C125" t="s">
        <v>73</v>
      </c>
      <c r="E125" t="str">
        <f>"009934303910"</f>
        <v>009934303910</v>
      </c>
      <c r="F125" s="1">
        <v>42438</v>
      </c>
      <c r="G125">
        <v>201609</v>
      </c>
      <c r="H125" t="s">
        <v>74</v>
      </c>
      <c r="I125" t="s">
        <v>75</v>
      </c>
      <c r="J125" t="s">
        <v>76</v>
      </c>
      <c r="K125" t="s">
        <v>77</v>
      </c>
      <c r="L125" t="s">
        <v>488</v>
      </c>
      <c r="M125" t="s">
        <v>489</v>
      </c>
      <c r="N125" t="s">
        <v>526</v>
      </c>
      <c r="O125" t="s">
        <v>81</v>
      </c>
      <c r="P125" t="str">
        <f t="shared" ref="P125:P141" si="5">"NO REF                        "</f>
        <v xml:space="preserve">NO REF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3.9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0.7</v>
      </c>
      <c r="BK125">
        <v>1</v>
      </c>
      <c r="BL125">
        <v>85.54</v>
      </c>
      <c r="BM125">
        <v>11.98</v>
      </c>
      <c r="BN125">
        <v>97.52</v>
      </c>
      <c r="BO125">
        <v>97.52</v>
      </c>
      <c r="BQ125" t="s">
        <v>527</v>
      </c>
      <c r="BR125" t="s">
        <v>83</v>
      </c>
      <c r="BS125" s="1">
        <v>42439</v>
      </c>
      <c r="BT125" s="2">
        <v>0.33680555555555558</v>
      </c>
      <c r="BU125" t="s">
        <v>528</v>
      </c>
      <c r="BV125" t="s">
        <v>85</v>
      </c>
      <c r="BY125">
        <v>3600</v>
      </c>
      <c r="CC125" t="s">
        <v>489</v>
      </c>
      <c r="CD125">
        <v>6001</v>
      </c>
      <c r="CE125" t="s">
        <v>86</v>
      </c>
      <c r="CF125" s="1">
        <v>42443</v>
      </c>
      <c r="CI125">
        <v>0</v>
      </c>
      <c r="CJ125">
        <v>0</v>
      </c>
      <c r="CK125" t="s">
        <v>106</v>
      </c>
      <c r="CL125" t="s">
        <v>88</v>
      </c>
    </row>
    <row r="126" spans="1:90" x14ac:dyDescent="0.3">
      <c r="A126" t="s">
        <v>71</v>
      </c>
      <c r="B126" t="s">
        <v>72</v>
      </c>
      <c r="C126" t="s">
        <v>73</v>
      </c>
      <c r="E126" t="str">
        <f>"009934303876"</f>
        <v>009934303876</v>
      </c>
      <c r="F126" s="1">
        <v>42438</v>
      </c>
      <c r="G126">
        <v>201609</v>
      </c>
      <c r="H126" t="s">
        <v>74</v>
      </c>
      <c r="I126" t="s">
        <v>75</v>
      </c>
      <c r="J126" t="s">
        <v>76</v>
      </c>
      <c r="K126" t="s">
        <v>77</v>
      </c>
      <c r="L126" t="s">
        <v>136</v>
      </c>
      <c r="M126" t="s">
        <v>137</v>
      </c>
      <c r="N126" t="s">
        <v>80</v>
      </c>
      <c r="O126" t="s">
        <v>81</v>
      </c>
      <c r="P126" t="str">
        <f t="shared" si="5"/>
        <v xml:space="preserve">NO REF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2.68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0.2</v>
      </c>
      <c r="BK126">
        <v>1</v>
      </c>
      <c r="BL126">
        <v>60.33</v>
      </c>
      <c r="BM126">
        <v>8.4499999999999993</v>
      </c>
      <c r="BN126">
        <v>68.78</v>
      </c>
      <c r="BO126">
        <v>68.78</v>
      </c>
      <c r="BQ126" t="s">
        <v>529</v>
      </c>
      <c r="BR126" t="s">
        <v>83</v>
      </c>
      <c r="BS126" s="1">
        <v>42439</v>
      </c>
      <c r="BT126" s="2">
        <v>0.40277777777777773</v>
      </c>
      <c r="BU126" t="s">
        <v>182</v>
      </c>
      <c r="BV126" t="s">
        <v>85</v>
      </c>
      <c r="BY126">
        <v>1200</v>
      </c>
      <c r="CC126" t="s">
        <v>137</v>
      </c>
      <c r="CD126">
        <v>9301</v>
      </c>
      <c r="CE126" t="s">
        <v>86</v>
      </c>
      <c r="CF126" s="1">
        <v>42441</v>
      </c>
      <c r="CI126">
        <v>0</v>
      </c>
      <c r="CJ126">
        <v>0</v>
      </c>
      <c r="CK126" t="s">
        <v>87</v>
      </c>
      <c r="CL126" t="s">
        <v>88</v>
      </c>
    </row>
    <row r="127" spans="1:90" x14ac:dyDescent="0.3">
      <c r="A127" t="s">
        <v>71</v>
      </c>
      <c r="B127" t="s">
        <v>72</v>
      </c>
      <c r="C127" t="s">
        <v>73</v>
      </c>
      <c r="E127" t="str">
        <f>"009934303884"</f>
        <v>009934303884</v>
      </c>
      <c r="F127" s="1">
        <v>42438</v>
      </c>
      <c r="G127">
        <v>201609</v>
      </c>
      <c r="H127" t="s">
        <v>74</v>
      </c>
      <c r="I127" t="s">
        <v>75</v>
      </c>
      <c r="J127" t="s">
        <v>76</v>
      </c>
      <c r="K127" t="s">
        <v>77</v>
      </c>
      <c r="L127" t="s">
        <v>101</v>
      </c>
      <c r="M127" t="s">
        <v>102</v>
      </c>
      <c r="N127" t="s">
        <v>530</v>
      </c>
      <c r="O127" t="s">
        <v>81</v>
      </c>
      <c r="P127" t="str">
        <f t="shared" si="5"/>
        <v xml:space="preserve">NO REF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3.9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85.54</v>
      </c>
      <c r="BM127">
        <v>11.98</v>
      </c>
      <c r="BN127">
        <v>97.52</v>
      </c>
      <c r="BO127">
        <v>97.52</v>
      </c>
      <c r="BQ127" t="s">
        <v>358</v>
      </c>
      <c r="BR127" t="s">
        <v>83</v>
      </c>
      <c r="BS127" s="1">
        <v>42439</v>
      </c>
      <c r="BT127" s="2">
        <v>0.37986111111111115</v>
      </c>
      <c r="BU127" t="s">
        <v>531</v>
      </c>
      <c r="BV127" t="s">
        <v>85</v>
      </c>
      <c r="BY127">
        <v>1200</v>
      </c>
      <c r="CC127" t="s">
        <v>102</v>
      </c>
      <c r="CD127">
        <v>8000</v>
      </c>
      <c r="CE127" t="s">
        <v>86</v>
      </c>
      <c r="CF127" s="1">
        <v>42443</v>
      </c>
      <c r="CI127">
        <v>0</v>
      </c>
      <c r="CJ127">
        <v>0</v>
      </c>
      <c r="CK127" t="s">
        <v>106</v>
      </c>
      <c r="CL127" t="s">
        <v>88</v>
      </c>
    </row>
    <row r="128" spans="1:90" x14ac:dyDescent="0.3">
      <c r="A128" t="s">
        <v>71</v>
      </c>
      <c r="B128" t="s">
        <v>72</v>
      </c>
      <c r="C128" t="s">
        <v>73</v>
      </c>
      <c r="E128" t="str">
        <f>"009934303918"</f>
        <v>009934303918</v>
      </c>
      <c r="F128" s="1">
        <v>42438</v>
      </c>
      <c r="G128">
        <v>201609</v>
      </c>
      <c r="H128" t="s">
        <v>74</v>
      </c>
      <c r="I128" t="s">
        <v>75</v>
      </c>
      <c r="J128" t="s">
        <v>76</v>
      </c>
      <c r="K128" t="s">
        <v>77</v>
      </c>
      <c r="L128" t="s">
        <v>532</v>
      </c>
      <c r="M128" t="s">
        <v>533</v>
      </c>
      <c r="N128" t="s">
        <v>534</v>
      </c>
      <c r="O128" t="s">
        <v>81</v>
      </c>
      <c r="P128" t="str">
        <f t="shared" si="5"/>
        <v xml:space="preserve">NO REF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4.6500000000000004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100.91</v>
      </c>
      <c r="BM128">
        <v>14.13</v>
      </c>
      <c r="BN128">
        <v>115.04</v>
      </c>
      <c r="BO128">
        <v>115.04</v>
      </c>
      <c r="BQ128" t="s">
        <v>535</v>
      </c>
      <c r="BR128" t="s">
        <v>83</v>
      </c>
      <c r="BS128" s="1">
        <v>42440</v>
      </c>
      <c r="BT128" s="2">
        <v>0.58333333333333337</v>
      </c>
      <c r="BU128" t="s">
        <v>536</v>
      </c>
      <c r="BY128">
        <v>1200</v>
      </c>
      <c r="CC128" t="s">
        <v>533</v>
      </c>
      <c r="CD128">
        <v>1150</v>
      </c>
      <c r="CE128" t="s">
        <v>86</v>
      </c>
      <c r="CF128" s="1">
        <v>42445</v>
      </c>
      <c r="CI128">
        <v>0</v>
      </c>
      <c r="CJ128">
        <v>0</v>
      </c>
      <c r="CK128" t="s">
        <v>322</v>
      </c>
      <c r="CL128" t="s">
        <v>88</v>
      </c>
    </row>
    <row r="129" spans="1:90" x14ac:dyDescent="0.3">
      <c r="A129" t="s">
        <v>71</v>
      </c>
      <c r="B129" t="s">
        <v>72</v>
      </c>
      <c r="C129" t="s">
        <v>73</v>
      </c>
      <c r="E129" t="str">
        <f>"009934303921"</f>
        <v>009934303921</v>
      </c>
      <c r="F129" s="1">
        <v>42438</v>
      </c>
      <c r="G129">
        <v>201609</v>
      </c>
      <c r="H129" t="s">
        <v>74</v>
      </c>
      <c r="I129" t="s">
        <v>75</v>
      </c>
      <c r="J129" t="s">
        <v>76</v>
      </c>
      <c r="K129" t="s">
        <v>77</v>
      </c>
      <c r="L129" t="s">
        <v>74</v>
      </c>
      <c r="M129" t="s">
        <v>75</v>
      </c>
      <c r="N129" t="s">
        <v>537</v>
      </c>
      <c r="O129" t="s">
        <v>81</v>
      </c>
      <c r="P129" t="str">
        <f t="shared" si="5"/>
        <v xml:space="preserve">NO REF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2.68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1.5</v>
      </c>
      <c r="BJ129">
        <v>0.9</v>
      </c>
      <c r="BK129">
        <v>2</v>
      </c>
      <c r="BL129">
        <v>60.33</v>
      </c>
      <c r="BM129">
        <v>8.4499999999999993</v>
      </c>
      <c r="BN129">
        <v>68.78</v>
      </c>
      <c r="BO129">
        <v>68.78</v>
      </c>
      <c r="BQ129" t="s">
        <v>538</v>
      </c>
      <c r="BR129" t="s">
        <v>83</v>
      </c>
      <c r="BS129" s="1">
        <v>42439</v>
      </c>
      <c r="BT129" s="2">
        <v>0.41666666666666669</v>
      </c>
      <c r="BU129" t="s">
        <v>197</v>
      </c>
      <c r="BV129" t="s">
        <v>85</v>
      </c>
      <c r="BY129">
        <v>4423.08</v>
      </c>
      <c r="CC129" t="s">
        <v>75</v>
      </c>
      <c r="CD129">
        <v>2021</v>
      </c>
      <c r="CE129" t="s">
        <v>86</v>
      </c>
      <c r="CF129" s="1">
        <v>42441</v>
      </c>
      <c r="CI129">
        <v>0</v>
      </c>
      <c r="CJ129">
        <v>0</v>
      </c>
      <c r="CK129" t="s">
        <v>112</v>
      </c>
      <c r="CL129" t="s">
        <v>88</v>
      </c>
    </row>
    <row r="130" spans="1:90" x14ac:dyDescent="0.3">
      <c r="A130" t="s">
        <v>71</v>
      </c>
      <c r="B130" t="s">
        <v>72</v>
      </c>
      <c r="C130" t="s">
        <v>73</v>
      </c>
      <c r="E130" t="str">
        <f>"009934303926"</f>
        <v>009934303926</v>
      </c>
      <c r="F130" s="1">
        <v>42438</v>
      </c>
      <c r="G130">
        <v>201609</v>
      </c>
      <c r="H130" t="s">
        <v>74</v>
      </c>
      <c r="I130" t="s">
        <v>75</v>
      </c>
      <c r="J130" t="s">
        <v>76</v>
      </c>
      <c r="K130" t="s">
        <v>77</v>
      </c>
      <c r="L130" t="s">
        <v>78</v>
      </c>
      <c r="M130" t="s">
        <v>79</v>
      </c>
      <c r="N130" t="s">
        <v>539</v>
      </c>
      <c r="O130" t="s">
        <v>81</v>
      </c>
      <c r="P130" t="str">
        <f t="shared" si="5"/>
        <v xml:space="preserve">NO REF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2.68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60.33</v>
      </c>
      <c r="BM130">
        <v>8.4499999999999993</v>
      </c>
      <c r="BN130">
        <v>68.78</v>
      </c>
      <c r="BO130">
        <v>68.78</v>
      </c>
      <c r="BQ130" t="s">
        <v>540</v>
      </c>
      <c r="BR130" t="s">
        <v>83</v>
      </c>
      <c r="BS130" s="1">
        <v>42439</v>
      </c>
      <c r="BT130" s="2">
        <v>0.41666666666666669</v>
      </c>
      <c r="BU130" t="s">
        <v>541</v>
      </c>
      <c r="BV130" t="s">
        <v>85</v>
      </c>
      <c r="BY130">
        <v>1200</v>
      </c>
      <c r="CC130" t="s">
        <v>79</v>
      </c>
      <c r="CD130">
        <v>8300</v>
      </c>
      <c r="CE130" t="s">
        <v>86</v>
      </c>
      <c r="CF130" s="1">
        <v>42445</v>
      </c>
      <c r="CI130">
        <v>0</v>
      </c>
      <c r="CJ130">
        <v>0</v>
      </c>
      <c r="CK130" t="s">
        <v>87</v>
      </c>
      <c r="CL130" t="s">
        <v>88</v>
      </c>
    </row>
    <row r="131" spans="1:90" x14ac:dyDescent="0.3">
      <c r="A131" t="s">
        <v>71</v>
      </c>
      <c r="B131" t="s">
        <v>72</v>
      </c>
      <c r="C131" t="s">
        <v>73</v>
      </c>
      <c r="E131" t="str">
        <f>"009934303901"</f>
        <v>009934303901</v>
      </c>
      <c r="F131" s="1">
        <v>42438</v>
      </c>
      <c r="G131">
        <v>201609</v>
      </c>
      <c r="H131" t="s">
        <v>74</v>
      </c>
      <c r="I131" t="s">
        <v>75</v>
      </c>
      <c r="J131" t="s">
        <v>76</v>
      </c>
      <c r="K131" t="s">
        <v>77</v>
      </c>
      <c r="L131" t="s">
        <v>96</v>
      </c>
      <c r="M131" t="s">
        <v>97</v>
      </c>
      <c r="N131" t="s">
        <v>542</v>
      </c>
      <c r="O131" t="s">
        <v>81</v>
      </c>
      <c r="P131" t="str">
        <f t="shared" si="5"/>
        <v xml:space="preserve">NO REF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2.68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0.2</v>
      </c>
      <c r="BK131">
        <v>1</v>
      </c>
      <c r="BL131">
        <v>60.33</v>
      </c>
      <c r="BM131">
        <v>8.4499999999999993</v>
      </c>
      <c r="BN131">
        <v>68.78</v>
      </c>
      <c r="BO131">
        <v>68.78</v>
      </c>
      <c r="BQ131" t="s">
        <v>543</v>
      </c>
      <c r="BR131" t="s">
        <v>83</v>
      </c>
      <c r="BS131" s="1">
        <v>42439</v>
      </c>
      <c r="BT131" s="2">
        <v>0.41250000000000003</v>
      </c>
      <c r="BU131" t="s">
        <v>345</v>
      </c>
      <c r="BV131" t="s">
        <v>85</v>
      </c>
      <c r="BY131">
        <v>1200</v>
      </c>
      <c r="CC131" t="s">
        <v>97</v>
      </c>
      <c r="CD131">
        <v>4051</v>
      </c>
      <c r="CE131" t="s">
        <v>86</v>
      </c>
      <c r="CF131" s="1">
        <v>42443</v>
      </c>
      <c r="CI131">
        <v>0</v>
      </c>
      <c r="CJ131">
        <v>0</v>
      </c>
      <c r="CK131" t="s">
        <v>95</v>
      </c>
      <c r="CL131" t="s">
        <v>88</v>
      </c>
    </row>
    <row r="132" spans="1:90" x14ac:dyDescent="0.3">
      <c r="A132" t="s">
        <v>71</v>
      </c>
      <c r="B132" t="s">
        <v>72</v>
      </c>
      <c r="C132" t="s">
        <v>73</v>
      </c>
      <c r="E132" t="str">
        <f>"009934303920"</f>
        <v>009934303920</v>
      </c>
      <c r="F132" s="1">
        <v>42438</v>
      </c>
      <c r="G132">
        <v>201609</v>
      </c>
      <c r="H132" t="s">
        <v>74</v>
      </c>
      <c r="I132" t="s">
        <v>75</v>
      </c>
      <c r="J132" t="s">
        <v>76</v>
      </c>
      <c r="K132" t="s">
        <v>77</v>
      </c>
      <c r="L132" t="s">
        <v>257</v>
      </c>
      <c r="M132" t="s">
        <v>258</v>
      </c>
      <c r="N132" t="s">
        <v>544</v>
      </c>
      <c r="O132" t="s">
        <v>81</v>
      </c>
      <c r="P132" t="str">
        <f t="shared" si="5"/>
        <v xml:space="preserve">NO REF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3.57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78.77</v>
      </c>
      <c r="BM132">
        <v>11.03</v>
      </c>
      <c r="BN132">
        <v>89.8</v>
      </c>
      <c r="BO132">
        <v>89.8</v>
      </c>
      <c r="BQ132" t="s">
        <v>74</v>
      </c>
      <c r="BR132" t="s">
        <v>83</v>
      </c>
      <c r="BS132" s="1">
        <v>42439</v>
      </c>
      <c r="BT132" s="2">
        <v>0.46597222222222223</v>
      </c>
      <c r="BU132" t="s">
        <v>545</v>
      </c>
      <c r="BV132" t="s">
        <v>85</v>
      </c>
      <c r="BY132">
        <v>1200</v>
      </c>
      <c r="CC132" t="s">
        <v>258</v>
      </c>
      <c r="CD132">
        <v>1050</v>
      </c>
      <c r="CE132" t="s">
        <v>86</v>
      </c>
      <c r="CF132" s="1">
        <v>42443</v>
      </c>
      <c r="CI132">
        <v>0</v>
      </c>
      <c r="CJ132">
        <v>0</v>
      </c>
      <c r="CK132" t="s">
        <v>216</v>
      </c>
      <c r="CL132" t="s">
        <v>88</v>
      </c>
    </row>
    <row r="133" spans="1:90" x14ac:dyDescent="0.3">
      <c r="A133" t="s">
        <v>71</v>
      </c>
      <c r="B133" t="s">
        <v>72</v>
      </c>
      <c r="C133" t="s">
        <v>73</v>
      </c>
      <c r="E133" t="str">
        <f>"009934303899"</f>
        <v>009934303899</v>
      </c>
      <c r="F133" s="1">
        <v>42438</v>
      </c>
      <c r="G133">
        <v>201609</v>
      </c>
      <c r="H133" t="s">
        <v>74</v>
      </c>
      <c r="I133" t="s">
        <v>75</v>
      </c>
      <c r="J133" t="s">
        <v>76</v>
      </c>
      <c r="K133" t="s">
        <v>77</v>
      </c>
      <c r="L133" t="s">
        <v>546</v>
      </c>
      <c r="M133" t="s">
        <v>547</v>
      </c>
      <c r="N133" t="s">
        <v>548</v>
      </c>
      <c r="O133" t="s">
        <v>81</v>
      </c>
      <c r="P133" t="str">
        <f t="shared" si="5"/>
        <v xml:space="preserve">NO REF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4.6500000000000004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0.7</v>
      </c>
      <c r="BK133">
        <v>1</v>
      </c>
      <c r="BL133">
        <v>100.91</v>
      </c>
      <c r="BM133">
        <v>14.13</v>
      </c>
      <c r="BN133">
        <v>115.04</v>
      </c>
      <c r="BO133">
        <v>115.04</v>
      </c>
      <c r="BQ133" t="s">
        <v>549</v>
      </c>
      <c r="BR133" t="s">
        <v>83</v>
      </c>
      <c r="BS133" s="1">
        <v>42439</v>
      </c>
      <c r="BT133" s="2">
        <v>0.16527777777777777</v>
      </c>
      <c r="BU133" t="s">
        <v>550</v>
      </c>
      <c r="BV133" t="s">
        <v>85</v>
      </c>
      <c r="BY133">
        <v>3600</v>
      </c>
      <c r="CC133" t="s">
        <v>547</v>
      </c>
      <c r="CD133">
        <v>6139</v>
      </c>
      <c r="CE133" t="s">
        <v>86</v>
      </c>
      <c r="CF133" s="1">
        <v>42445</v>
      </c>
      <c r="CI133">
        <v>0</v>
      </c>
      <c r="CJ133">
        <v>0</v>
      </c>
      <c r="CK133" t="s">
        <v>123</v>
      </c>
      <c r="CL133" t="s">
        <v>88</v>
      </c>
    </row>
    <row r="134" spans="1:90" x14ac:dyDescent="0.3">
      <c r="A134" t="s">
        <v>71</v>
      </c>
      <c r="B134" t="s">
        <v>72</v>
      </c>
      <c r="C134" t="s">
        <v>73</v>
      </c>
      <c r="E134" t="str">
        <f>"009934303896"</f>
        <v>009934303896</v>
      </c>
      <c r="F134" s="1">
        <v>42438</v>
      </c>
      <c r="G134">
        <v>201609</v>
      </c>
      <c r="H134" t="s">
        <v>74</v>
      </c>
      <c r="I134" t="s">
        <v>75</v>
      </c>
      <c r="J134" t="s">
        <v>76</v>
      </c>
      <c r="K134" t="s">
        <v>77</v>
      </c>
      <c r="L134" t="s">
        <v>313</v>
      </c>
      <c r="M134" t="s">
        <v>314</v>
      </c>
      <c r="N134" t="s">
        <v>551</v>
      </c>
      <c r="O134" t="s">
        <v>81</v>
      </c>
      <c r="P134" t="str">
        <f t="shared" si="5"/>
        <v xml:space="preserve">NO REF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3.87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84.92</v>
      </c>
      <c r="BM134">
        <v>11.89</v>
      </c>
      <c r="BN134">
        <v>96.81</v>
      </c>
      <c r="BO134">
        <v>96.81</v>
      </c>
      <c r="BQ134" t="s">
        <v>552</v>
      </c>
      <c r="BR134" t="s">
        <v>83</v>
      </c>
      <c r="BS134" s="1">
        <v>42439</v>
      </c>
      <c r="BT134" s="2">
        <v>0.43958333333333338</v>
      </c>
      <c r="BU134" t="s">
        <v>327</v>
      </c>
      <c r="BV134" t="s">
        <v>85</v>
      </c>
      <c r="BY134">
        <v>1200</v>
      </c>
      <c r="CC134" t="s">
        <v>314</v>
      </c>
      <c r="CD134">
        <v>3200</v>
      </c>
      <c r="CE134" t="s">
        <v>86</v>
      </c>
      <c r="CF134" s="1">
        <v>42441</v>
      </c>
      <c r="CI134">
        <v>0</v>
      </c>
      <c r="CJ134">
        <v>0</v>
      </c>
      <c r="CK134" t="s">
        <v>256</v>
      </c>
      <c r="CL134" t="s">
        <v>88</v>
      </c>
    </row>
    <row r="135" spans="1:90" x14ac:dyDescent="0.3">
      <c r="A135" t="s">
        <v>71</v>
      </c>
      <c r="B135" t="s">
        <v>72</v>
      </c>
      <c r="C135" t="s">
        <v>73</v>
      </c>
      <c r="E135" t="str">
        <f>"009934303903"</f>
        <v>009934303903</v>
      </c>
      <c r="F135" s="1">
        <v>42438</v>
      </c>
      <c r="G135">
        <v>201609</v>
      </c>
      <c r="H135" t="s">
        <v>74</v>
      </c>
      <c r="I135" t="s">
        <v>75</v>
      </c>
      <c r="J135" t="s">
        <v>76</v>
      </c>
      <c r="K135" t="s">
        <v>77</v>
      </c>
      <c r="L135" t="s">
        <v>389</v>
      </c>
      <c r="M135" t="s">
        <v>390</v>
      </c>
      <c r="N135" t="s">
        <v>553</v>
      </c>
      <c r="O135" t="s">
        <v>81</v>
      </c>
      <c r="P135" t="str">
        <f t="shared" si="5"/>
        <v xml:space="preserve">NO REF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2.68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60.33</v>
      </c>
      <c r="BM135">
        <v>8.4499999999999993</v>
      </c>
      <c r="BN135">
        <v>68.78</v>
      </c>
      <c r="BO135">
        <v>68.78</v>
      </c>
      <c r="BQ135" t="s">
        <v>554</v>
      </c>
      <c r="BR135" t="s">
        <v>83</v>
      </c>
      <c r="BS135" s="1">
        <v>42439</v>
      </c>
      <c r="BT135" s="2">
        <v>0.41666666666666669</v>
      </c>
      <c r="BU135" t="s">
        <v>555</v>
      </c>
      <c r="BV135" t="s">
        <v>85</v>
      </c>
      <c r="BY135">
        <v>1200</v>
      </c>
      <c r="CC135" t="s">
        <v>390</v>
      </c>
      <c r="CD135">
        <v>4319</v>
      </c>
      <c r="CE135" t="s">
        <v>86</v>
      </c>
      <c r="CF135" s="1">
        <v>42443</v>
      </c>
      <c r="CI135">
        <v>0</v>
      </c>
      <c r="CJ135">
        <v>0</v>
      </c>
      <c r="CK135" t="s">
        <v>95</v>
      </c>
      <c r="CL135" t="s">
        <v>88</v>
      </c>
    </row>
    <row r="136" spans="1:90" x14ac:dyDescent="0.3">
      <c r="A136" t="s">
        <v>71</v>
      </c>
      <c r="B136" t="s">
        <v>72</v>
      </c>
      <c r="C136" t="s">
        <v>73</v>
      </c>
      <c r="E136" t="str">
        <f>"009934303890"</f>
        <v>009934303890</v>
      </c>
      <c r="F136" s="1">
        <v>42438</v>
      </c>
      <c r="G136">
        <v>201609</v>
      </c>
      <c r="H136" t="s">
        <v>74</v>
      </c>
      <c r="I136" t="s">
        <v>75</v>
      </c>
      <c r="J136" t="s">
        <v>76</v>
      </c>
      <c r="K136" t="s">
        <v>77</v>
      </c>
      <c r="L136" t="s">
        <v>556</v>
      </c>
      <c r="M136" t="s">
        <v>557</v>
      </c>
      <c r="N136" t="s">
        <v>558</v>
      </c>
      <c r="O136" t="s">
        <v>81</v>
      </c>
      <c r="P136" t="str">
        <f t="shared" si="5"/>
        <v xml:space="preserve">NO REF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4.6500000000000004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100.91</v>
      </c>
      <c r="BM136">
        <v>14.13</v>
      </c>
      <c r="BN136">
        <v>115.04</v>
      </c>
      <c r="BO136">
        <v>115.04</v>
      </c>
      <c r="BQ136" t="s">
        <v>559</v>
      </c>
      <c r="BR136" t="s">
        <v>83</v>
      </c>
      <c r="BS136" s="1">
        <v>42439</v>
      </c>
      <c r="BT136" s="2">
        <v>0.47916666666666669</v>
      </c>
      <c r="BU136" t="s">
        <v>182</v>
      </c>
      <c r="BY136">
        <v>1200</v>
      </c>
      <c r="CC136" t="s">
        <v>557</v>
      </c>
      <c r="CD136">
        <v>480</v>
      </c>
      <c r="CE136" t="s">
        <v>86</v>
      </c>
      <c r="CF136" s="1">
        <v>42444</v>
      </c>
      <c r="CI136">
        <v>0</v>
      </c>
      <c r="CJ136">
        <v>0</v>
      </c>
      <c r="CK136" t="s">
        <v>322</v>
      </c>
      <c r="CL136" t="s">
        <v>88</v>
      </c>
    </row>
    <row r="137" spans="1:90" x14ac:dyDescent="0.3">
      <c r="A137" t="s">
        <v>71</v>
      </c>
      <c r="B137" t="s">
        <v>72</v>
      </c>
      <c r="C137" t="s">
        <v>73</v>
      </c>
      <c r="E137" t="str">
        <f>"009934303909"</f>
        <v>009934303909</v>
      </c>
      <c r="F137" s="1">
        <v>42438</v>
      </c>
      <c r="G137">
        <v>201609</v>
      </c>
      <c r="H137" t="s">
        <v>74</v>
      </c>
      <c r="I137" t="s">
        <v>75</v>
      </c>
      <c r="J137" t="s">
        <v>76</v>
      </c>
      <c r="K137" t="s">
        <v>77</v>
      </c>
      <c r="L137" t="s">
        <v>313</v>
      </c>
      <c r="M137" t="s">
        <v>314</v>
      </c>
      <c r="N137" t="s">
        <v>560</v>
      </c>
      <c r="O137" t="s">
        <v>81</v>
      </c>
      <c r="P137" t="str">
        <f t="shared" si="5"/>
        <v xml:space="preserve">NO REF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3.87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84.92</v>
      </c>
      <c r="BM137">
        <v>11.89</v>
      </c>
      <c r="BN137">
        <v>96.81</v>
      </c>
      <c r="BO137">
        <v>96.81</v>
      </c>
      <c r="BQ137" t="s">
        <v>561</v>
      </c>
      <c r="BR137" t="s">
        <v>83</v>
      </c>
      <c r="BS137" s="1">
        <v>42439</v>
      </c>
      <c r="BT137" s="2">
        <v>0.39166666666666666</v>
      </c>
      <c r="BU137" t="s">
        <v>562</v>
      </c>
      <c r="BV137" t="s">
        <v>85</v>
      </c>
      <c r="BY137">
        <v>1200</v>
      </c>
      <c r="CC137" t="s">
        <v>314</v>
      </c>
      <c r="CD137">
        <v>3200</v>
      </c>
      <c r="CE137" t="s">
        <v>86</v>
      </c>
      <c r="CF137" s="1">
        <v>42441</v>
      </c>
      <c r="CI137">
        <v>0</v>
      </c>
      <c r="CJ137">
        <v>0</v>
      </c>
      <c r="CK137" t="s">
        <v>256</v>
      </c>
      <c r="CL137" t="s">
        <v>88</v>
      </c>
    </row>
    <row r="138" spans="1:90" x14ac:dyDescent="0.3">
      <c r="A138" t="s">
        <v>71</v>
      </c>
      <c r="B138" t="s">
        <v>72</v>
      </c>
      <c r="C138" t="s">
        <v>73</v>
      </c>
      <c r="E138" t="str">
        <f>"009934303897"</f>
        <v>009934303897</v>
      </c>
      <c r="F138" s="1">
        <v>42438</v>
      </c>
      <c r="G138">
        <v>201609</v>
      </c>
      <c r="H138" t="s">
        <v>74</v>
      </c>
      <c r="I138" t="s">
        <v>75</v>
      </c>
      <c r="J138" t="s">
        <v>76</v>
      </c>
      <c r="K138" t="s">
        <v>77</v>
      </c>
      <c r="L138" t="s">
        <v>563</v>
      </c>
      <c r="M138" t="s">
        <v>564</v>
      </c>
      <c r="N138" t="s">
        <v>565</v>
      </c>
      <c r="O138" t="s">
        <v>81</v>
      </c>
      <c r="P138" t="str">
        <f t="shared" si="5"/>
        <v xml:space="preserve">NO REF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3.9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85.54</v>
      </c>
      <c r="BM138">
        <v>11.98</v>
      </c>
      <c r="BN138">
        <v>97.52</v>
      </c>
      <c r="BO138">
        <v>97.52</v>
      </c>
      <c r="BQ138" t="s">
        <v>566</v>
      </c>
      <c r="BR138" t="s">
        <v>83</v>
      </c>
      <c r="BS138" s="1">
        <v>42440</v>
      </c>
      <c r="BT138" s="2">
        <v>0.46111111111111108</v>
      </c>
      <c r="BU138" t="s">
        <v>567</v>
      </c>
      <c r="BV138" t="s">
        <v>88</v>
      </c>
      <c r="BW138" t="s">
        <v>110</v>
      </c>
      <c r="BX138" t="s">
        <v>568</v>
      </c>
      <c r="BY138">
        <v>1200</v>
      </c>
      <c r="CC138" t="s">
        <v>564</v>
      </c>
      <c r="CD138">
        <v>4241</v>
      </c>
      <c r="CE138" t="s">
        <v>86</v>
      </c>
      <c r="CF138" s="1">
        <v>42444</v>
      </c>
      <c r="CI138">
        <v>0</v>
      </c>
      <c r="CJ138">
        <v>0</v>
      </c>
      <c r="CK138" t="s">
        <v>132</v>
      </c>
      <c r="CL138" t="s">
        <v>88</v>
      </c>
    </row>
    <row r="139" spans="1:90" x14ac:dyDescent="0.3">
      <c r="A139" t="s">
        <v>71</v>
      </c>
      <c r="B139" t="s">
        <v>72</v>
      </c>
      <c r="C139" t="s">
        <v>73</v>
      </c>
      <c r="E139" t="str">
        <f>"009934303927"</f>
        <v>009934303927</v>
      </c>
      <c r="F139" s="1">
        <v>42438</v>
      </c>
      <c r="G139">
        <v>201609</v>
      </c>
      <c r="H139" t="s">
        <v>74</v>
      </c>
      <c r="I139" t="s">
        <v>75</v>
      </c>
      <c r="J139" t="s">
        <v>76</v>
      </c>
      <c r="K139" t="s">
        <v>77</v>
      </c>
      <c r="L139" t="s">
        <v>271</v>
      </c>
      <c r="M139" t="s">
        <v>272</v>
      </c>
      <c r="N139" t="s">
        <v>569</v>
      </c>
      <c r="O139" t="s">
        <v>81</v>
      </c>
      <c r="P139" t="str">
        <f t="shared" si="5"/>
        <v xml:space="preserve">NO REF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3.9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85.54</v>
      </c>
      <c r="BM139">
        <v>11.98</v>
      </c>
      <c r="BN139">
        <v>97.52</v>
      </c>
      <c r="BO139">
        <v>97.52</v>
      </c>
      <c r="BQ139" t="s">
        <v>570</v>
      </c>
      <c r="BR139" t="s">
        <v>83</v>
      </c>
      <c r="BS139" s="1">
        <v>42439</v>
      </c>
      <c r="BT139" s="2">
        <v>0.59513888888888888</v>
      </c>
      <c r="BU139" t="s">
        <v>333</v>
      </c>
      <c r="BV139" t="s">
        <v>85</v>
      </c>
      <c r="BY139">
        <v>1200</v>
      </c>
      <c r="CC139" t="s">
        <v>272</v>
      </c>
      <c r="CD139">
        <v>2350</v>
      </c>
      <c r="CE139" t="s">
        <v>86</v>
      </c>
      <c r="CF139" s="1">
        <v>42444</v>
      </c>
      <c r="CI139">
        <v>0</v>
      </c>
      <c r="CJ139">
        <v>0</v>
      </c>
      <c r="CK139" t="s">
        <v>106</v>
      </c>
      <c r="CL139" t="s">
        <v>88</v>
      </c>
    </row>
    <row r="140" spans="1:90" x14ac:dyDescent="0.3">
      <c r="A140" t="s">
        <v>71</v>
      </c>
      <c r="B140" t="s">
        <v>72</v>
      </c>
      <c r="C140" t="s">
        <v>73</v>
      </c>
      <c r="E140" t="str">
        <f>"009934303878"</f>
        <v>009934303878</v>
      </c>
      <c r="F140" s="1">
        <v>42438</v>
      </c>
      <c r="G140">
        <v>201609</v>
      </c>
      <c r="H140" t="s">
        <v>74</v>
      </c>
      <c r="I140" t="s">
        <v>75</v>
      </c>
      <c r="J140" t="s">
        <v>76</v>
      </c>
      <c r="K140" t="s">
        <v>77</v>
      </c>
      <c r="L140" t="s">
        <v>101</v>
      </c>
      <c r="M140" t="s">
        <v>102</v>
      </c>
      <c r="N140" t="s">
        <v>367</v>
      </c>
      <c r="O140" t="s">
        <v>81</v>
      </c>
      <c r="P140" t="str">
        <f t="shared" si="5"/>
        <v xml:space="preserve">NO REF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3.9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0.2</v>
      </c>
      <c r="BK140">
        <v>1</v>
      </c>
      <c r="BL140">
        <v>85.54</v>
      </c>
      <c r="BM140">
        <v>11.98</v>
      </c>
      <c r="BN140">
        <v>97.52</v>
      </c>
      <c r="BO140">
        <v>97.52</v>
      </c>
      <c r="BQ140" t="s">
        <v>571</v>
      </c>
      <c r="BR140" t="s">
        <v>83</v>
      </c>
      <c r="BS140" s="1">
        <v>42440</v>
      </c>
      <c r="BT140" s="2">
        <v>0.41666666666666669</v>
      </c>
      <c r="BU140" t="s">
        <v>572</v>
      </c>
      <c r="BV140" t="s">
        <v>85</v>
      </c>
      <c r="BY140">
        <v>1200</v>
      </c>
      <c r="CC140" t="s">
        <v>102</v>
      </c>
      <c r="CD140">
        <v>7441</v>
      </c>
      <c r="CE140" t="s">
        <v>86</v>
      </c>
      <c r="CF140" s="1">
        <v>42444</v>
      </c>
      <c r="CI140">
        <v>0</v>
      </c>
      <c r="CJ140">
        <v>0</v>
      </c>
      <c r="CK140" t="s">
        <v>106</v>
      </c>
      <c r="CL140" t="s">
        <v>88</v>
      </c>
    </row>
    <row r="141" spans="1:90" x14ac:dyDescent="0.3">
      <c r="A141" t="s">
        <v>71</v>
      </c>
      <c r="B141" t="s">
        <v>72</v>
      </c>
      <c r="C141" t="s">
        <v>73</v>
      </c>
      <c r="E141" t="str">
        <f>"009934303889"</f>
        <v>009934303889</v>
      </c>
      <c r="F141" s="1">
        <v>42438</v>
      </c>
      <c r="G141">
        <v>201609</v>
      </c>
      <c r="H141" t="s">
        <v>74</v>
      </c>
      <c r="I141" t="s">
        <v>75</v>
      </c>
      <c r="J141" t="s">
        <v>76</v>
      </c>
      <c r="K141" t="s">
        <v>77</v>
      </c>
      <c r="L141" t="s">
        <v>96</v>
      </c>
      <c r="M141" t="s">
        <v>97</v>
      </c>
      <c r="N141" t="s">
        <v>573</v>
      </c>
      <c r="O141" t="s">
        <v>81</v>
      </c>
      <c r="P141" t="str">
        <f t="shared" si="5"/>
        <v xml:space="preserve">NO REF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2.68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60.33</v>
      </c>
      <c r="BM141">
        <v>8.4499999999999993</v>
      </c>
      <c r="BN141">
        <v>68.78</v>
      </c>
      <c r="BO141">
        <v>68.78</v>
      </c>
      <c r="BQ141" t="s">
        <v>358</v>
      </c>
      <c r="BR141" t="s">
        <v>83</v>
      </c>
      <c r="BS141" s="1">
        <v>42439</v>
      </c>
      <c r="BT141" s="2">
        <v>0.33333333333333331</v>
      </c>
      <c r="BU141" t="s">
        <v>354</v>
      </c>
      <c r="BV141" t="s">
        <v>85</v>
      </c>
      <c r="BY141">
        <v>1200</v>
      </c>
      <c r="CC141" t="s">
        <v>97</v>
      </c>
      <c r="CD141">
        <v>4000</v>
      </c>
      <c r="CE141" t="s">
        <v>86</v>
      </c>
      <c r="CF141" s="1">
        <v>42443</v>
      </c>
      <c r="CI141">
        <v>0</v>
      </c>
      <c r="CJ141">
        <v>0</v>
      </c>
      <c r="CK141" t="s">
        <v>95</v>
      </c>
      <c r="CL141" t="s">
        <v>88</v>
      </c>
    </row>
    <row r="142" spans="1:90" x14ac:dyDescent="0.3">
      <c r="A142" t="s">
        <v>71</v>
      </c>
      <c r="B142" t="s">
        <v>72</v>
      </c>
      <c r="C142" t="s">
        <v>73</v>
      </c>
      <c r="E142" t="str">
        <f>"009934303931"</f>
        <v>009934303931</v>
      </c>
      <c r="F142" s="1">
        <v>42438</v>
      </c>
      <c r="G142">
        <v>201609</v>
      </c>
      <c r="H142" t="s">
        <v>74</v>
      </c>
      <c r="I142" t="s">
        <v>75</v>
      </c>
      <c r="J142" t="s">
        <v>76</v>
      </c>
      <c r="K142" t="s">
        <v>77</v>
      </c>
      <c r="L142" t="s">
        <v>74</v>
      </c>
      <c r="M142" t="s">
        <v>75</v>
      </c>
      <c r="N142" t="s">
        <v>574</v>
      </c>
      <c r="O142" t="s">
        <v>81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2.68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0.2</v>
      </c>
      <c r="BK142">
        <v>1</v>
      </c>
      <c r="BL142">
        <v>60.33</v>
      </c>
      <c r="BM142">
        <v>8.4499999999999993</v>
      </c>
      <c r="BN142">
        <v>68.78</v>
      </c>
      <c r="BO142">
        <v>68.78</v>
      </c>
      <c r="BQ142" t="s">
        <v>575</v>
      </c>
      <c r="BR142" t="s">
        <v>83</v>
      </c>
      <c r="BS142" s="1">
        <v>42439</v>
      </c>
      <c r="BT142" s="2">
        <v>0.56597222222222221</v>
      </c>
      <c r="BU142" t="s">
        <v>576</v>
      </c>
      <c r="BV142" t="s">
        <v>85</v>
      </c>
      <c r="BY142">
        <v>1200</v>
      </c>
      <c r="CC142" t="s">
        <v>75</v>
      </c>
      <c r="CD142">
        <v>2094</v>
      </c>
      <c r="CE142" t="s">
        <v>86</v>
      </c>
      <c r="CF142" s="1">
        <v>42441</v>
      </c>
      <c r="CI142">
        <v>0</v>
      </c>
      <c r="CJ142">
        <v>0</v>
      </c>
      <c r="CK142" t="s">
        <v>112</v>
      </c>
      <c r="CL142" t="s">
        <v>88</v>
      </c>
    </row>
    <row r="143" spans="1:90" x14ac:dyDescent="0.3">
      <c r="A143" t="s">
        <v>71</v>
      </c>
      <c r="B143" t="s">
        <v>72</v>
      </c>
      <c r="C143" t="s">
        <v>73</v>
      </c>
      <c r="E143" t="str">
        <f>"009934303900"</f>
        <v>009934303900</v>
      </c>
      <c r="F143" s="1">
        <v>42438</v>
      </c>
      <c r="G143">
        <v>201609</v>
      </c>
      <c r="H143" t="s">
        <v>74</v>
      </c>
      <c r="I143" t="s">
        <v>75</v>
      </c>
      <c r="J143" t="s">
        <v>76</v>
      </c>
      <c r="K143" t="s">
        <v>77</v>
      </c>
      <c r="L143" t="s">
        <v>96</v>
      </c>
      <c r="M143" t="s">
        <v>97</v>
      </c>
      <c r="N143" t="s">
        <v>577</v>
      </c>
      <c r="O143" t="s">
        <v>81</v>
      </c>
      <c r="P143" t="str">
        <f t="shared" ref="P143:P150" si="6">"NO REF                        "</f>
        <v xml:space="preserve">NO REF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2.68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60.33</v>
      </c>
      <c r="BM143">
        <v>8.4499999999999993</v>
      </c>
      <c r="BN143">
        <v>68.78</v>
      </c>
      <c r="BO143">
        <v>68.78</v>
      </c>
      <c r="BQ143" t="s">
        <v>578</v>
      </c>
      <c r="BR143" t="s">
        <v>83</v>
      </c>
      <c r="BS143" s="1">
        <v>42439</v>
      </c>
      <c r="BT143" s="2">
        <v>0.31597222222222221</v>
      </c>
      <c r="BU143" t="s">
        <v>579</v>
      </c>
      <c r="BV143" t="s">
        <v>85</v>
      </c>
      <c r="BY143">
        <v>1200</v>
      </c>
      <c r="CC143" t="s">
        <v>97</v>
      </c>
      <c r="CD143">
        <v>4000</v>
      </c>
      <c r="CE143" t="s">
        <v>86</v>
      </c>
      <c r="CF143" s="1">
        <v>42443</v>
      </c>
      <c r="CI143">
        <v>0</v>
      </c>
      <c r="CJ143">
        <v>0</v>
      </c>
      <c r="CK143" t="s">
        <v>95</v>
      </c>
      <c r="CL143" t="s">
        <v>88</v>
      </c>
    </row>
    <row r="144" spans="1:90" x14ac:dyDescent="0.3">
      <c r="A144" t="s">
        <v>71</v>
      </c>
      <c r="B144" t="s">
        <v>72</v>
      </c>
      <c r="C144" t="s">
        <v>73</v>
      </c>
      <c r="E144" t="str">
        <f>"009934303908"</f>
        <v>009934303908</v>
      </c>
      <c r="F144" s="1">
        <v>42438</v>
      </c>
      <c r="G144">
        <v>201609</v>
      </c>
      <c r="H144" t="s">
        <v>74</v>
      </c>
      <c r="I144" t="s">
        <v>75</v>
      </c>
      <c r="J144" t="s">
        <v>76</v>
      </c>
      <c r="K144" t="s">
        <v>77</v>
      </c>
      <c r="L144" t="s">
        <v>580</v>
      </c>
      <c r="M144" t="s">
        <v>581</v>
      </c>
      <c r="N144" t="s">
        <v>582</v>
      </c>
      <c r="O144" t="s">
        <v>81</v>
      </c>
      <c r="P144" t="str">
        <f t="shared" si="6"/>
        <v xml:space="preserve">NO REF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3.9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0.5</v>
      </c>
      <c r="BJ144">
        <v>0.2</v>
      </c>
      <c r="BK144">
        <v>1</v>
      </c>
      <c r="BL144">
        <v>85.54</v>
      </c>
      <c r="BM144">
        <v>11.98</v>
      </c>
      <c r="BN144">
        <v>97.52</v>
      </c>
      <c r="BO144">
        <v>97.52</v>
      </c>
      <c r="BQ144" t="s">
        <v>583</v>
      </c>
      <c r="BR144" t="s">
        <v>83</v>
      </c>
      <c r="BS144" s="1">
        <v>42439</v>
      </c>
      <c r="BT144" s="2">
        <v>0.57291666666666663</v>
      </c>
      <c r="BU144" t="s">
        <v>333</v>
      </c>
      <c r="BV144" t="s">
        <v>85</v>
      </c>
      <c r="BY144">
        <v>1200</v>
      </c>
      <c r="CC144" t="s">
        <v>581</v>
      </c>
      <c r="CD144">
        <v>2302</v>
      </c>
      <c r="CE144" t="s">
        <v>86</v>
      </c>
      <c r="CF144" s="1">
        <v>42444</v>
      </c>
      <c r="CI144">
        <v>0</v>
      </c>
      <c r="CJ144">
        <v>0</v>
      </c>
      <c r="CK144" t="s">
        <v>106</v>
      </c>
      <c r="CL144" t="s">
        <v>88</v>
      </c>
    </row>
    <row r="145" spans="1:90" x14ac:dyDescent="0.3">
      <c r="A145" t="s">
        <v>71</v>
      </c>
      <c r="B145" t="s">
        <v>72</v>
      </c>
      <c r="C145" t="s">
        <v>73</v>
      </c>
      <c r="E145" t="str">
        <f>"009934303881"</f>
        <v>009934303881</v>
      </c>
      <c r="F145" s="1">
        <v>42438</v>
      </c>
      <c r="G145">
        <v>201609</v>
      </c>
      <c r="H145" t="s">
        <v>74</v>
      </c>
      <c r="I145" t="s">
        <v>75</v>
      </c>
      <c r="J145" t="s">
        <v>76</v>
      </c>
      <c r="K145" t="s">
        <v>77</v>
      </c>
      <c r="L145" t="s">
        <v>136</v>
      </c>
      <c r="M145" t="s">
        <v>137</v>
      </c>
      <c r="N145" t="s">
        <v>584</v>
      </c>
      <c r="O145" t="s">
        <v>81</v>
      </c>
      <c r="P145" t="str">
        <f t="shared" si="6"/>
        <v xml:space="preserve">NO REF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2.68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0.7</v>
      </c>
      <c r="BK145">
        <v>1</v>
      </c>
      <c r="BL145">
        <v>60.33</v>
      </c>
      <c r="BM145">
        <v>8.4499999999999993</v>
      </c>
      <c r="BN145">
        <v>68.78</v>
      </c>
      <c r="BO145">
        <v>68.78</v>
      </c>
      <c r="BQ145" t="s">
        <v>585</v>
      </c>
      <c r="BR145" t="s">
        <v>83</v>
      </c>
      <c r="BS145" s="1">
        <v>42439</v>
      </c>
      <c r="BT145" s="2">
        <v>0.375</v>
      </c>
      <c r="BU145" t="s">
        <v>182</v>
      </c>
      <c r="BV145" t="s">
        <v>85</v>
      </c>
      <c r="BY145">
        <v>3600</v>
      </c>
      <c r="CC145" t="s">
        <v>137</v>
      </c>
      <c r="CD145">
        <v>9300</v>
      </c>
      <c r="CE145" t="s">
        <v>86</v>
      </c>
      <c r="CF145" s="1">
        <v>42441</v>
      </c>
      <c r="CI145">
        <v>0</v>
      </c>
      <c r="CJ145">
        <v>0</v>
      </c>
      <c r="CK145" t="s">
        <v>87</v>
      </c>
      <c r="CL145" t="s">
        <v>88</v>
      </c>
    </row>
    <row r="146" spans="1:90" x14ac:dyDescent="0.3">
      <c r="A146" t="s">
        <v>71</v>
      </c>
      <c r="B146" t="s">
        <v>72</v>
      </c>
      <c r="C146" t="s">
        <v>73</v>
      </c>
      <c r="E146" t="str">
        <f>"009934303914"</f>
        <v>009934303914</v>
      </c>
      <c r="F146" s="1">
        <v>42438</v>
      </c>
      <c r="G146">
        <v>201609</v>
      </c>
      <c r="H146" t="s">
        <v>74</v>
      </c>
      <c r="I146" t="s">
        <v>75</v>
      </c>
      <c r="J146" t="s">
        <v>76</v>
      </c>
      <c r="K146" t="s">
        <v>77</v>
      </c>
      <c r="L146" t="s">
        <v>586</v>
      </c>
      <c r="M146" t="s">
        <v>587</v>
      </c>
      <c r="N146" t="s">
        <v>588</v>
      </c>
      <c r="O146" t="s">
        <v>81</v>
      </c>
      <c r="P146" t="str">
        <f t="shared" si="6"/>
        <v xml:space="preserve">NO REF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4.6500000000000004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0.5</v>
      </c>
      <c r="BJ146">
        <v>0.2</v>
      </c>
      <c r="BK146">
        <v>1</v>
      </c>
      <c r="BL146">
        <v>100.91</v>
      </c>
      <c r="BM146">
        <v>14.13</v>
      </c>
      <c r="BN146">
        <v>115.04</v>
      </c>
      <c r="BO146">
        <v>115.04</v>
      </c>
      <c r="BQ146" t="s">
        <v>589</v>
      </c>
      <c r="BR146" t="s">
        <v>83</v>
      </c>
      <c r="BS146" s="1">
        <v>42440</v>
      </c>
      <c r="BT146" s="2">
        <v>0.57638888888888895</v>
      </c>
      <c r="BU146" t="s">
        <v>590</v>
      </c>
      <c r="BV146" t="s">
        <v>85</v>
      </c>
      <c r="BY146">
        <v>1200</v>
      </c>
      <c r="CC146" t="s">
        <v>587</v>
      </c>
      <c r="CD146">
        <v>6170</v>
      </c>
      <c r="CE146" t="s">
        <v>86</v>
      </c>
      <c r="CF146" s="1">
        <v>42446</v>
      </c>
      <c r="CI146">
        <v>0</v>
      </c>
      <c r="CJ146">
        <v>0</v>
      </c>
      <c r="CK146" t="s">
        <v>123</v>
      </c>
      <c r="CL146" t="s">
        <v>88</v>
      </c>
    </row>
    <row r="147" spans="1:90" x14ac:dyDescent="0.3">
      <c r="A147" t="s">
        <v>71</v>
      </c>
      <c r="B147" t="s">
        <v>72</v>
      </c>
      <c r="C147" t="s">
        <v>73</v>
      </c>
      <c r="E147" t="str">
        <f>"009934303883"</f>
        <v>009934303883</v>
      </c>
      <c r="F147" s="1">
        <v>42438</v>
      </c>
      <c r="G147">
        <v>201609</v>
      </c>
      <c r="H147" t="s">
        <v>74</v>
      </c>
      <c r="I147" t="s">
        <v>75</v>
      </c>
      <c r="J147" t="s">
        <v>76</v>
      </c>
      <c r="K147" t="s">
        <v>77</v>
      </c>
      <c r="L147" t="s">
        <v>591</v>
      </c>
      <c r="M147" t="s">
        <v>592</v>
      </c>
      <c r="N147" t="s">
        <v>593</v>
      </c>
      <c r="O147" t="s">
        <v>81</v>
      </c>
      <c r="P147" t="str">
        <f t="shared" si="6"/>
        <v xml:space="preserve">NO REF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2.68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60.33</v>
      </c>
      <c r="BM147">
        <v>8.4499999999999993</v>
      </c>
      <c r="BN147">
        <v>68.78</v>
      </c>
      <c r="BO147">
        <v>68.78</v>
      </c>
      <c r="BQ147" t="s">
        <v>594</v>
      </c>
      <c r="BR147" t="s">
        <v>83</v>
      </c>
      <c r="BS147" s="1">
        <v>42439</v>
      </c>
      <c r="BT147" s="2">
        <v>0.48472222222222222</v>
      </c>
      <c r="BU147" t="s">
        <v>595</v>
      </c>
      <c r="BV147" t="s">
        <v>85</v>
      </c>
      <c r="BY147">
        <v>1200</v>
      </c>
      <c r="CC147" t="s">
        <v>592</v>
      </c>
      <c r="CD147">
        <v>2571</v>
      </c>
      <c r="CE147" t="s">
        <v>86</v>
      </c>
      <c r="CF147" s="1">
        <v>42444</v>
      </c>
      <c r="CI147">
        <v>0</v>
      </c>
      <c r="CJ147">
        <v>0</v>
      </c>
      <c r="CK147" t="s">
        <v>87</v>
      </c>
      <c r="CL147" t="s">
        <v>88</v>
      </c>
    </row>
    <row r="148" spans="1:90" x14ac:dyDescent="0.3">
      <c r="A148" t="s">
        <v>71</v>
      </c>
      <c r="B148" t="s">
        <v>72</v>
      </c>
      <c r="C148" t="s">
        <v>73</v>
      </c>
      <c r="E148" t="str">
        <f>"009934303882"</f>
        <v>009934303882</v>
      </c>
      <c r="F148" s="1">
        <v>42438</v>
      </c>
      <c r="G148">
        <v>201609</v>
      </c>
      <c r="H148" t="s">
        <v>74</v>
      </c>
      <c r="I148" t="s">
        <v>75</v>
      </c>
      <c r="J148" t="s">
        <v>76</v>
      </c>
      <c r="K148" t="s">
        <v>77</v>
      </c>
      <c r="L148" t="s">
        <v>596</v>
      </c>
      <c r="M148" t="s">
        <v>597</v>
      </c>
      <c r="N148" t="s">
        <v>598</v>
      </c>
      <c r="O148" t="s">
        <v>81</v>
      </c>
      <c r="P148" t="str">
        <f t="shared" si="6"/>
        <v xml:space="preserve">NO REF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3.9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85.54</v>
      </c>
      <c r="BM148">
        <v>11.98</v>
      </c>
      <c r="BN148">
        <v>97.52</v>
      </c>
      <c r="BO148">
        <v>97.52</v>
      </c>
      <c r="BQ148" t="s">
        <v>599</v>
      </c>
      <c r="BR148" t="s">
        <v>83</v>
      </c>
      <c r="BS148" s="1">
        <v>42439</v>
      </c>
      <c r="BT148" s="2">
        <v>0.52430555555555558</v>
      </c>
      <c r="BU148" t="s">
        <v>600</v>
      </c>
      <c r="BV148" t="s">
        <v>85</v>
      </c>
      <c r="BY148">
        <v>1200</v>
      </c>
      <c r="CC148" t="s">
        <v>597</v>
      </c>
      <c r="CD148">
        <v>2430</v>
      </c>
      <c r="CE148" t="s">
        <v>86</v>
      </c>
      <c r="CF148" s="1">
        <v>42444</v>
      </c>
      <c r="CI148">
        <v>0</v>
      </c>
      <c r="CJ148">
        <v>0</v>
      </c>
      <c r="CK148" t="s">
        <v>106</v>
      </c>
      <c r="CL148" t="s">
        <v>88</v>
      </c>
    </row>
    <row r="149" spans="1:90" x14ac:dyDescent="0.3">
      <c r="A149" t="s">
        <v>71</v>
      </c>
      <c r="B149" t="s">
        <v>72</v>
      </c>
      <c r="C149" t="s">
        <v>73</v>
      </c>
      <c r="E149" t="str">
        <f>"009934303905"</f>
        <v>009934303905</v>
      </c>
      <c r="F149" s="1">
        <v>42438</v>
      </c>
      <c r="G149">
        <v>201609</v>
      </c>
      <c r="H149" t="s">
        <v>74</v>
      </c>
      <c r="I149" t="s">
        <v>75</v>
      </c>
      <c r="J149" t="s">
        <v>76</v>
      </c>
      <c r="K149" t="s">
        <v>77</v>
      </c>
      <c r="L149" t="s">
        <v>601</v>
      </c>
      <c r="M149" t="s">
        <v>602</v>
      </c>
      <c r="N149" t="s">
        <v>603</v>
      </c>
      <c r="O149" t="s">
        <v>81</v>
      </c>
      <c r="P149" t="str">
        <f t="shared" si="6"/>
        <v xml:space="preserve">NO REF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2.68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60.33</v>
      </c>
      <c r="BM149">
        <v>8.4499999999999993</v>
      </c>
      <c r="BN149">
        <v>68.78</v>
      </c>
      <c r="BO149">
        <v>68.78</v>
      </c>
      <c r="BQ149" t="s">
        <v>604</v>
      </c>
      <c r="BR149" t="s">
        <v>83</v>
      </c>
      <c r="BS149" s="1">
        <v>42439</v>
      </c>
      <c r="BT149" s="2">
        <v>0.4375</v>
      </c>
      <c r="BU149" t="s">
        <v>182</v>
      </c>
      <c r="BV149" t="s">
        <v>85</v>
      </c>
      <c r="BY149">
        <v>1200</v>
      </c>
      <c r="CC149" t="s">
        <v>602</v>
      </c>
      <c r="CD149">
        <v>3370</v>
      </c>
      <c r="CE149" t="s">
        <v>86</v>
      </c>
      <c r="CF149" s="1">
        <v>42445</v>
      </c>
      <c r="CI149">
        <v>0</v>
      </c>
      <c r="CJ149">
        <v>0</v>
      </c>
      <c r="CK149" t="s">
        <v>95</v>
      </c>
      <c r="CL149" t="s">
        <v>88</v>
      </c>
    </row>
    <row r="150" spans="1:90" x14ac:dyDescent="0.3">
      <c r="A150" t="s">
        <v>71</v>
      </c>
      <c r="B150" t="s">
        <v>72</v>
      </c>
      <c r="C150" t="s">
        <v>73</v>
      </c>
      <c r="E150" t="str">
        <f>"009934303912"</f>
        <v>009934303912</v>
      </c>
      <c r="F150" s="1">
        <v>42438</v>
      </c>
      <c r="G150">
        <v>201609</v>
      </c>
      <c r="H150" t="s">
        <v>74</v>
      </c>
      <c r="I150" t="s">
        <v>75</v>
      </c>
      <c r="J150" t="s">
        <v>76</v>
      </c>
      <c r="K150" t="s">
        <v>77</v>
      </c>
      <c r="L150" t="s">
        <v>257</v>
      </c>
      <c r="M150" t="s">
        <v>258</v>
      </c>
      <c r="N150" t="s">
        <v>605</v>
      </c>
      <c r="O150" t="s">
        <v>81</v>
      </c>
      <c r="P150" t="str">
        <f t="shared" si="6"/>
        <v xml:space="preserve">NO REF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3.57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1.5</v>
      </c>
      <c r="BJ150">
        <v>1</v>
      </c>
      <c r="BK150">
        <v>2</v>
      </c>
      <c r="BL150">
        <v>78.77</v>
      </c>
      <c r="BM150">
        <v>11.03</v>
      </c>
      <c r="BN150">
        <v>89.8</v>
      </c>
      <c r="BO150">
        <v>89.8</v>
      </c>
      <c r="BQ150" t="s">
        <v>606</v>
      </c>
      <c r="BR150" t="s">
        <v>83</v>
      </c>
      <c r="BS150" s="1">
        <v>42439</v>
      </c>
      <c r="BT150" s="2">
        <v>0.46388888888888885</v>
      </c>
      <c r="BU150" t="s">
        <v>607</v>
      </c>
      <c r="BV150" t="s">
        <v>85</v>
      </c>
      <c r="BY150">
        <v>4936.08</v>
      </c>
      <c r="CC150" t="s">
        <v>258</v>
      </c>
      <c r="CD150">
        <v>1055</v>
      </c>
      <c r="CE150" t="s">
        <v>86</v>
      </c>
      <c r="CF150" s="1">
        <v>42443</v>
      </c>
      <c r="CI150">
        <v>0</v>
      </c>
      <c r="CJ150">
        <v>0</v>
      </c>
      <c r="CK150" t="s">
        <v>216</v>
      </c>
      <c r="CL150" t="s">
        <v>88</v>
      </c>
    </row>
    <row r="151" spans="1:90" x14ac:dyDescent="0.3">
      <c r="A151" t="s">
        <v>71</v>
      </c>
      <c r="B151" t="s">
        <v>72</v>
      </c>
      <c r="C151" t="s">
        <v>73</v>
      </c>
      <c r="E151" t="str">
        <f>"009935164261"</f>
        <v>009935164261</v>
      </c>
      <c r="F151" s="1">
        <v>42440</v>
      </c>
      <c r="G151">
        <v>201609</v>
      </c>
      <c r="H151" t="s">
        <v>74</v>
      </c>
      <c r="I151" t="s">
        <v>75</v>
      </c>
      <c r="J151" t="s">
        <v>116</v>
      </c>
      <c r="K151" t="s">
        <v>77</v>
      </c>
      <c r="L151" t="s">
        <v>257</v>
      </c>
      <c r="M151" t="s">
        <v>258</v>
      </c>
      <c r="N151" t="s">
        <v>608</v>
      </c>
      <c r="O151" t="s">
        <v>81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3.57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0.5</v>
      </c>
      <c r="BJ151">
        <v>0.2</v>
      </c>
      <c r="BK151">
        <v>1</v>
      </c>
      <c r="BL151">
        <v>78.77</v>
      </c>
      <c r="BM151">
        <v>11.03</v>
      </c>
      <c r="BN151">
        <v>89.8</v>
      </c>
      <c r="BO151">
        <v>89.8</v>
      </c>
      <c r="BQ151" t="s">
        <v>609</v>
      </c>
      <c r="BR151" t="s">
        <v>121</v>
      </c>
      <c r="BS151" s="1">
        <v>42443</v>
      </c>
      <c r="BT151" s="2">
        <v>0.64583333333333337</v>
      </c>
      <c r="BU151" t="s">
        <v>610</v>
      </c>
      <c r="BV151" t="s">
        <v>85</v>
      </c>
      <c r="BY151">
        <v>1200</v>
      </c>
      <c r="CC151" t="s">
        <v>258</v>
      </c>
      <c r="CD151">
        <v>1050</v>
      </c>
      <c r="CE151" t="s">
        <v>86</v>
      </c>
      <c r="CF151" s="1">
        <v>42445</v>
      </c>
      <c r="CI151">
        <v>0</v>
      </c>
      <c r="CJ151">
        <v>0</v>
      </c>
      <c r="CK151" t="s">
        <v>216</v>
      </c>
      <c r="CL151" t="s">
        <v>88</v>
      </c>
    </row>
    <row r="152" spans="1:90" x14ac:dyDescent="0.3">
      <c r="A152" t="s">
        <v>71</v>
      </c>
      <c r="B152" t="s">
        <v>72</v>
      </c>
      <c r="C152" t="s">
        <v>73</v>
      </c>
      <c r="E152" t="str">
        <f>"009934303892"</f>
        <v>009934303892</v>
      </c>
      <c r="F152" s="1">
        <v>42438</v>
      </c>
      <c r="G152">
        <v>201609</v>
      </c>
      <c r="H152" t="s">
        <v>74</v>
      </c>
      <c r="I152" t="s">
        <v>75</v>
      </c>
      <c r="J152" t="s">
        <v>76</v>
      </c>
      <c r="K152" t="s">
        <v>77</v>
      </c>
      <c r="L152" t="s">
        <v>611</v>
      </c>
      <c r="M152" t="s">
        <v>612</v>
      </c>
      <c r="N152" t="s">
        <v>613</v>
      </c>
      <c r="O152" t="s">
        <v>81</v>
      </c>
      <c r="P152" t="str">
        <f>"NO REF                        "</f>
        <v xml:space="preserve">NO REF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2.68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60.33</v>
      </c>
      <c r="BM152">
        <v>8.4499999999999993</v>
      </c>
      <c r="BN152">
        <v>68.78</v>
      </c>
      <c r="BO152">
        <v>68.78</v>
      </c>
      <c r="BQ152" t="s">
        <v>614</v>
      </c>
      <c r="BR152" t="s">
        <v>83</v>
      </c>
      <c r="BS152" s="1">
        <v>42439</v>
      </c>
      <c r="BT152" s="2">
        <v>0.41111111111111115</v>
      </c>
      <c r="BU152" t="s">
        <v>615</v>
      </c>
      <c r="BV152" t="s">
        <v>85</v>
      </c>
      <c r="BY152">
        <v>1200</v>
      </c>
      <c r="CC152" t="s">
        <v>612</v>
      </c>
      <c r="CD152">
        <v>1619</v>
      </c>
      <c r="CE152" t="s">
        <v>86</v>
      </c>
      <c r="CF152" s="1">
        <v>42441</v>
      </c>
      <c r="CI152">
        <v>0</v>
      </c>
      <c r="CJ152">
        <v>0</v>
      </c>
      <c r="CK152" t="s">
        <v>112</v>
      </c>
      <c r="CL152" t="s">
        <v>88</v>
      </c>
    </row>
    <row r="153" spans="1:90" x14ac:dyDescent="0.3">
      <c r="A153" t="s">
        <v>71</v>
      </c>
      <c r="B153" t="s">
        <v>72</v>
      </c>
      <c r="C153" t="s">
        <v>73</v>
      </c>
      <c r="E153" t="str">
        <f>"009935164266"</f>
        <v>009935164266</v>
      </c>
      <c r="F153" s="1">
        <v>42440</v>
      </c>
      <c r="G153">
        <v>201609</v>
      </c>
      <c r="H153" t="s">
        <v>74</v>
      </c>
      <c r="I153" t="s">
        <v>75</v>
      </c>
      <c r="J153" t="s">
        <v>116</v>
      </c>
      <c r="K153" t="s">
        <v>77</v>
      </c>
      <c r="L153" t="s">
        <v>74</v>
      </c>
      <c r="M153" t="s">
        <v>75</v>
      </c>
      <c r="N153" t="s">
        <v>616</v>
      </c>
      <c r="O153" t="s">
        <v>81</v>
      </c>
      <c r="P153" t="str">
        <f>"NA                            "</f>
        <v xml:space="preserve">NA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2.68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0.5</v>
      </c>
      <c r="BJ153">
        <v>0.2</v>
      </c>
      <c r="BK153">
        <v>1</v>
      </c>
      <c r="BL153">
        <v>60.33</v>
      </c>
      <c r="BM153">
        <v>8.4499999999999993</v>
      </c>
      <c r="BN153">
        <v>68.78</v>
      </c>
      <c r="BO153">
        <v>68.78</v>
      </c>
      <c r="BQ153" t="s">
        <v>277</v>
      </c>
      <c r="BR153" t="s">
        <v>121</v>
      </c>
      <c r="BS153" s="1">
        <v>42443</v>
      </c>
      <c r="BT153" s="2">
        <v>0.47430555555555554</v>
      </c>
      <c r="BU153" t="s">
        <v>617</v>
      </c>
      <c r="BV153" t="s">
        <v>85</v>
      </c>
      <c r="BY153">
        <v>1200</v>
      </c>
      <c r="CC153" t="s">
        <v>75</v>
      </c>
      <c r="CD153">
        <v>2000</v>
      </c>
      <c r="CE153" t="s">
        <v>86</v>
      </c>
      <c r="CF153" s="1">
        <v>42445</v>
      </c>
      <c r="CI153">
        <v>0</v>
      </c>
      <c r="CJ153">
        <v>0</v>
      </c>
      <c r="CK153" t="s">
        <v>112</v>
      </c>
      <c r="CL153" t="s">
        <v>88</v>
      </c>
    </row>
    <row r="154" spans="1:90" x14ac:dyDescent="0.3">
      <c r="A154" t="s">
        <v>71</v>
      </c>
      <c r="B154" t="s">
        <v>72</v>
      </c>
      <c r="C154" t="s">
        <v>73</v>
      </c>
      <c r="E154" t="str">
        <f>"009935164252"</f>
        <v>009935164252</v>
      </c>
      <c r="F154" s="1">
        <v>42440</v>
      </c>
      <c r="G154">
        <v>201609</v>
      </c>
      <c r="H154" t="s">
        <v>74</v>
      </c>
      <c r="I154" t="s">
        <v>75</v>
      </c>
      <c r="J154" t="s">
        <v>116</v>
      </c>
      <c r="K154" t="s">
        <v>77</v>
      </c>
      <c r="L154" t="s">
        <v>136</v>
      </c>
      <c r="M154" t="s">
        <v>137</v>
      </c>
      <c r="N154" t="s">
        <v>618</v>
      </c>
      <c r="O154" t="s">
        <v>81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2.68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0.7</v>
      </c>
      <c r="BK154">
        <v>1</v>
      </c>
      <c r="BL154">
        <v>60.33</v>
      </c>
      <c r="BM154">
        <v>8.4499999999999993</v>
      </c>
      <c r="BN154">
        <v>68.78</v>
      </c>
      <c r="BO154">
        <v>68.78</v>
      </c>
      <c r="BQ154" t="s">
        <v>619</v>
      </c>
      <c r="BR154" t="s">
        <v>121</v>
      </c>
      <c r="BS154" s="1">
        <v>42443</v>
      </c>
      <c r="BT154" s="2">
        <v>0.375</v>
      </c>
      <c r="BU154" t="s">
        <v>620</v>
      </c>
      <c r="BV154" t="s">
        <v>85</v>
      </c>
      <c r="BY154">
        <v>3600</v>
      </c>
      <c r="CC154" t="s">
        <v>137</v>
      </c>
      <c r="CD154">
        <v>9301</v>
      </c>
      <c r="CE154" t="s">
        <v>86</v>
      </c>
      <c r="CF154" s="1">
        <v>42445</v>
      </c>
      <c r="CI154">
        <v>0</v>
      </c>
      <c r="CJ154">
        <v>0</v>
      </c>
      <c r="CK154" t="s">
        <v>87</v>
      </c>
      <c r="CL154" t="s">
        <v>88</v>
      </c>
    </row>
    <row r="155" spans="1:90" x14ac:dyDescent="0.3">
      <c r="A155" t="s">
        <v>71</v>
      </c>
      <c r="B155" t="s">
        <v>72</v>
      </c>
      <c r="C155" t="s">
        <v>73</v>
      </c>
      <c r="E155" t="str">
        <f>"009935164269"</f>
        <v>009935164269</v>
      </c>
      <c r="F155" s="1">
        <v>42440</v>
      </c>
      <c r="G155">
        <v>201609</v>
      </c>
      <c r="H155" t="s">
        <v>74</v>
      </c>
      <c r="I155" t="s">
        <v>75</v>
      </c>
      <c r="J155" t="s">
        <v>116</v>
      </c>
      <c r="K155" t="s">
        <v>77</v>
      </c>
      <c r="L155" t="s">
        <v>257</v>
      </c>
      <c r="M155" t="s">
        <v>258</v>
      </c>
      <c r="N155" t="s">
        <v>621</v>
      </c>
      <c r="O155" t="s">
        <v>81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3.57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0.7</v>
      </c>
      <c r="BJ155">
        <v>1.3</v>
      </c>
      <c r="BK155">
        <v>2</v>
      </c>
      <c r="BL155">
        <v>78.77</v>
      </c>
      <c r="BM155">
        <v>11.03</v>
      </c>
      <c r="BN155">
        <v>89.8</v>
      </c>
      <c r="BO155">
        <v>89.8</v>
      </c>
      <c r="BQ155" t="s">
        <v>622</v>
      </c>
      <c r="BR155" t="s">
        <v>121</v>
      </c>
      <c r="BS155" s="1">
        <v>42443</v>
      </c>
      <c r="BT155" s="2">
        <v>0.45833333333333331</v>
      </c>
      <c r="BU155" t="s">
        <v>623</v>
      </c>
      <c r="BV155" t="s">
        <v>85</v>
      </c>
      <c r="BY155">
        <v>6415.12</v>
      </c>
      <c r="CC155" t="s">
        <v>258</v>
      </c>
      <c r="CD155">
        <v>1055</v>
      </c>
      <c r="CE155" t="s">
        <v>86</v>
      </c>
      <c r="CF155" s="1">
        <v>42445</v>
      </c>
      <c r="CI155">
        <v>0</v>
      </c>
      <c r="CJ155">
        <v>0</v>
      </c>
      <c r="CK155" t="s">
        <v>216</v>
      </c>
      <c r="CL155" t="s">
        <v>88</v>
      </c>
    </row>
    <row r="156" spans="1:90" x14ac:dyDescent="0.3">
      <c r="A156" t="s">
        <v>71</v>
      </c>
      <c r="B156" t="s">
        <v>72</v>
      </c>
      <c r="C156" t="s">
        <v>73</v>
      </c>
      <c r="E156" t="str">
        <f>"009935164271"</f>
        <v>009935164271</v>
      </c>
      <c r="F156" s="1">
        <v>42440</v>
      </c>
      <c r="G156">
        <v>201609</v>
      </c>
      <c r="H156" t="s">
        <v>74</v>
      </c>
      <c r="I156" t="s">
        <v>75</v>
      </c>
      <c r="J156" t="s">
        <v>116</v>
      </c>
      <c r="K156" t="s">
        <v>77</v>
      </c>
      <c r="L156" t="s">
        <v>488</v>
      </c>
      <c r="M156" t="s">
        <v>489</v>
      </c>
      <c r="N156" t="s">
        <v>624</v>
      </c>
      <c r="O156" t="s">
        <v>81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3.9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0.5</v>
      </c>
      <c r="BK156">
        <v>1</v>
      </c>
      <c r="BL156">
        <v>85.54</v>
      </c>
      <c r="BM156">
        <v>11.98</v>
      </c>
      <c r="BN156">
        <v>97.52</v>
      </c>
      <c r="BO156">
        <v>97.52</v>
      </c>
      <c r="BQ156" t="s">
        <v>121</v>
      </c>
      <c r="BR156" t="s">
        <v>121</v>
      </c>
      <c r="BS156" s="1">
        <v>42443</v>
      </c>
      <c r="BT156" s="2">
        <v>0.36180555555555555</v>
      </c>
      <c r="BU156" t="s">
        <v>625</v>
      </c>
      <c r="BV156" t="s">
        <v>85</v>
      </c>
      <c r="BY156">
        <v>2569.3200000000002</v>
      </c>
      <c r="CC156" t="s">
        <v>489</v>
      </c>
      <c r="CD156">
        <v>6000</v>
      </c>
      <c r="CE156" t="s">
        <v>86</v>
      </c>
      <c r="CF156" s="1">
        <v>42445</v>
      </c>
      <c r="CI156">
        <v>0</v>
      </c>
      <c r="CJ156">
        <v>0</v>
      </c>
      <c r="CK156" t="s">
        <v>106</v>
      </c>
      <c r="CL156" t="s">
        <v>88</v>
      </c>
    </row>
    <row r="157" spans="1:90" x14ac:dyDescent="0.3">
      <c r="A157" t="s">
        <v>71</v>
      </c>
      <c r="B157" t="s">
        <v>72</v>
      </c>
      <c r="C157" t="s">
        <v>73</v>
      </c>
      <c r="E157" t="str">
        <f>"009935164258"</f>
        <v>009935164258</v>
      </c>
      <c r="F157" s="1">
        <v>42440</v>
      </c>
      <c r="G157">
        <v>201609</v>
      </c>
      <c r="H157" t="s">
        <v>74</v>
      </c>
      <c r="I157" t="s">
        <v>75</v>
      </c>
      <c r="J157" t="s">
        <v>116</v>
      </c>
      <c r="K157" t="s">
        <v>77</v>
      </c>
      <c r="L157" t="s">
        <v>626</v>
      </c>
      <c r="M157" t="s">
        <v>627</v>
      </c>
      <c r="N157" t="s">
        <v>628</v>
      </c>
      <c r="O157" t="s">
        <v>81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4.6500000000000004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0.6</v>
      </c>
      <c r="BJ157">
        <v>0.2</v>
      </c>
      <c r="BK157">
        <v>1</v>
      </c>
      <c r="BL157">
        <v>100.91</v>
      </c>
      <c r="BM157">
        <v>14.13</v>
      </c>
      <c r="BN157">
        <v>115.04</v>
      </c>
      <c r="BO157">
        <v>115.04</v>
      </c>
      <c r="BQ157" t="s">
        <v>629</v>
      </c>
      <c r="BR157" t="s">
        <v>121</v>
      </c>
      <c r="BS157" s="1">
        <v>42443</v>
      </c>
      <c r="BT157" s="2">
        <v>0.47916666666666669</v>
      </c>
      <c r="BU157" t="s">
        <v>630</v>
      </c>
      <c r="BV157" t="s">
        <v>85</v>
      </c>
      <c r="BY157">
        <v>1200</v>
      </c>
      <c r="CC157" t="s">
        <v>627</v>
      </c>
      <c r="CD157">
        <v>3170</v>
      </c>
      <c r="CE157" t="s">
        <v>86</v>
      </c>
      <c r="CF157" s="1">
        <v>42446</v>
      </c>
      <c r="CI157">
        <v>0</v>
      </c>
      <c r="CJ157">
        <v>0</v>
      </c>
      <c r="CK157" t="s">
        <v>123</v>
      </c>
      <c r="CL157" t="s">
        <v>88</v>
      </c>
    </row>
    <row r="158" spans="1:90" x14ac:dyDescent="0.3">
      <c r="A158" t="s">
        <v>71</v>
      </c>
      <c r="B158" t="s">
        <v>72</v>
      </c>
      <c r="C158" t="s">
        <v>73</v>
      </c>
      <c r="E158" t="str">
        <f>"009934303875"</f>
        <v>009934303875</v>
      </c>
      <c r="F158" s="1">
        <v>42440</v>
      </c>
      <c r="G158">
        <v>201609</v>
      </c>
      <c r="H158" t="s">
        <v>74</v>
      </c>
      <c r="I158" t="s">
        <v>75</v>
      </c>
      <c r="J158" t="s">
        <v>76</v>
      </c>
      <c r="K158" t="s">
        <v>77</v>
      </c>
      <c r="L158" t="s">
        <v>211</v>
      </c>
      <c r="M158" t="s">
        <v>212</v>
      </c>
      <c r="N158" t="s">
        <v>631</v>
      </c>
      <c r="O158" t="s">
        <v>81</v>
      </c>
      <c r="P158" t="str">
        <f>"....                          "</f>
        <v xml:space="preserve">....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3.57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0.7</v>
      </c>
      <c r="BK158">
        <v>1</v>
      </c>
      <c r="BL158">
        <v>78.77</v>
      </c>
      <c r="BM158">
        <v>11.03</v>
      </c>
      <c r="BN158">
        <v>89.8</v>
      </c>
      <c r="BO158">
        <v>89.8</v>
      </c>
      <c r="BQ158" t="s">
        <v>632</v>
      </c>
      <c r="BR158" t="s">
        <v>83</v>
      </c>
      <c r="BS158" s="1">
        <v>42443</v>
      </c>
      <c r="BT158" s="2">
        <v>0.40277777777777773</v>
      </c>
      <c r="BU158" t="s">
        <v>633</v>
      </c>
      <c r="BV158" t="s">
        <v>85</v>
      </c>
      <c r="BY158">
        <v>3600</v>
      </c>
      <c r="CC158" t="s">
        <v>212</v>
      </c>
      <c r="CD158">
        <v>299</v>
      </c>
      <c r="CE158" t="s">
        <v>86</v>
      </c>
      <c r="CF158" s="1">
        <v>42446</v>
      </c>
      <c r="CI158">
        <v>0</v>
      </c>
      <c r="CJ158">
        <v>0</v>
      </c>
      <c r="CK158" t="s">
        <v>216</v>
      </c>
      <c r="CL158" t="s">
        <v>88</v>
      </c>
    </row>
    <row r="159" spans="1:90" x14ac:dyDescent="0.3">
      <c r="A159" t="s">
        <v>71</v>
      </c>
      <c r="B159" t="s">
        <v>72</v>
      </c>
      <c r="C159" t="s">
        <v>73</v>
      </c>
      <c r="E159" t="str">
        <f>"009935164251"</f>
        <v>009935164251</v>
      </c>
      <c r="F159" s="1">
        <v>42440</v>
      </c>
      <c r="G159">
        <v>201609</v>
      </c>
      <c r="H159" t="s">
        <v>74</v>
      </c>
      <c r="I159" t="s">
        <v>75</v>
      </c>
      <c r="J159" t="s">
        <v>116</v>
      </c>
      <c r="K159" t="s">
        <v>77</v>
      </c>
      <c r="L159" t="s">
        <v>101</v>
      </c>
      <c r="M159" t="s">
        <v>102</v>
      </c>
      <c r="N159" t="s">
        <v>634</v>
      </c>
      <c r="O159" t="s">
        <v>81</v>
      </c>
      <c r="P159" t="str">
        <f t="shared" ref="P159:P166" si="7">"NA                            "</f>
        <v xml:space="preserve">NA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3.9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0.2</v>
      </c>
      <c r="BK159">
        <v>1</v>
      </c>
      <c r="BL159">
        <v>85.54</v>
      </c>
      <c r="BM159">
        <v>11.98</v>
      </c>
      <c r="BN159">
        <v>97.52</v>
      </c>
      <c r="BO159">
        <v>97.52</v>
      </c>
      <c r="BQ159" t="s">
        <v>635</v>
      </c>
      <c r="BR159" t="s">
        <v>121</v>
      </c>
      <c r="BS159" s="1">
        <v>42443</v>
      </c>
      <c r="BT159" s="2">
        <v>0.34375</v>
      </c>
      <c r="BU159" t="s">
        <v>345</v>
      </c>
      <c r="BV159" t="s">
        <v>85</v>
      </c>
      <c r="BY159">
        <v>1200</v>
      </c>
      <c r="CC159" t="s">
        <v>102</v>
      </c>
      <c r="CD159">
        <v>7864</v>
      </c>
      <c r="CE159" t="s">
        <v>86</v>
      </c>
      <c r="CF159" s="1">
        <v>42445</v>
      </c>
      <c r="CI159">
        <v>0</v>
      </c>
      <c r="CJ159">
        <v>0</v>
      </c>
      <c r="CK159" t="s">
        <v>106</v>
      </c>
      <c r="CL159" t="s">
        <v>88</v>
      </c>
    </row>
    <row r="160" spans="1:90" x14ac:dyDescent="0.3">
      <c r="A160" t="s">
        <v>71</v>
      </c>
      <c r="B160" t="s">
        <v>72</v>
      </c>
      <c r="C160" t="s">
        <v>73</v>
      </c>
      <c r="E160" t="str">
        <f>"009935164254"</f>
        <v>009935164254</v>
      </c>
      <c r="F160" s="1">
        <v>42440</v>
      </c>
      <c r="G160">
        <v>201609</v>
      </c>
      <c r="H160" t="s">
        <v>74</v>
      </c>
      <c r="I160" t="s">
        <v>75</v>
      </c>
      <c r="J160" t="s">
        <v>116</v>
      </c>
      <c r="K160" t="s">
        <v>77</v>
      </c>
      <c r="L160" t="s">
        <v>211</v>
      </c>
      <c r="M160" t="s">
        <v>212</v>
      </c>
      <c r="N160" t="s">
        <v>636</v>
      </c>
      <c r="O160" t="s">
        <v>81</v>
      </c>
      <c r="P160" t="str">
        <f t="shared" si="7"/>
        <v xml:space="preserve">NA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3.57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0.8</v>
      </c>
      <c r="BJ160">
        <v>0.6</v>
      </c>
      <c r="BK160">
        <v>1</v>
      </c>
      <c r="BL160">
        <v>78.77</v>
      </c>
      <c r="BM160">
        <v>11.03</v>
      </c>
      <c r="BN160">
        <v>89.8</v>
      </c>
      <c r="BO160">
        <v>89.8</v>
      </c>
      <c r="BQ160" t="s">
        <v>637</v>
      </c>
      <c r="BR160" t="s">
        <v>121</v>
      </c>
      <c r="BS160" s="1">
        <v>42443</v>
      </c>
      <c r="BT160" s="2">
        <v>0.40972222222222227</v>
      </c>
      <c r="BU160" t="s">
        <v>182</v>
      </c>
      <c r="BV160" t="s">
        <v>85</v>
      </c>
      <c r="BY160">
        <v>2995.24</v>
      </c>
      <c r="CC160" t="s">
        <v>212</v>
      </c>
      <c r="CD160">
        <v>299</v>
      </c>
      <c r="CE160" t="s">
        <v>86</v>
      </c>
      <c r="CF160" s="1">
        <v>42446</v>
      </c>
      <c r="CI160">
        <v>0</v>
      </c>
      <c r="CJ160">
        <v>0</v>
      </c>
      <c r="CK160" t="s">
        <v>216</v>
      </c>
      <c r="CL160" t="s">
        <v>88</v>
      </c>
    </row>
    <row r="161" spans="1:90" x14ac:dyDescent="0.3">
      <c r="A161" t="s">
        <v>71</v>
      </c>
      <c r="B161" t="s">
        <v>72</v>
      </c>
      <c r="C161" t="s">
        <v>73</v>
      </c>
      <c r="E161" t="str">
        <f>"009935164260"</f>
        <v>009935164260</v>
      </c>
      <c r="F161" s="1">
        <v>42440</v>
      </c>
      <c r="G161">
        <v>201609</v>
      </c>
      <c r="H161" t="s">
        <v>74</v>
      </c>
      <c r="I161" t="s">
        <v>75</v>
      </c>
      <c r="J161" t="s">
        <v>116</v>
      </c>
      <c r="K161" t="s">
        <v>77</v>
      </c>
      <c r="L161" t="s">
        <v>638</v>
      </c>
      <c r="M161" t="s">
        <v>639</v>
      </c>
      <c r="N161" t="s">
        <v>640</v>
      </c>
      <c r="O161" t="s">
        <v>81</v>
      </c>
      <c r="P161" t="str">
        <f t="shared" si="7"/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4.6500000000000004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0.2</v>
      </c>
      <c r="BK161">
        <v>1</v>
      </c>
      <c r="BL161">
        <v>100.91</v>
      </c>
      <c r="BM161">
        <v>14.13</v>
      </c>
      <c r="BN161">
        <v>115.04</v>
      </c>
      <c r="BO161">
        <v>115.04</v>
      </c>
      <c r="BQ161" t="s">
        <v>641</v>
      </c>
      <c r="BR161" t="s">
        <v>121</v>
      </c>
      <c r="BS161" s="1">
        <v>42443</v>
      </c>
      <c r="BT161" s="2">
        <v>0.46875</v>
      </c>
      <c r="BU161" t="s">
        <v>642</v>
      </c>
      <c r="BV161" t="s">
        <v>85</v>
      </c>
      <c r="BY161">
        <v>1200</v>
      </c>
      <c r="CC161" t="s">
        <v>639</v>
      </c>
      <c r="CD161">
        <v>600</v>
      </c>
      <c r="CE161" t="s">
        <v>86</v>
      </c>
      <c r="CF161" s="1">
        <v>42446</v>
      </c>
      <c r="CI161">
        <v>0</v>
      </c>
      <c r="CJ161">
        <v>0</v>
      </c>
      <c r="CK161" t="s">
        <v>322</v>
      </c>
      <c r="CL161" t="s">
        <v>88</v>
      </c>
    </row>
    <row r="162" spans="1:90" x14ac:dyDescent="0.3">
      <c r="A162" t="s">
        <v>71</v>
      </c>
      <c r="B162" t="s">
        <v>72</v>
      </c>
      <c r="C162" t="s">
        <v>73</v>
      </c>
      <c r="E162" t="str">
        <f>"009935164268"</f>
        <v>009935164268</v>
      </c>
      <c r="F162" s="1">
        <v>42440</v>
      </c>
      <c r="G162">
        <v>201609</v>
      </c>
      <c r="H162" t="s">
        <v>74</v>
      </c>
      <c r="I162" t="s">
        <v>75</v>
      </c>
      <c r="J162" t="s">
        <v>116</v>
      </c>
      <c r="K162" t="s">
        <v>77</v>
      </c>
      <c r="L162" t="s">
        <v>643</v>
      </c>
      <c r="M162" t="s">
        <v>644</v>
      </c>
      <c r="N162" t="s">
        <v>645</v>
      </c>
      <c r="O162" t="s">
        <v>81</v>
      </c>
      <c r="P162" t="str">
        <f t="shared" si="7"/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4.6500000000000004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0.5</v>
      </c>
      <c r="BJ162">
        <v>0.2</v>
      </c>
      <c r="BK162">
        <v>1</v>
      </c>
      <c r="BL162">
        <v>100.91</v>
      </c>
      <c r="BM162">
        <v>14.13</v>
      </c>
      <c r="BN162">
        <v>115.04</v>
      </c>
      <c r="BO162">
        <v>115.04</v>
      </c>
      <c r="BQ162" t="s">
        <v>646</v>
      </c>
      <c r="BR162" t="s">
        <v>121</v>
      </c>
      <c r="BS162" s="1">
        <v>42443</v>
      </c>
      <c r="BT162" s="2">
        <v>0.47222222222222227</v>
      </c>
      <c r="BU162" t="s">
        <v>647</v>
      </c>
      <c r="BV162" t="s">
        <v>85</v>
      </c>
      <c r="BY162">
        <v>1200</v>
      </c>
      <c r="CC162" t="s">
        <v>644</v>
      </c>
      <c r="CD162">
        <v>8800</v>
      </c>
      <c r="CE162" t="s">
        <v>86</v>
      </c>
      <c r="CF162" s="1">
        <v>42447</v>
      </c>
      <c r="CI162">
        <v>0</v>
      </c>
      <c r="CJ162">
        <v>0</v>
      </c>
      <c r="CK162" t="s">
        <v>322</v>
      </c>
      <c r="CL162" t="s">
        <v>88</v>
      </c>
    </row>
    <row r="163" spans="1:90" x14ac:dyDescent="0.3">
      <c r="A163" t="s">
        <v>71</v>
      </c>
      <c r="B163" t="s">
        <v>72</v>
      </c>
      <c r="C163" t="s">
        <v>73</v>
      </c>
      <c r="E163" t="str">
        <f>"009935164257"</f>
        <v>009935164257</v>
      </c>
      <c r="F163" s="1">
        <v>42440</v>
      </c>
      <c r="G163">
        <v>201609</v>
      </c>
      <c r="H163" t="s">
        <v>74</v>
      </c>
      <c r="I163" t="s">
        <v>75</v>
      </c>
      <c r="J163" t="s">
        <v>116</v>
      </c>
      <c r="K163" t="s">
        <v>77</v>
      </c>
      <c r="L163" t="s">
        <v>281</v>
      </c>
      <c r="M163" t="s">
        <v>282</v>
      </c>
      <c r="N163" t="s">
        <v>648</v>
      </c>
      <c r="O163" t="s">
        <v>81</v>
      </c>
      <c r="P163" t="str">
        <f t="shared" si="7"/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3.28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0.5</v>
      </c>
      <c r="BJ163">
        <v>0.2</v>
      </c>
      <c r="BK163">
        <v>1</v>
      </c>
      <c r="BL163">
        <v>72.63</v>
      </c>
      <c r="BM163">
        <v>10.17</v>
      </c>
      <c r="BN163">
        <v>82.8</v>
      </c>
      <c r="BO163">
        <v>82.8</v>
      </c>
      <c r="BQ163" t="s">
        <v>649</v>
      </c>
      <c r="BR163" t="s">
        <v>121</v>
      </c>
      <c r="BS163" s="1">
        <v>42443</v>
      </c>
      <c r="BT163" s="2">
        <v>0.37152777777777773</v>
      </c>
      <c r="BU163" t="s">
        <v>650</v>
      </c>
      <c r="BY163">
        <v>1200</v>
      </c>
      <c r="CC163" t="s">
        <v>282</v>
      </c>
      <c r="CD163">
        <v>181</v>
      </c>
      <c r="CE163" t="s">
        <v>86</v>
      </c>
      <c r="CF163" s="1">
        <v>42446</v>
      </c>
      <c r="CI163">
        <v>0</v>
      </c>
      <c r="CJ163">
        <v>0</v>
      </c>
      <c r="CK163" t="s">
        <v>195</v>
      </c>
      <c r="CL163" t="s">
        <v>88</v>
      </c>
    </row>
    <row r="164" spans="1:90" x14ac:dyDescent="0.3">
      <c r="A164" t="s">
        <v>71</v>
      </c>
      <c r="B164" t="s">
        <v>72</v>
      </c>
      <c r="C164" t="s">
        <v>73</v>
      </c>
      <c r="E164" t="str">
        <f>"009935164267"</f>
        <v>009935164267</v>
      </c>
      <c r="F164" s="1">
        <v>42440</v>
      </c>
      <c r="G164">
        <v>201609</v>
      </c>
      <c r="H164" t="s">
        <v>74</v>
      </c>
      <c r="I164" t="s">
        <v>75</v>
      </c>
      <c r="J164" t="s">
        <v>116</v>
      </c>
      <c r="K164" t="s">
        <v>77</v>
      </c>
      <c r="L164" t="s">
        <v>96</v>
      </c>
      <c r="M164" t="s">
        <v>97</v>
      </c>
      <c r="N164" t="s">
        <v>651</v>
      </c>
      <c r="O164" t="s">
        <v>81</v>
      </c>
      <c r="P164" t="str">
        <f t="shared" si="7"/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2.68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60.33</v>
      </c>
      <c r="BM164">
        <v>8.4499999999999993</v>
      </c>
      <c r="BN164">
        <v>68.78</v>
      </c>
      <c r="BO164">
        <v>68.78</v>
      </c>
      <c r="BQ164" t="s">
        <v>652</v>
      </c>
      <c r="BR164" t="s">
        <v>121</v>
      </c>
      <c r="BS164" s="1">
        <v>42443</v>
      </c>
      <c r="BT164" s="2">
        <v>0.4375</v>
      </c>
      <c r="BU164" t="s">
        <v>333</v>
      </c>
      <c r="BV164" t="s">
        <v>85</v>
      </c>
      <c r="BY164">
        <v>1200</v>
      </c>
      <c r="CC164" t="s">
        <v>97</v>
      </c>
      <c r="CD164">
        <v>4000</v>
      </c>
      <c r="CE164" t="s">
        <v>86</v>
      </c>
      <c r="CF164" s="1">
        <v>42445</v>
      </c>
      <c r="CI164">
        <v>0</v>
      </c>
      <c r="CJ164">
        <v>0</v>
      </c>
      <c r="CK164" t="s">
        <v>95</v>
      </c>
      <c r="CL164" t="s">
        <v>88</v>
      </c>
    </row>
    <row r="165" spans="1:90" x14ac:dyDescent="0.3">
      <c r="A165" t="s">
        <v>71</v>
      </c>
      <c r="B165" t="s">
        <v>72</v>
      </c>
      <c r="C165" t="s">
        <v>73</v>
      </c>
      <c r="E165" t="str">
        <f>"009935164256"</f>
        <v>009935164256</v>
      </c>
      <c r="F165" s="1">
        <v>42440</v>
      </c>
      <c r="G165">
        <v>201609</v>
      </c>
      <c r="H165" t="s">
        <v>74</v>
      </c>
      <c r="I165" t="s">
        <v>75</v>
      </c>
      <c r="J165" t="s">
        <v>116</v>
      </c>
      <c r="K165" t="s">
        <v>77</v>
      </c>
      <c r="L165" t="s">
        <v>313</v>
      </c>
      <c r="M165" t="s">
        <v>314</v>
      </c>
      <c r="N165" t="s">
        <v>653</v>
      </c>
      <c r="O165" t="s">
        <v>81</v>
      </c>
      <c r="P165" t="str">
        <f t="shared" si="7"/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3.87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84.92</v>
      </c>
      <c r="BM165">
        <v>11.89</v>
      </c>
      <c r="BN165">
        <v>96.81</v>
      </c>
      <c r="BO165">
        <v>96.81</v>
      </c>
      <c r="BQ165" t="s">
        <v>654</v>
      </c>
      <c r="BR165" t="s">
        <v>121</v>
      </c>
      <c r="BS165" s="1">
        <v>42443</v>
      </c>
      <c r="BT165" s="2">
        <v>0.36319444444444443</v>
      </c>
      <c r="BU165" t="s">
        <v>655</v>
      </c>
      <c r="BV165" t="s">
        <v>85</v>
      </c>
      <c r="BY165">
        <v>1200</v>
      </c>
      <c r="CC165" t="s">
        <v>314</v>
      </c>
      <c r="CD165">
        <v>3200</v>
      </c>
      <c r="CE165" t="s">
        <v>86</v>
      </c>
      <c r="CF165" s="1">
        <v>42445</v>
      </c>
      <c r="CI165">
        <v>0</v>
      </c>
      <c r="CJ165">
        <v>0</v>
      </c>
      <c r="CK165" t="s">
        <v>256</v>
      </c>
      <c r="CL165" t="s">
        <v>88</v>
      </c>
    </row>
    <row r="166" spans="1:90" x14ac:dyDescent="0.3">
      <c r="A166" t="s">
        <v>71</v>
      </c>
      <c r="B166" t="s">
        <v>72</v>
      </c>
      <c r="C166" t="s">
        <v>73</v>
      </c>
      <c r="E166" t="str">
        <f>"009935164249"</f>
        <v>009935164249</v>
      </c>
      <c r="F166" s="1">
        <v>42440</v>
      </c>
      <c r="G166">
        <v>201609</v>
      </c>
      <c r="H166" t="s">
        <v>74</v>
      </c>
      <c r="I166" t="s">
        <v>75</v>
      </c>
      <c r="J166" t="s">
        <v>116</v>
      </c>
      <c r="K166" t="s">
        <v>77</v>
      </c>
      <c r="L166" t="s">
        <v>141</v>
      </c>
      <c r="M166" t="s">
        <v>142</v>
      </c>
      <c r="N166" t="s">
        <v>656</v>
      </c>
      <c r="O166" t="s">
        <v>81</v>
      </c>
      <c r="P166" t="str">
        <f t="shared" si="7"/>
        <v xml:space="preserve">NA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2.68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0.2</v>
      </c>
      <c r="BK166">
        <v>1</v>
      </c>
      <c r="BL166">
        <v>60.33</v>
      </c>
      <c r="BM166">
        <v>8.4499999999999993</v>
      </c>
      <c r="BN166">
        <v>68.78</v>
      </c>
      <c r="BO166">
        <v>68.78</v>
      </c>
      <c r="BQ166" t="s">
        <v>657</v>
      </c>
      <c r="BR166" t="s">
        <v>121</v>
      </c>
      <c r="BS166" s="1">
        <v>42444</v>
      </c>
      <c r="BT166" s="2">
        <v>0.43402777777777773</v>
      </c>
      <c r="BU166" t="s">
        <v>658</v>
      </c>
      <c r="BV166" t="s">
        <v>88</v>
      </c>
      <c r="BW166" t="s">
        <v>110</v>
      </c>
      <c r="BX166" t="s">
        <v>111</v>
      </c>
      <c r="BY166">
        <v>1200</v>
      </c>
      <c r="CC166" t="s">
        <v>142</v>
      </c>
      <c r="CD166">
        <v>1724</v>
      </c>
      <c r="CE166" t="s">
        <v>86</v>
      </c>
      <c r="CF166" s="1">
        <v>42446</v>
      </c>
      <c r="CI166">
        <v>0</v>
      </c>
      <c r="CJ166">
        <v>0</v>
      </c>
      <c r="CK166" t="s">
        <v>112</v>
      </c>
      <c r="CL166" t="s">
        <v>88</v>
      </c>
    </row>
    <row r="167" spans="1:90" x14ac:dyDescent="0.3">
      <c r="A167" t="s">
        <v>71</v>
      </c>
      <c r="B167" t="s">
        <v>72</v>
      </c>
      <c r="C167" t="s">
        <v>73</v>
      </c>
      <c r="E167" t="str">
        <f>"009935164264"</f>
        <v>009935164264</v>
      </c>
      <c r="F167" s="1">
        <v>42443</v>
      </c>
      <c r="G167">
        <v>201609</v>
      </c>
      <c r="H167" t="s">
        <v>74</v>
      </c>
      <c r="I167" t="s">
        <v>75</v>
      </c>
      <c r="J167" t="s">
        <v>116</v>
      </c>
      <c r="K167" t="s">
        <v>77</v>
      </c>
      <c r="L167" t="s">
        <v>136</v>
      </c>
      <c r="M167" t="s">
        <v>137</v>
      </c>
      <c r="N167" t="s">
        <v>618</v>
      </c>
      <c r="O167" t="s">
        <v>233</v>
      </c>
      <c r="P167" t="str">
        <f>"NO REF                        "</f>
        <v xml:space="preserve">NO REF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1.91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0.2</v>
      </c>
      <c r="BK167">
        <v>0.5</v>
      </c>
      <c r="BL167">
        <v>39.35</v>
      </c>
      <c r="BM167">
        <v>5.51</v>
      </c>
      <c r="BN167">
        <v>44.86</v>
      </c>
      <c r="BO167">
        <v>44.86</v>
      </c>
      <c r="BQ167" t="s">
        <v>659</v>
      </c>
      <c r="BR167" t="s">
        <v>121</v>
      </c>
      <c r="BS167" s="1">
        <v>42444</v>
      </c>
      <c r="BT167" s="2">
        <v>0.35625000000000001</v>
      </c>
      <c r="BU167" t="s">
        <v>660</v>
      </c>
      <c r="BV167" t="s">
        <v>85</v>
      </c>
      <c r="BY167">
        <v>1200</v>
      </c>
      <c r="BZ167" t="s">
        <v>27</v>
      </c>
      <c r="CC167" t="s">
        <v>137</v>
      </c>
      <c r="CD167">
        <v>9300</v>
      </c>
      <c r="CE167" t="s">
        <v>86</v>
      </c>
      <c r="CF167" s="1">
        <v>42446</v>
      </c>
      <c r="CI167">
        <v>1</v>
      </c>
      <c r="CJ167">
        <v>1</v>
      </c>
      <c r="CK167">
        <v>21</v>
      </c>
      <c r="CL167" t="s">
        <v>88</v>
      </c>
    </row>
    <row r="168" spans="1:90" x14ac:dyDescent="0.3">
      <c r="A168" t="s">
        <v>71</v>
      </c>
      <c r="B168" t="s">
        <v>72</v>
      </c>
      <c r="C168" t="s">
        <v>73</v>
      </c>
      <c r="E168" t="str">
        <f>"009935164262"</f>
        <v>009935164262</v>
      </c>
      <c r="F168" s="1">
        <v>42443</v>
      </c>
      <c r="G168">
        <v>201609</v>
      </c>
      <c r="H168" t="s">
        <v>74</v>
      </c>
      <c r="I168" t="s">
        <v>75</v>
      </c>
      <c r="J168" t="s">
        <v>116</v>
      </c>
      <c r="K168" t="s">
        <v>77</v>
      </c>
      <c r="L168" t="s">
        <v>661</v>
      </c>
      <c r="M168" t="s">
        <v>662</v>
      </c>
      <c r="N168" t="s">
        <v>663</v>
      </c>
      <c r="O168" t="s">
        <v>226</v>
      </c>
      <c r="P168" t="str">
        <f>"NO REF                        "</f>
        <v xml:space="preserve">NO REF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11.04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153.78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0.2</v>
      </c>
      <c r="BK168">
        <v>0.5</v>
      </c>
      <c r="BL168">
        <v>381.69</v>
      </c>
      <c r="BM168">
        <v>0</v>
      </c>
      <c r="BN168">
        <v>381.69</v>
      </c>
      <c r="BO168">
        <v>381.69</v>
      </c>
      <c r="BQ168" t="s">
        <v>664</v>
      </c>
      <c r="BR168" t="s">
        <v>121</v>
      </c>
      <c r="BS168" s="1">
        <v>42444</v>
      </c>
      <c r="BT168" s="2">
        <v>0.1111111111111111</v>
      </c>
      <c r="BU168" t="s">
        <v>665</v>
      </c>
      <c r="BY168">
        <v>1200</v>
      </c>
      <c r="BZ168" t="s">
        <v>229</v>
      </c>
      <c r="CC168" t="s">
        <v>662</v>
      </c>
      <c r="CD168" t="s">
        <v>666</v>
      </c>
      <c r="CE168" t="s">
        <v>86</v>
      </c>
      <c r="CI168">
        <v>0</v>
      </c>
      <c r="CJ168">
        <v>0</v>
      </c>
      <c r="CK168">
        <v>521</v>
      </c>
      <c r="CL168" t="s">
        <v>88</v>
      </c>
    </row>
    <row r="169" spans="1:90" x14ac:dyDescent="0.3">
      <c r="A169" t="s">
        <v>71</v>
      </c>
      <c r="B169" t="s">
        <v>72</v>
      </c>
      <c r="C169" t="s">
        <v>73</v>
      </c>
      <c r="E169" t="str">
        <f>"009935164265"</f>
        <v>009935164265</v>
      </c>
      <c r="F169" s="1">
        <v>42443</v>
      </c>
      <c r="G169">
        <v>201609</v>
      </c>
      <c r="H169" t="s">
        <v>74</v>
      </c>
      <c r="I169" t="s">
        <v>75</v>
      </c>
      <c r="J169" t="s">
        <v>116</v>
      </c>
      <c r="K169" t="s">
        <v>77</v>
      </c>
      <c r="L169" t="s">
        <v>101</v>
      </c>
      <c r="M169" t="s">
        <v>102</v>
      </c>
      <c r="N169" t="s">
        <v>667</v>
      </c>
      <c r="O169" t="s">
        <v>81</v>
      </c>
      <c r="P169" t="str">
        <f>"NO REF                        "</f>
        <v xml:space="preserve">NO REF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3.9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0.2</v>
      </c>
      <c r="BK169">
        <v>1</v>
      </c>
      <c r="BL169">
        <v>85.54</v>
      </c>
      <c r="BM169">
        <v>11.98</v>
      </c>
      <c r="BN169">
        <v>97.52</v>
      </c>
      <c r="BO169">
        <v>97.52</v>
      </c>
      <c r="BQ169" t="s">
        <v>668</v>
      </c>
      <c r="BR169" t="s">
        <v>121</v>
      </c>
      <c r="BS169" s="1">
        <v>42444</v>
      </c>
      <c r="BT169" s="2">
        <v>0.46875</v>
      </c>
      <c r="BU169" t="s">
        <v>669</v>
      </c>
      <c r="BV169" t="s">
        <v>85</v>
      </c>
      <c r="BY169">
        <v>1200</v>
      </c>
      <c r="CC169" t="s">
        <v>102</v>
      </c>
      <c r="CD169">
        <v>7700</v>
      </c>
      <c r="CE169" t="s">
        <v>86</v>
      </c>
      <c r="CF169" s="1">
        <v>42445</v>
      </c>
      <c r="CI169">
        <v>0</v>
      </c>
      <c r="CJ169">
        <v>0</v>
      </c>
      <c r="CK169" t="s">
        <v>106</v>
      </c>
      <c r="CL169" t="s">
        <v>88</v>
      </c>
    </row>
    <row r="170" spans="1:90" x14ac:dyDescent="0.3">
      <c r="A170" t="s">
        <v>71</v>
      </c>
      <c r="B170" t="s">
        <v>72</v>
      </c>
      <c r="C170" t="s">
        <v>73</v>
      </c>
      <c r="E170" t="str">
        <f>"009935164263"</f>
        <v>009935164263</v>
      </c>
      <c r="F170" s="1">
        <v>42443</v>
      </c>
      <c r="G170">
        <v>201609</v>
      </c>
      <c r="H170" t="s">
        <v>74</v>
      </c>
      <c r="I170" t="s">
        <v>75</v>
      </c>
      <c r="J170" t="s">
        <v>116</v>
      </c>
      <c r="K170" t="s">
        <v>77</v>
      </c>
      <c r="L170" t="s">
        <v>190</v>
      </c>
      <c r="M170" t="s">
        <v>191</v>
      </c>
      <c r="N170" t="s">
        <v>670</v>
      </c>
      <c r="O170" t="s">
        <v>81</v>
      </c>
      <c r="P170" t="str">
        <f>"NO REF                        "</f>
        <v xml:space="preserve">NO REF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3.28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0.5</v>
      </c>
      <c r="BJ170">
        <v>0.2</v>
      </c>
      <c r="BK170">
        <v>1</v>
      </c>
      <c r="BL170">
        <v>72.63</v>
      </c>
      <c r="BM170">
        <v>10.17</v>
      </c>
      <c r="BN170">
        <v>82.8</v>
      </c>
      <c r="BO170">
        <v>82.8</v>
      </c>
      <c r="BQ170" t="s">
        <v>671</v>
      </c>
      <c r="BR170" t="s">
        <v>121</v>
      </c>
      <c r="BS170" s="1">
        <v>42444</v>
      </c>
      <c r="BT170" s="2">
        <v>0.41666666666666669</v>
      </c>
      <c r="BU170" t="s">
        <v>420</v>
      </c>
      <c r="BV170" t="s">
        <v>85</v>
      </c>
      <c r="BY170">
        <v>1200</v>
      </c>
      <c r="CC170" t="s">
        <v>191</v>
      </c>
      <c r="CD170">
        <v>1930</v>
      </c>
      <c r="CE170" t="s">
        <v>86</v>
      </c>
      <c r="CF170" s="1">
        <v>42447</v>
      </c>
      <c r="CI170">
        <v>0</v>
      </c>
      <c r="CJ170">
        <v>0</v>
      </c>
      <c r="CK170" t="s">
        <v>195</v>
      </c>
      <c r="CL170" t="s">
        <v>88</v>
      </c>
    </row>
    <row r="171" spans="1:90" x14ac:dyDescent="0.3">
      <c r="A171" t="s">
        <v>71</v>
      </c>
      <c r="B171" t="s">
        <v>72</v>
      </c>
      <c r="C171" t="s">
        <v>73</v>
      </c>
      <c r="E171" t="str">
        <f>"009935164225"</f>
        <v>009935164225</v>
      </c>
      <c r="F171" s="1">
        <v>42444</v>
      </c>
      <c r="G171">
        <v>201609</v>
      </c>
      <c r="H171" t="s">
        <v>74</v>
      </c>
      <c r="I171" t="s">
        <v>75</v>
      </c>
      <c r="J171" t="s">
        <v>76</v>
      </c>
      <c r="K171" t="s">
        <v>77</v>
      </c>
      <c r="L171" t="s">
        <v>429</v>
      </c>
      <c r="M171" t="s">
        <v>430</v>
      </c>
      <c r="N171" t="s">
        <v>672</v>
      </c>
      <c r="O171" t="s">
        <v>81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4.6500000000000004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1.5</v>
      </c>
      <c r="BJ171">
        <v>2.8</v>
      </c>
      <c r="BK171">
        <v>3</v>
      </c>
      <c r="BL171">
        <v>100.91</v>
      </c>
      <c r="BM171">
        <v>14.13</v>
      </c>
      <c r="BN171">
        <v>115.04</v>
      </c>
      <c r="BO171">
        <v>115.04</v>
      </c>
      <c r="BQ171" t="s">
        <v>673</v>
      </c>
      <c r="BR171" t="s">
        <v>121</v>
      </c>
      <c r="BS171" s="1">
        <v>42445</v>
      </c>
      <c r="BT171" s="2">
        <v>0.62430555555555556</v>
      </c>
      <c r="BU171" t="s">
        <v>674</v>
      </c>
      <c r="BV171" t="s">
        <v>85</v>
      </c>
      <c r="BY171">
        <v>14196.08</v>
      </c>
      <c r="CC171" t="s">
        <v>430</v>
      </c>
      <c r="CD171">
        <v>7300</v>
      </c>
      <c r="CE171" t="s">
        <v>86</v>
      </c>
      <c r="CF171" s="1">
        <v>42447</v>
      </c>
      <c r="CI171">
        <v>0</v>
      </c>
      <c r="CJ171">
        <v>0</v>
      </c>
      <c r="CK171" t="s">
        <v>123</v>
      </c>
      <c r="CL171" t="s">
        <v>88</v>
      </c>
    </row>
    <row r="172" spans="1:90" x14ac:dyDescent="0.3">
      <c r="A172" t="s">
        <v>71</v>
      </c>
      <c r="B172" t="s">
        <v>72</v>
      </c>
      <c r="C172" t="s">
        <v>73</v>
      </c>
      <c r="E172" t="str">
        <f>"009934303873"</f>
        <v>009934303873</v>
      </c>
      <c r="F172" s="1">
        <v>42444</v>
      </c>
      <c r="G172">
        <v>201609</v>
      </c>
      <c r="H172" t="s">
        <v>74</v>
      </c>
      <c r="I172" t="s">
        <v>75</v>
      </c>
      <c r="J172" t="s">
        <v>76</v>
      </c>
      <c r="K172" t="s">
        <v>77</v>
      </c>
      <c r="L172" t="s">
        <v>251</v>
      </c>
      <c r="M172" t="s">
        <v>252</v>
      </c>
      <c r="N172" t="s">
        <v>675</v>
      </c>
      <c r="O172" t="s">
        <v>81</v>
      </c>
      <c r="P172" t="str">
        <f>"....                          "</f>
        <v xml:space="preserve">....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3.87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0.2</v>
      </c>
      <c r="BK172">
        <v>1</v>
      </c>
      <c r="BL172">
        <v>84.92</v>
      </c>
      <c r="BM172">
        <v>11.89</v>
      </c>
      <c r="BN172">
        <v>96.81</v>
      </c>
      <c r="BO172">
        <v>96.81</v>
      </c>
      <c r="BQ172" t="s">
        <v>676</v>
      </c>
      <c r="BR172" t="s">
        <v>83</v>
      </c>
      <c r="BS172" s="1">
        <v>42445</v>
      </c>
      <c r="BT172" s="2">
        <v>0.44791666666666669</v>
      </c>
      <c r="BU172" t="s">
        <v>677</v>
      </c>
      <c r="BV172" t="s">
        <v>85</v>
      </c>
      <c r="BY172">
        <v>1200</v>
      </c>
      <c r="CC172" t="s">
        <v>252</v>
      </c>
      <c r="CD172">
        <v>9460</v>
      </c>
      <c r="CE172" t="s">
        <v>86</v>
      </c>
      <c r="CF172" s="1">
        <v>42447</v>
      </c>
      <c r="CI172">
        <v>0</v>
      </c>
      <c r="CJ172">
        <v>0</v>
      </c>
      <c r="CK172" t="s">
        <v>256</v>
      </c>
      <c r="CL172" t="s">
        <v>88</v>
      </c>
    </row>
    <row r="173" spans="1:90" x14ac:dyDescent="0.3">
      <c r="A173" t="s">
        <v>71</v>
      </c>
      <c r="B173" t="s">
        <v>72</v>
      </c>
      <c r="C173" t="s">
        <v>73</v>
      </c>
      <c r="E173" t="str">
        <f>"009934303874"</f>
        <v>009934303874</v>
      </c>
      <c r="F173" s="1">
        <v>42444</v>
      </c>
      <c r="G173">
        <v>201609</v>
      </c>
      <c r="H173" t="s">
        <v>74</v>
      </c>
      <c r="I173" t="s">
        <v>75</v>
      </c>
      <c r="J173" t="s">
        <v>76</v>
      </c>
      <c r="K173" t="s">
        <v>77</v>
      </c>
      <c r="L173" t="s">
        <v>90</v>
      </c>
      <c r="M173" t="s">
        <v>91</v>
      </c>
      <c r="N173" t="s">
        <v>678</v>
      </c>
      <c r="O173" t="s">
        <v>81</v>
      </c>
      <c r="P173" t="str">
        <f>"....                          "</f>
        <v xml:space="preserve">....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2.68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3.6</v>
      </c>
      <c r="BJ173">
        <v>2.1</v>
      </c>
      <c r="BK173">
        <v>4</v>
      </c>
      <c r="BL173">
        <v>60.33</v>
      </c>
      <c r="BM173">
        <v>8.4499999999999993</v>
      </c>
      <c r="BN173">
        <v>68.78</v>
      </c>
      <c r="BO173">
        <v>68.78</v>
      </c>
      <c r="BQ173" t="s">
        <v>679</v>
      </c>
      <c r="BR173" t="s">
        <v>83</v>
      </c>
      <c r="BS173" s="1">
        <v>42445</v>
      </c>
      <c r="BT173" s="2">
        <v>0.32291666666666669</v>
      </c>
      <c r="BU173" t="s">
        <v>680</v>
      </c>
      <c r="BV173" t="s">
        <v>85</v>
      </c>
      <c r="BY173">
        <v>10678.27</v>
      </c>
      <c r="CC173" t="s">
        <v>91</v>
      </c>
      <c r="CD173">
        <v>3610</v>
      </c>
      <c r="CE173" t="s">
        <v>86</v>
      </c>
      <c r="CF173" s="1">
        <v>42447</v>
      </c>
      <c r="CI173">
        <v>0</v>
      </c>
      <c r="CJ173">
        <v>0</v>
      </c>
      <c r="CK173" t="s">
        <v>95</v>
      </c>
      <c r="CL173" t="s">
        <v>88</v>
      </c>
    </row>
    <row r="174" spans="1:90" x14ac:dyDescent="0.3">
      <c r="A174" t="s">
        <v>71</v>
      </c>
      <c r="B174" t="s">
        <v>72</v>
      </c>
      <c r="C174" t="s">
        <v>73</v>
      </c>
      <c r="E174" t="str">
        <f>"029907310279"</f>
        <v>029907310279</v>
      </c>
      <c r="F174" s="1">
        <v>42444</v>
      </c>
      <c r="G174">
        <v>201609</v>
      </c>
      <c r="H174" t="s">
        <v>96</v>
      </c>
      <c r="I174" t="s">
        <v>97</v>
      </c>
      <c r="J174" t="s">
        <v>681</v>
      </c>
      <c r="K174" t="s">
        <v>77</v>
      </c>
      <c r="L174" t="s">
        <v>74</v>
      </c>
      <c r="M174" t="s">
        <v>75</v>
      </c>
      <c r="N174" t="s">
        <v>682</v>
      </c>
      <c r="O174" t="s">
        <v>233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1.91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1</v>
      </c>
      <c r="BK174">
        <v>1</v>
      </c>
      <c r="BL174">
        <v>39.35</v>
      </c>
      <c r="BM174">
        <v>5.51</v>
      </c>
      <c r="BN174">
        <v>44.86</v>
      </c>
      <c r="BO174">
        <v>44.86</v>
      </c>
      <c r="BQ174" t="s">
        <v>358</v>
      </c>
      <c r="BR174" t="s">
        <v>683</v>
      </c>
      <c r="BS174" s="1">
        <v>42445</v>
      </c>
      <c r="BT174" s="2">
        <v>0.33958333333333335</v>
      </c>
      <c r="BU174" t="s">
        <v>684</v>
      </c>
      <c r="BV174" t="s">
        <v>85</v>
      </c>
      <c r="BY174">
        <v>4800</v>
      </c>
      <c r="BZ174" t="s">
        <v>27</v>
      </c>
      <c r="CC174" t="s">
        <v>75</v>
      </c>
      <c r="CD174">
        <v>2000</v>
      </c>
      <c r="CE174" t="s">
        <v>86</v>
      </c>
      <c r="CF174" s="1">
        <v>42447</v>
      </c>
      <c r="CI174">
        <v>1</v>
      </c>
      <c r="CJ174">
        <v>1</v>
      </c>
      <c r="CK174">
        <v>21</v>
      </c>
      <c r="CL174" t="s">
        <v>88</v>
      </c>
    </row>
    <row r="175" spans="1:90" x14ac:dyDescent="0.3">
      <c r="A175" t="s">
        <v>71</v>
      </c>
      <c r="B175" t="s">
        <v>72</v>
      </c>
      <c r="C175" t="s">
        <v>73</v>
      </c>
      <c r="E175" t="str">
        <f>"009935164224"</f>
        <v>009935164224</v>
      </c>
      <c r="F175" s="1">
        <v>42445</v>
      </c>
      <c r="G175">
        <v>201609</v>
      </c>
      <c r="H175" t="s">
        <v>74</v>
      </c>
      <c r="I175" t="s">
        <v>75</v>
      </c>
      <c r="J175" t="s">
        <v>116</v>
      </c>
      <c r="K175" t="s">
        <v>77</v>
      </c>
      <c r="L175" t="s">
        <v>685</v>
      </c>
      <c r="M175" t="s">
        <v>686</v>
      </c>
      <c r="N175" t="s">
        <v>687</v>
      </c>
      <c r="O175" t="s">
        <v>81</v>
      </c>
      <c r="P175" t="str">
        <f t="shared" ref="P175:P184" si="8">"NA                            "</f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4.6500000000000004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100.91</v>
      </c>
      <c r="BM175">
        <v>14.13</v>
      </c>
      <c r="BN175">
        <v>115.04</v>
      </c>
      <c r="BO175">
        <v>115.04</v>
      </c>
      <c r="BQ175" t="s">
        <v>688</v>
      </c>
      <c r="BR175" t="s">
        <v>121</v>
      </c>
      <c r="BS175" s="1">
        <v>42446</v>
      </c>
      <c r="BT175" s="2">
        <v>0.47222222222222227</v>
      </c>
      <c r="BU175" t="s">
        <v>689</v>
      </c>
      <c r="BV175" t="s">
        <v>85</v>
      </c>
      <c r="BY175">
        <v>1200</v>
      </c>
      <c r="CC175" t="s">
        <v>686</v>
      </c>
      <c r="CD175">
        <v>6850</v>
      </c>
      <c r="CE175" t="s">
        <v>86</v>
      </c>
      <c r="CF175" s="1">
        <v>42447</v>
      </c>
      <c r="CI175">
        <v>0</v>
      </c>
      <c r="CJ175">
        <v>0</v>
      </c>
      <c r="CK175" t="s">
        <v>123</v>
      </c>
      <c r="CL175" t="s">
        <v>88</v>
      </c>
    </row>
    <row r="176" spans="1:90" x14ac:dyDescent="0.3">
      <c r="A176" t="s">
        <v>71</v>
      </c>
      <c r="B176" t="s">
        <v>72</v>
      </c>
      <c r="C176" t="s">
        <v>73</v>
      </c>
      <c r="E176" t="str">
        <f>"009935164222"</f>
        <v>009935164222</v>
      </c>
      <c r="F176" s="1">
        <v>42445</v>
      </c>
      <c r="G176">
        <v>201609</v>
      </c>
      <c r="H176" t="s">
        <v>74</v>
      </c>
      <c r="I176" t="s">
        <v>75</v>
      </c>
      <c r="J176" t="s">
        <v>116</v>
      </c>
      <c r="K176" t="s">
        <v>77</v>
      </c>
      <c r="L176" t="s">
        <v>690</v>
      </c>
      <c r="M176" t="s">
        <v>691</v>
      </c>
      <c r="N176" t="s">
        <v>692</v>
      </c>
      <c r="O176" t="s">
        <v>81</v>
      </c>
      <c r="P176" t="str">
        <f t="shared" si="8"/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3.9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0.5</v>
      </c>
      <c r="BJ176">
        <v>0.2</v>
      </c>
      <c r="BK176">
        <v>1</v>
      </c>
      <c r="BL176">
        <v>85.54</v>
      </c>
      <c r="BM176">
        <v>11.98</v>
      </c>
      <c r="BN176">
        <v>97.52</v>
      </c>
      <c r="BO176">
        <v>97.52</v>
      </c>
      <c r="BQ176" t="s">
        <v>693</v>
      </c>
      <c r="BR176" t="s">
        <v>121</v>
      </c>
      <c r="BS176" s="1">
        <v>42446</v>
      </c>
      <c r="BT176" s="2">
        <v>0.44513888888888892</v>
      </c>
      <c r="BU176" t="s">
        <v>694</v>
      </c>
      <c r="BV176" t="s">
        <v>85</v>
      </c>
      <c r="BY176">
        <v>1200</v>
      </c>
      <c r="CC176" t="s">
        <v>691</v>
      </c>
      <c r="CD176">
        <v>3900</v>
      </c>
      <c r="CE176" t="s">
        <v>86</v>
      </c>
      <c r="CF176" s="1">
        <v>42452</v>
      </c>
      <c r="CI176">
        <v>0</v>
      </c>
      <c r="CJ176">
        <v>0</v>
      </c>
      <c r="CK176" t="s">
        <v>132</v>
      </c>
      <c r="CL176" t="s">
        <v>88</v>
      </c>
    </row>
    <row r="177" spans="1:90" x14ac:dyDescent="0.3">
      <c r="A177" t="s">
        <v>71</v>
      </c>
      <c r="B177" t="s">
        <v>72</v>
      </c>
      <c r="C177" t="s">
        <v>73</v>
      </c>
      <c r="E177" t="str">
        <f>"009935164219"</f>
        <v>009935164219</v>
      </c>
      <c r="F177" s="1">
        <v>42447</v>
      </c>
      <c r="G177">
        <v>201609</v>
      </c>
      <c r="H177" t="s">
        <v>74</v>
      </c>
      <c r="I177" t="s">
        <v>75</v>
      </c>
      <c r="J177" t="s">
        <v>116</v>
      </c>
      <c r="K177" t="s">
        <v>77</v>
      </c>
      <c r="L177" t="s">
        <v>695</v>
      </c>
      <c r="M177" t="s">
        <v>696</v>
      </c>
      <c r="N177" t="s">
        <v>697</v>
      </c>
      <c r="O177" t="s">
        <v>81</v>
      </c>
      <c r="P177" t="str">
        <f t="shared" si="8"/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2.68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1.5</v>
      </c>
      <c r="BJ177">
        <v>1.1000000000000001</v>
      </c>
      <c r="BK177">
        <v>2</v>
      </c>
      <c r="BL177">
        <v>60.33</v>
      </c>
      <c r="BM177">
        <v>8.4499999999999993</v>
      </c>
      <c r="BN177">
        <v>68.78</v>
      </c>
      <c r="BO177">
        <v>68.78</v>
      </c>
      <c r="BQ177" t="s">
        <v>698</v>
      </c>
      <c r="BR177" t="s">
        <v>121</v>
      </c>
      <c r="BS177" s="1">
        <v>42451</v>
      </c>
      <c r="BT177" s="2">
        <v>0.42152777777777778</v>
      </c>
      <c r="BU177" t="s">
        <v>699</v>
      </c>
      <c r="BV177" t="s">
        <v>88</v>
      </c>
      <c r="BW177" t="s">
        <v>110</v>
      </c>
      <c r="BX177" t="s">
        <v>111</v>
      </c>
      <c r="BY177">
        <v>5703.91</v>
      </c>
      <c r="CC177" t="s">
        <v>696</v>
      </c>
      <c r="CD177">
        <v>1739</v>
      </c>
      <c r="CE177" t="s">
        <v>86</v>
      </c>
      <c r="CF177" s="1">
        <v>42453</v>
      </c>
      <c r="CI177">
        <v>0</v>
      </c>
      <c r="CJ177">
        <v>0</v>
      </c>
      <c r="CK177" t="s">
        <v>112</v>
      </c>
      <c r="CL177" t="s">
        <v>88</v>
      </c>
    </row>
    <row r="178" spans="1:90" x14ac:dyDescent="0.3">
      <c r="A178" t="s">
        <v>71</v>
      </c>
      <c r="B178" t="s">
        <v>72</v>
      </c>
      <c r="C178" t="s">
        <v>73</v>
      </c>
      <c r="E178" t="str">
        <f>"009935164220"</f>
        <v>009935164220</v>
      </c>
      <c r="F178" s="1">
        <v>42447</v>
      </c>
      <c r="G178">
        <v>201609</v>
      </c>
      <c r="H178" t="s">
        <v>74</v>
      </c>
      <c r="I178" t="s">
        <v>75</v>
      </c>
      <c r="J178" t="s">
        <v>116</v>
      </c>
      <c r="K178" t="s">
        <v>77</v>
      </c>
      <c r="L178" t="s">
        <v>700</v>
      </c>
      <c r="M178" t="s">
        <v>701</v>
      </c>
      <c r="N178" t="s">
        <v>702</v>
      </c>
      <c r="O178" t="s">
        <v>81</v>
      </c>
      <c r="P178" t="str">
        <f t="shared" si="8"/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3.57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2.6</v>
      </c>
      <c r="BJ178">
        <v>1.3</v>
      </c>
      <c r="BK178">
        <v>3</v>
      </c>
      <c r="BL178">
        <v>78.77</v>
      </c>
      <c r="BM178">
        <v>11.03</v>
      </c>
      <c r="BN178">
        <v>89.8</v>
      </c>
      <c r="BO178">
        <v>89.8</v>
      </c>
      <c r="BQ178" t="s">
        <v>703</v>
      </c>
      <c r="BR178" t="s">
        <v>121</v>
      </c>
      <c r="BS178" s="1">
        <v>42451</v>
      </c>
      <c r="BT178" s="2">
        <v>0.47152777777777777</v>
      </c>
      <c r="BU178" t="s">
        <v>704</v>
      </c>
      <c r="BV178" t="s">
        <v>88</v>
      </c>
      <c r="BW178" t="s">
        <v>110</v>
      </c>
      <c r="BX178" t="s">
        <v>523</v>
      </c>
      <c r="BY178">
        <v>6313.87</v>
      </c>
      <c r="CC178" t="s">
        <v>701</v>
      </c>
      <c r="CD178">
        <v>1441</v>
      </c>
      <c r="CE178" t="s">
        <v>86</v>
      </c>
      <c r="CF178" s="1">
        <v>42453</v>
      </c>
      <c r="CI178">
        <v>0</v>
      </c>
      <c r="CJ178">
        <v>0</v>
      </c>
      <c r="CK178" t="s">
        <v>216</v>
      </c>
      <c r="CL178" t="s">
        <v>88</v>
      </c>
    </row>
    <row r="179" spans="1:90" x14ac:dyDescent="0.3">
      <c r="A179" t="s">
        <v>71</v>
      </c>
      <c r="B179" t="s">
        <v>72</v>
      </c>
      <c r="C179" t="s">
        <v>73</v>
      </c>
      <c r="E179" t="str">
        <f>"009935164221"</f>
        <v>009935164221</v>
      </c>
      <c r="F179" s="1">
        <v>42447</v>
      </c>
      <c r="G179">
        <v>201609</v>
      </c>
      <c r="H179" t="s">
        <v>74</v>
      </c>
      <c r="I179" t="s">
        <v>75</v>
      </c>
      <c r="J179" t="s">
        <v>116</v>
      </c>
      <c r="K179" t="s">
        <v>77</v>
      </c>
      <c r="L179" t="s">
        <v>190</v>
      </c>
      <c r="M179" t="s">
        <v>191</v>
      </c>
      <c r="N179" t="s">
        <v>705</v>
      </c>
      <c r="O179" t="s">
        <v>81</v>
      </c>
      <c r="P179" t="str">
        <f t="shared" si="8"/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3.28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0.6</v>
      </c>
      <c r="BK179">
        <v>1</v>
      </c>
      <c r="BL179">
        <v>72.63</v>
      </c>
      <c r="BM179">
        <v>10.17</v>
      </c>
      <c r="BN179">
        <v>82.8</v>
      </c>
      <c r="BO179">
        <v>82.8</v>
      </c>
      <c r="BQ179" t="s">
        <v>706</v>
      </c>
      <c r="BR179" t="s">
        <v>121</v>
      </c>
      <c r="BS179" s="1">
        <v>42451</v>
      </c>
      <c r="BT179" s="2">
        <v>0.41666666666666669</v>
      </c>
      <c r="BU179" t="s">
        <v>420</v>
      </c>
      <c r="BV179" t="s">
        <v>88</v>
      </c>
      <c r="BY179">
        <v>3087</v>
      </c>
      <c r="CC179" t="s">
        <v>191</v>
      </c>
      <c r="CD179">
        <v>1930</v>
      </c>
      <c r="CE179" t="s">
        <v>86</v>
      </c>
      <c r="CF179" s="1">
        <v>42458</v>
      </c>
      <c r="CI179">
        <v>0</v>
      </c>
      <c r="CJ179">
        <v>0</v>
      </c>
      <c r="CK179" t="s">
        <v>195</v>
      </c>
      <c r="CL179" t="s">
        <v>88</v>
      </c>
    </row>
    <row r="180" spans="1:90" x14ac:dyDescent="0.3">
      <c r="A180" t="s">
        <v>71</v>
      </c>
      <c r="B180" t="s">
        <v>72</v>
      </c>
      <c r="C180" t="s">
        <v>73</v>
      </c>
      <c r="E180" t="str">
        <f>"009935164332"</f>
        <v>009935164332</v>
      </c>
      <c r="F180" s="1">
        <v>42451</v>
      </c>
      <c r="G180">
        <v>201609</v>
      </c>
      <c r="H180" t="s">
        <v>74</v>
      </c>
      <c r="I180" t="s">
        <v>75</v>
      </c>
      <c r="J180" t="s">
        <v>116</v>
      </c>
      <c r="K180" t="s">
        <v>77</v>
      </c>
      <c r="L180" t="s">
        <v>101</v>
      </c>
      <c r="M180" t="s">
        <v>102</v>
      </c>
      <c r="N180" t="s">
        <v>707</v>
      </c>
      <c r="O180" t="s">
        <v>81</v>
      </c>
      <c r="P180" t="str">
        <f t="shared" si="8"/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3.9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0.8</v>
      </c>
      <c r="BJ180">
        <v>0.8</v>
      </c>
      <c r="BK180">
        <v>1</v>
      </c>
      <c r="BL180">
        <v>85.54</v>
      </c>
      <c r="BM180">
        <v>11.98</v>
      </c>
      <c r="BN180">
        <v>97.52</v>
      </c>
      <c r="BO180">
        <v>97.52</v>
      </c>
      <c r="BQ180" t="s">
        <v>708</v>
      </c>
      <c r="BR180" t="s">
        <v>121</v>
      </c>
      <c r="BS180" s="1">
        <v>42452</v>
      </c>
      <c r="BT180" s="2">
        <v>0.34166666666666662</v>
      </c>
      <c r="BU180" t="s">
        <v>709</v>
      </c>
      <c r="BV180" t="s">
        <v>85</v>
      </c>
      <c r="BY180">
        <v>4200.8999999999996</v>
      </c>
      <c r="CC180" t="s">
        <v>102</v>
      </c>
      <c r="CD180">
        <v>7535</v>
      </c>
      <c r="CE180" t="s">
        <v>86</v>
      </c>
      <c r="CF180" s="1">
        <v>42459</v>
      </c>
      <c r="CI180">
        <v>0</v>
      </c>
      <c r="CJ180">
        <v>0</v>
      </c>
      <c r="CK180" t="s">
        <v>106</v>
      </c>
      <c r="CL180" t="s">
        <v>88</v>
      </c>
    </row>
    <row r="181" spans="1:90" x14ac:dyDescent="0.3">
      <c r="A181" t="s">
        <v>71</v>
      </c>
      <c r="B181" t="s">
        <v>72</v>
      </c>
      <c r="C181" t="s">
        <v>73</v>
      </c>
      <c r="E181" t="str">
        <f>"009935164217"</f>
        <v>009935164217</v>
      </c>
      <c r="F181" s="1">
        <v>42451</v>
      </c>
      <c r="G181">
        <v>201609</v>
      </c>
      <c r="H181" t="s">
        <v>74</v>
      </c>
      <c r="I181" t="s">
        <v>75</v>
      </c>
      <c r="J181" t="s">
        <v>116</v>
      </c>
      <c r="K181" t="s">
        <v>77</v>
      </c>
      <c r="L181" t="s">
        <v>281</v>
      </c>
      <c r="M181" t="s">
        <v>282</v>
      </c>
      <c r="N181" t="s">
        <v>710</v>
      </c>
      <c r="O181" t="s">
        <v>81</v>
      </c>
      <c r="P181" t="str">
        <f t="shared" si="8"/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3.28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0.7</v>
      </c>
      <c r="BJ181">
        <v>0.4</v>
      </c>
      <c r="BK181">
        <v>1</v>
      </c>
      <c r="BL181">
        <v>72.63</v>
      </c>
      <c r="BM181">
        <v>10.17</v>
      </c>
      <c r="BN181">
        <v>82.8</v>
      </c>
      <c r="BO181">
        <v>82.8</v>
      </c>
      <c r="BQ181" t="s">
        <v>170</v>
      </c>
      <c r="BR181" t="s">
        <v>121</v>
      </c>
      <c r="BS181" s="1">
        <v>42452</v>
      </c>
      <c r="BT181" s="2">
        <v>0.45069444444444445</v>
      </c>
      <c r="BU181" t="s">
        <v>711</v>
      </c>
      <c r="BY181">
        <v>1964.41</v>
      </c>
      <c r="CC181" t="s">
        <v>282</v>
      </c>
      <c r="CD181">
        <v>1</v>
      </c>
      <c r="CE181" t="s">
        <v>86</v>
      </c>
      <c r="CF181" s="1">
        <v>42459</v>
      </c>
      <c r="CI181">
        <v>0</v>
      </c>
      <c r="CJ181">
        <v>0</v>
      </c>
      <c r="CK181" t="s">
        <v>195</v>
      </c>
      <c r="CL181" t="s">
        <v>88</v>
      </c>
    </row>
    <row r="182" spans="1:90" x14ac:dyDescent="0.3">
      <c r="A182" t="s">
        <v>71</v>
      </c>
      <c r="B182" t="s">
        <v>72</v>
      </c>
      <c r="C182" t="s">
        <v>73</v>
      </c>
      <c r="E182" t="str">
        <f>"009935164218"</f>
        <v>009935164218</v>
      </c>
      <c r="F182" s="1">
        <v>42452</v>
      </c>
      <c r="G182">
        <v>201609</v>
      </c>
      <c r="H182" t="s">
        <v>74</v>
      </c>
      <c r="I182" t="s">
        <v>75</v>
      </c>
      <c r="J182" t="s">
        <v>116</v>
      </c>
      <c r="K182" t="s">
        <v>77</v>
      </c>
      <c r="L182" t="s">
        <v>101</v>
      </c>
      <c r="M182" t="s">
        <v>102</v>
      </c>
      <c r="N182" t="s">
        <v>712</v>
      </c>
      <c r="O182" t="s">
        <v>81</v>
      </c>
      <c r="P182" t="str">
        <f t="shared" si="8"/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3.9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85.54</v>
      </c>
      <c r="BM182">
        <v>11.98</v>
      </c>
      <c r="BN182">
        <v>97.52</v>
      </c>
      <c r="BO182">
        <v>97.52</v>
      </c>
      <c r="BQ182" t="s">
        <v>713</v>
      </c>
      <c r="BR182" t="s">
        <v>121</v>
      </c>
      <c r="BS182" s="1">
        <v>42453</v>
      </c>
      <c r="BT182" s="2">
        <v>0.36736111111111108</v>
      </c>
      <c r="BU182" t="s">
        <v>714</v>
      </c>
      <c r="BV182" t="s">
        <v>85</v>
      </c>
      <c r="BY182">
        <v>1200</v>
      </c>
      <c r="CC182" t="s">
        <v>102</v>
      </c>
      <c r="CD182">
        <v>7780</v>
      </c>
      <c r="CE182" t="s">
        <v>86</v>
      </c>
      <c r="CF182" s="1">
        <v>42459</v>
      </c>
      <c r="CI182">
        <v>0</v>
      </c>
      <c r="CJ182">
        <v>0</v>
      </c>
      <c r="CK182" t="s">
        <v>106</v>
      </c>
      <c r="CL182" t="s">
        <v>88</v>
      </c>
    </row>
    <row r="183" spans="1:90" x14ac:dyDescent="0.3">
      <c r="A183" t="s">
        <v>71</v>
      </c>
      <c r="B183" t="s">
        <v>72</v>
      </c>
      <c r="C183" t="s">
        <v>73</v>
      </c>
      <c r="E183" t="str">
        <f>"009935164331"</f>
        <v>009935164331</v>
      </c>
      <c r="F183" s="1">
        <v>42453</v>
      </c>
      <c r="G183">
        <v>201609</v>
      </c>
      <c r="H183" t="s">
        <v>74</v>
      </c>
      <c r="I183" t="s">
        <v>75</v>
      </c>
      <c r="J183" t="s">
        <v>116</v>
      </c>
      <c r="K183" t="s">
        <v>77</v>
      </c>
      <c r="L183" t="s">
        <v>101</v>
      </c>
      <c r="M183" t="s">
        <v>102</v>
      </c>
      <c r="N183" t="s">
        <v>715</v>
      </c>
      <c r="O183" t="s">
        <v>81</v>
      </c>
      <c r="P183" t="str">
        <f t="shared" si="8"/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3.9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10.3</v>
      </c>
      <c r="BJ183">
        <v>4.5999999999999996</v>
      </c>
      <c r="BK183">
        <v>11</v>
      </c>
      <c r="BL183">
        <v>85.54</v>
      </c>
      <c r="BM183">
        <v>11.98</v>
      </c>
      <c r="BN183">
        <v>97.52</v>
      </c>
      <c r="BO183">
        <v>97.52</v>
      </c>
      <c r="BQ183" t="s">
        <v>209</v>
      </c>
      <c r="BR183" t="s">
        <v>121</v>
      </c>
      <c r="BS183" s="1">
        <v>42459</v>
      </c>
      <c r="BT183" s="2">
        <v>0.54166666666666663</v>
      </c>
      <c r="BU183" t="s">
        <v>716</v>
      </c>
      <c r="BV183" t="s">
        <v>88</v>
      </c>
      <c r="BW183" t="s">
        <v>717</v>
      </c>
      <c r="BX183" t="s">
        <v>718</v>
      </c>
      <c r="BY183">
        <v>22770.07</v>
      </c>
      <c r="CC183" t="s">
        <v>102</v>
      </c>
      <c r="CD183">
        <v>8000</v>
      </c>
      <c r="CE183" t="s">
        <v>86</v>
      </c>
      <c r="CI183">
        <v>0</v>
      </c>
      <c r="CJ183">
        <v>0</v>
      </c>
      <c r="CK183" t="s">
        <v>106</v>
      </c>
      <c r="CL183" t="s">
        <v>88</v>
      </c>
    </row>
    <row r="184" spans="1:90" x14ac:dyDescent="0.3">
      <c r="A184" t="s">
        <v>71</v>
      </c>
      <c r="B184" t="s">
        <v>72</v>
      </c>
      <c r="C184" t="s">
        <v>73</v>
      </c>
      <c r="E184" t="str">
        <f>"009935164327"</f>
        <v>009935164327</v>
      </c>
      <c r="F184" s="1">
        <v>42453</v>
      </c>
      <c r="G184">
        <v>201609</v>
      </c>
      <c r="H184" t="s">
        <v>74</v>
      </c>
      <c r="I184" t="s">
        <v>75</v>
      </c>
      <c r="J184" t="s">
        <v>116</v>
      </c>
      <c r="K184" t="s">
        <v>77</v>
      </c>
      <c r="L184" t="s">
        <v>90</v>
      </c>
      <c r="M184" t="s">
        <v>91</v>
      </c>
      <c r="N184" t="s">
        <v>199</v>
      </c>
      <c r="O184" t="s">
        <v>81</v>
      </c>
      <c r="P184" t="str">
        <f t="shared" si="8"/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2.68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9.4</v>
      </c>
      <c r="BJ184">
        <v>4.5</v>
      </c>
      <c r="BK184">
        <v>10</v>
      </c>
      <c r="BL184">
        <v>60.33</v>
      </c>
      <c r="BM184">
        <v>8.4499999999999993</v>
      </c>
      <c r="BN184">
        <v>68.78</v>
      </c>
      <c r="BO184">
        <v>68.78</v>
      </c>
      <c r="BQ184" t="s">
        <v>719</v>
      </c>
      <c r="BR184" t="s">
        <v>121</v>
      </c>
      <c r="BS184" s="1">
        <v>42458</v>
      </c>
      <c r="BT184" s="2">
        <v>0.5180555555555556</v>
      </c>
      <c r="BU184" t="s">
        <v>720</v>
      </c>
      <c r="BV184" t="s">
        <v>85</v>
      </c>
      <c r="BY184">
        <v>22555.29</v>
      </c>
      <c r="CC184" t="s">
        <v>91</v>
      </c>
      <c r="CD184">
        <v>3610</v>
      </c>
      <c r="CE184" t="s">
        <v>86</v>
      </c>
      <c r="CI184">
        <v>0</v>
      </c>
      <c r="CJ184">
        <v>0</v>
      </c>
      <c r="CK184" t="s">
        <v>95</v>
      </c>
      <c r="CL184" t="s">
        <v>88</v>
      </c>
    </row>
    <row r="186" spans="1:90" x14ac:dyDescent="0.3">
      <c r="E186" t="s">
        <v>721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646.11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323.95999999999998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I186">
        <v>220</v>
      </c>
      <c r="BJ186">
        <v>105.1</v>
      </c>
      <c r="BK186">
        <v>281</v>
      </c>
      <c r="BL186">
        <v>14714.83</v>
      </c>
      <c r="BM186">
        <v>1947.93</v>
      </c>
      <c r="BN186">
        <v>16662.759999999998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2016-04-08T12:15:23Z</dcterms:created>
  <dcterms:modified xsi:type="dcterms:W3CDTF">2016-04-08T12:17:01Z</dcterms:modified>
</cp:coreProperties>
</file>